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0.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2.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1.xml" ContentType="application/vnd.openxmlformats-officedocument.drawingml.chart+xml"/>
  <Override PartName="/xl/drawings/drawing2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0" yWindow="60" windowWidth="15345" windowHeight="4575" tabRatio="834"/>
  </bookViews>
  <sheets>
    <sheet name="RAZONES FINANCIERAS" sheetId="16" r:id="rId1"/>
    <sheet name="BG2008-2013" sheetId="1" r:id="rId2"/>
    <sheet name="ER2008-2013" sheetId="4" r:id="rId3"/>
    <sheet name="ECAMBIO SF 2008-2013 " sheetId="13" r:id="rId4"/>
    <sheet name="ECAMBIO SF 2008-2012 ajust" sheetId="25" r:id="rId5"/>
    <sheet name="AV&amp;H BG" sheetId="18" r:id="rId6"/>
    <sheet name="AV&amp;H ER" sheetId="20" r:id="rId7"/>
    <sheet name="AF&amp;DEP" sheetId="19" r:id="rId8"/>
    <sheet name="AF&amp;DEP PROYECTADO" sheetId="40" r:id="rId9"/>
    <sheet name="FCLHISTORICO" sheetId="14" r:id="rId10"/>
    <sheet name="FCLPROYECTADO" sheetId="27" r:id="rId11"/>
    <sheet name="BGPR2008-2023" sheetId="22" r:id="rId12"/>
    <sheet name="ERPR2008-2023" sheetId="23" r:id="rId13"/>
    <sheet name="SUPUESTOS DE VALORACIÓN" sheetId="39" r:id="rId14"/>
    <sheet name="SUPUESTOS DE PROYECCIÓN" sheetId="24" r:id="rId15"/>
    <sheet name="BACKLOG" sheetId="28" r:id="rId16"/>
    <sheet name="WACC" sheetId="29" r:id="rId17"/>
    <sheet name="VRACIONPAT" sheetId="34" r:id="rId18"/>
    <sheet name="PRACCION" sheetId="33" r:id="rId19"/>
    <sheet name="ANALISIS DE SENSIBILIDAD" sheetId="41" r:id="rId20"/>
    <sheet name="MúltiplosComparables" sheetId="31" r:id="rId21"/>
    <sheet name="EBITDA - ROIC" sheetId="10" r:id="rId22"/>
    <sheet name="PROCESOS LICITATORIOS" sheetId="11" r:id="rId23"/>
    <sheet name="NOTICIAS" sheetId="12" r:id="rId24"/>
    <sheet name="Beta" sheetId="32" r:id="rId25"/>
    <sheet name="graficos" sheetId="48" r:id="rId26"/>
    <sheet name="GraficaPIB" sheetId="42" r:id="rId27"/>
    <sheet name="Sheet1" sheetId="38" r:id="rId28"/>
    <sheet name="TAbla Valoracion" sheetId="43" r:id="rId29"/>
    <sheet name="todas" sheetId="44" r:id="rId30"/>
    <sheet name="POR INGRESOSOPERACIONALES" sheetId="45" r:id="rId31"/>
    <sheet name="POR PATRIMONIO" sheetId="46" r:id="rId32"/>
    <sheet name="POR ACTIVOS" sheetId="47" r:id="rId33"/>
  </sheets>
  <externalReferences>
    <externalReference r:id="rId34"/>
    <externalReference r:id="rId35"/>
    <externalReference r:id="rId36"/>
    <externalReference r:id="rId37"/>
  </externalReferences>
  <definedNames>
    <definedName name="_DAT2" localSheetId="8">#REF!</definedName>
    <definedName name="_DAT2" localSheetId="15">#REF!</definedName>
    <definedName name="_DAT2" localSheetId="24">#REF!</definedName>
    <definedName name="_DAT2" localSheetId="10">#REF!</definedName>
    <definedName name="_DAT2" localSheetId="20">#REF!</definedName>
    <definedName name="_DAT2" localSheetId="16">#REF!</definedName>
    <definedName name="_DAT2">#REF!</definedName>
    <definedName name="_xlnm._FilterDatabase" localSheetId="29" hidden="1">todas!$A$7:$U$1008</definedName>
    <definedName name="_Ley99" localSheetId="8">#REF!</definedName>
    <definedName name="_Ley99" localSheetId="24">#REF!</definedName>
    <definedName name="_Ley99" localSheetId="10">#REF!</definedName>
    <definedName name="_Ley99" localSheetId="20">#REF!</definedName>
    <definedName name="_Ley99">#REF!</definedName>
    <definedName name="_OPC1" localSheetId="8">#REF!</definedName>
    <definedName name="_OPC1" localSheetId="24">#REF!</definedName>
    <definedName name="_OPC1" localSheetId="10">#REF!</definedName>
    <definedName name="_OPC1" localSheetId="20">#REF!</definedName>
    <definedName name="_OPC1">#REF!</definedName>
    <definedName name="_RUT2" localSheetId="8">#REF!</definedName>
    <definedName name="_RUT2" localSheetId="24">#REF!</definedName>
    <definedName name="_RUT2" localSheetId="10">#REF!</definedName>
    <definedName name="_RUT2" localSheetId="20">#REF!</definedName>
    <definedName name="_RUT2">#REF!</definedName>
    <definedName name="a" localSheetId="8">#REF!</definedName>
    <definedName name="a" localSheetId="24">#REF!</definedName>
    <definedName name="a" localSheetId="10">#REF!</definedName>
    <definedName name="a" localSheetId="20">#REF!</definedName>
    <definedName name="a">#REF!</definedName>
    <definedName name="A_BALANCE" localSheetId="8">#REF!</definedName>
    <definedName name="A_BALANCE" localSheetId="24">#REF!</definedName>
    <definedName name="A_BALANCE" localSheetId="10">#REF!</definedName>
    <definedName name="A_BALANCE" localSheetId="20">#REF!</definedName>
    <definedName name="A_BALANCE">#REF!</definedName>
    <definedName name="A_BALANCE_DOLAR" localSheetId="8">#REF!</definedName>
    <definedName name="A_BALANCE_DOLAR" localSheetId="24">#REF!</definedName>
    <definedName name="A_BALANCE_DOLAR" localSheetId="10">#REF!</definedName>
    <definedName name="A_BALANCE_DOLAR" localSheetId="20">#REF!</definedName>
    <definedName name="A_BALANCE_DOLAR">#REF!</definedName>
    <definedName name="A_FdeF" localSheetId="8">#REF!</definedName>
    <definedName name="A_FdeF" localSheetId="24">#REF!</definedName>
    <definedName name="A_FdeF" localSheetId="10">#REF!</definedName>
    <definedName name="A_FdeF" localSheetId="20">#REF!</definedName>
    <definedName name="A_FdeF">#REF!</definedName>
    <definedName name="A_FdEF_DOLAR" localSheetId="8">#REF!</definedName>
    <definedName name="A_FdEF_DOLAR" localSheetId="24">#REF!</definedName>
    <definedName name="A_FdEF_DOLAR" localSheetId="10">#REF!</definedName>
    <definedName name="A_FdEF_DOLAR" localSheetId="20">#REF!</definedName>
    <definedName name="A_FdEF_DOLAR">#REF!</definedName>
    <definedName name="A_PYG" localSheetId="8">#REF!</definedName>
    <definedName name="A_PYG" localSheetId="24">#REF!</definedName>
    <definedName name="A_PYG" localSheetId="10">#REF!</definedName>
    <definedName name="A_PYG" localSheetId="20">#REF!</definedName>
    <definedName name="A_PYG">#REF!</definedName>
    <definedName name="A_PYG_DOLAR" localSheetId="8">#REF!</definedName>
    <definedName name="A_PYG_DOLAR" localSheetId="24">#REF!</definedName>
    <definedName name="A_PYG_DOLAR" localSheetId="10">#REF!</definedName>
    <definedName name="A_PYG_DOLAR" localSheetId="20">#REF!</definedName>
    <definedName name="A_PYG_DOLAR">#REF!</definedName>
    <definedName name="Anexo1" localSheetId="8">#REF!</definedName>
    <definedName name="Anexo1" localSheetId="24">#REF!</definedName>
    <definedName name="Anexo1" localSheetId="10">#REF!</definedName>
    <definedName name="Anexo1" localSheetId="20">#REF!</definedName>
    <definedName name="Anexo1">#REF!</definedName>
    <definedName name="AOM_Variable" localSheetId="8">#REF!</definedName>
    <definedName name="AOM_Variable" localSheetId="24">#REF!</definedName>
    <definedName name="AOM_Variable" localSheetId="10">#REF!</definedName>
    <definedName name="AOM_Variable" localSheetId="20">#REF!</definedName>
    <definedName name="AOM_Variable">#REF!</definedName>
    <definedName name="AportesOtros" localSheetId="8">'[1]Cargos MEM - Aportes'!#REF!</definedName>
    <definedName name="AportesOtros" localSheetId="24">'[1]Cargos MEM - Aportes'!#REF!</definedName>
    <definedName name="AportesOtros" localSheetId="10">'[1]Cargos MEM - Aportes'!#REF!</definedName>
    <definedName name="AportesOtros" localSheetId="20">'[1]Cargos MEM - Aportes'!#REF!</definedName>
    <definedName name="AportesOtros">'[1]Cargos MEM - Aportes'!#REF!</definedName>
    <definedName name="Base_datos_IM" localSheetId="8">#REF!</definedName>
    <definedName name="Base_datos_IM" localSheetId="24">#REF!</definedName>
    <definedName name="Base_datos_IM" localSheetId="10">#REF!</definedName>
    <definedName name="Base_datos_IM" localSheetId="20">#REF!</definedName>
    <definedName name="Base_datos_IM">#REF!</definedName>
    <definedName name="_xlnm.Database" localSheetId="8">#REF!</definedName>
    <definedName name="_xlnm.Database" localSheetId="24">#REF!</definedName>
    <definedName name="_xlnm.Database" localSheetId="10">#REF!</definedName>
    <definedName name="_xlnm.Database" localSheetId="20">#REF!</definedName>
    <definedName name="_xlnm.Database">#REF!</definedName>
    <definedName name="CAJA" localSheetId="8">#REF!</definedName>
    <definedName name="CAJA" localSheetId="24">#REF!</definedName>
    <definedName name="CAJA" localSheetId="10">#REF!</definedName>
    <definedName name="CAJA" localSheetId="20">#REF!</definedName>
    <definedName name="CAJA">#REF!</definedName>
    <definedName name="CantidadDeficienteGas" localSheetId="8">#REF!</definedName>
    <definedName name="CantidadDeficienteGas" localSheetId="24">#REF!</definedName>
    <definedName name="CantidadDeficienteGas" localSheetId="10">#REF!</definedName>
    <definedName name="CantidadDeficienteGas" localSheetId="20">#REF!</definedName>
    <definedName name="CantidadDeficienteGas">#REF!</definedName>
    <definedName name="Capacidad_Instalada_Isagen" localSheetId="8">#REF!</definedName>
    <definedName name="Capacidad_Instalada_Isagen" localSheetId="24">#REF!</definedName>
    <definedName name="Capacidad_Instalada_Isagen" localSheetId="10">#REF!</definedName>
    <definedName name="Capacidad_Instalada_Isagen" localSheetId="20">#REF!</definedName>
    <definedName name="Capacidad_Instalada_Isagen">#REF!</definedName>
    <definedName name="Capacidad_Instalada_Sistema" localSheetId="8">#REF!</definedName>
    <definedName name="Capacidad_Instalada_Sistema" localSheetId="24">#REF!</definedName>
    <definedName name="Capacidad_Instalada_Sistema" localSheetId="10">#REF!</definedName>
    <definedName name="Capacidad_Instalada_Sistema" localSheetId="20">#REF!</definedName>
    <definedName name="Capacidad_Instalada_Sistema">#REF!</definedName>
    <definedName name="CapInstaladaISAGEN">'[2]Supuestos Generación - Precios'!$B$180:$M$180</definedName>
    <definedName name="CapInstaladaSIN">'[2]Supuestos Generación - Precios'!$B$40:$M$40</definedName>
    <definedName name="Cargos_uso_red" localSheetId="8">#REF!</definedName>
    <definedName name="Cargos_uso_red" localSheetId="24">#REF!</definedName>
    <definedName name="Cargos_uso_red" localSheetId="10">#REF!</definedName>
    <definedName name="Cargos_uso_red" localSheetId="20">#REF!</definedName>
    <definedName name="Cargos_uso_red">#REF!</definedName>
    <definedName name="CERE" localSheetId="8">#REF!</definedName>
    <definedName name="CERE" localSheetId="24">#REF!</definedName>
    <definedName name="CERE" localSheetId="10">#REF!</definedName>
    <definedName name="CERE" localSheetId="20">#REF!</definedName>
    <definedName name="CERE">#REF!</definedName>
    <definedName name="CERE_corr">'[2]Supuestos Generación - Precios'!$B$346:$M$346</definedName>
    <definedName name="CERE_kte">'[2]Supuestos Generación - Precios'!$B$347:$M$347</definedName>
    <definedName name="CIQWBGuid" hidden="1">"006945a8-229c-4ef5-9ead-3fa5147e7ee4"</definedName>
    <definedName name="CND_CRD_SIC" localSheetId="8">#REF!</definedName>
    <definedName name="CND_CRD_SIC" localSheetId="15">#REF!</definedName>
    <definedName name="CND_CRD_SIC" localSheetId="24">#REF!</definedName>
    <definedName name="CND_CRD_SIC" localSheetId="10">#REF!</definedName>
    <definedName name="CND_CRD_SIC" localSheetId="20">#REF!</definedName>
    <definedName name="CND_CRD_SIC" localSheetId="16">#REF!</definedName>
    <definedName name="CND_CRD_SIC">#REF!</definedName>
    <definedName name="COEF" localSheetId="8">#REF!</definedName>
    <definedName name="COEF" localSheetId="24">#REF!</definedName>
    <definedName name="COEF" localSheetId="10">#REF!</definedName>
    <definedName name="COEF" localSheetId="20">#REF!</definedName>
    <definedName name="COEF">#REF!</definedName>
    <definedName name="ComisiónComercializaciónAmoyá" localSheetId="8">#REF!</definedName>
    <definedName name="ComisiónComercializaciónAmoyá" localSheetId="24">#REF!</definedName>
    <definedName name="ComisiónComercializaciónAmoyá" localSheetId="10">#REF!</definedName>
    <definedName name="ComisiónComercializaciónAmoyá" localSheetId="20">#REF!</definedName>
    <definedName name="ComisiónComercializaciónAmoyá">#REF!</definedName>
    <definedName name="ComprasBolsa">'[2]Modelo Proyecciones'!$B$70:$M$70</definedName>
    <definedName name="ComprasContratos" localSheetId="8">#REF!</definedName>
    <definedName name="ComprasContratos" localSheetId="24">#REF!</definedName>
    <definedName name="ComprasContratos" localSheetId="10">#REF!</definedName>
    <definedName name="ComprasContratos" localSheetId="20">#REF!</definedName>
    <definedName name="ComprasContratos">#REF!</definedName>
    <definedName name="ComprasGas" localSheetId="8">#REF!</definedName>
    <definedName name="ComprasGas" localSheetId="24">#REF!</definedName>
    <definedName name="ComprasGas" localSheetId="10">#REF!</definedName>
    <definedName name="ComprasGas" localSheetId="20">#REF!</definedName>
    <definedName name="ComprasGas">#REF!</definedName>
    <definedName name="ContratCFI" localSheetId="8">#REF!</definedName>
    <definedName name="ContratCFI" localSheetId="24">#REF!</definedName>
    <definedName name="ContratCFI" localSheetId="10">#REF!</definedName>
    <definedName name="ContratCFI" localSheetId="20">#REF!</definedName>
    <definedName name="ContratCFI">#REF!</definedName>
    <definedName name="ContratCFI_Niv1" localSheetId="8">#REF!</definedName>
    <definedName name="ContratCFI_Niv1" localSheetId="24">#REF!</definedName>
    <definedName name="ContratCFI_Niv1" localSheetId="10">#REF!</definedName>
    <definedName name="ContratCFI_Niv1" localSheetId="20">#REF!</definedName>
    <definedName name="ContratCFI_Niv1">#REF!</definedName>
    <definedName name="ContratCFI_Niv2" localSheetId="8">#REF!</definedName>
    <definedName name="ContratCFI_Niv2" localSheetId="24">#REF!</definedName>
    <definedName name="ContratCFI_Niv2" localSheetId="10">#REF!</definedName>
    <definedName name="ContratCFI_Niv2" localSheetId="20">#REF!</definedName>
    <definedName name="ContratCFI_Niv2">#REF!</definedName>
    <definedName name="ContratCFI_Niv3" localSheetId="8">#REF!</definedName>
    <definedName name="ContratCFI_Niv3" localSheetId="24">#REF!</definedName>
    <definedName name="ContratCFI_Niv3" localSheetId="10">#REF!</definedName>
    <definedName name="ContratCFI_Niv3" localSheetId="20">#REF!</definedName>
    <definedName name="ContratCFI_Niv3">#REF!</definedName>
    <definedName name="ContratCFI_Niv4" localSheetId="8">#REF!</definedName>
    <definedName name="ContratCFI_Niv4" localSheetId="24">#REF!</definedName>
    <definedName name="ContratCFI_Niv4" localSheetId="10">#REF!</definedName>
    <definedName name="ContratCFI_Niv4" localSheetId="20">#REF!</definedName>
    <definedName name="ContratCFI_Niv4">#REF!</definedName>
    <definedName name="ContratCFINivSTN" localSheetId="8">#REF!</definedName>
    <definedName name="ContratCFINivSTN" localSheetId="24">#REF!</definedName>
    <definedName name="ContratCFINivSTN" localSheetId="10">#REF!</definedName>
    <definedName name="ContratCFINivSTN" localSheetId="20">#REF!</definedName>
    <definedName name="ContratCFINivSTN">#REF!</definedName>
    <definedName name="ContratMEM" localSheetId="8">#REF!</definedName>
    <definedName name="ContratMEM" localSheetId="24">#REF!</definedName>
    <definedName name="ContratMEM" localSheetId="10">#REF!</definedName>
    <definedName name="ContratMEM" localSheetId="20">#REF!</definedName>
    <definedName name="ContratMEM">#REF!</definedName>
    <definedName name="ContratoTransporte" localSheetId="8">'[2]Supuestos Combustibles'!#REF!</definedName>
    <definedName name="ContratoTransporte" localSheetId="24">'[2]Supuestos Combustibles'!#REF!</definedName>
    <definedName name="ContratoTransporte" localSheetId="10">'[2]Supuestos Combustibles'!#REF!</definedName>
    <definedName name="ContratoTransporte" localSheetId="20">'[2]Supuestos Combustibles'!#REF!</definedName>
    <definedName name="ContratoTransporte">'[2]Supuestos Combustibles'!#REF!</definedName>
    <definedName name="ContratTotalISAGEN" localSheetId="8">#REF!</definedName>
    <definedName name="ContratTotalISAGEN" localSheetId="24">#REF!</definedName>
    <definedName name="ContratTotalISAGEN" localSheetId="10">#REF!</definedName>
    <definedName name="ContratTotalISAGEN" localSheetId="20">#REF!</definedName>
    <definedName name="ContratTotalISAGEN">#REF!</definedName>
    <definedName name="CostoCombustible" localSheetId="8">#REF!</definedName>
    <definedName name="CostoCombustible" localSheetId="24">#REF!</definedName>
    <definedName name="CostoCombustible" localSheetId="10">#REF!</definedName>
    <definedName name="CostoCombustible" localSheetId="20">#REF!</definedName>
    <definedName name="CostoCombustible">#REF!</definedName>
    <definedName name="CostoMargina20pss_Const" localSheetId="8">#REF!</definedName>
    <definedName name="CostoMargina20pss_Const" localSheetId="24">#REF!</definedName>
    <definedName name="CostoMargina20pss_Const" localSheetId="10">#REF!</definedName>
    <definedName name="CostoMargina20pss_Const" localSheetId="20">#REF!</definedName>
    <definedName name="CostoMargina20pss_Const">#REF!</definedName>
    <definedName name="CostoMarginalPromedio_Const" localSheetId="8">#REF!</definedName>
    <definedName name="CostoMarginalPromedio_Const" localSheetId="24">#REF!</definedName>
    <definedName name="CostoMarginalPromedio_Const" localSheetId="10">#REF!</definedName>
    <definedName name="CostoMarginalPromedio_Const" localSheetId="20">#REF!</definedName>
    <definedName name="CostoMarginalPromedio_Const">#REF!</definedName>
    <definedName name="CostosST" localSheetId="8">#REF!</definedName>
    <definedName name="CostosST" localSheetId="24">#REF!</definedName>
    <definedName name="CostosST" localSheetId="10">#REF!</definedName>
    <definedName name="CostosST" localSheetId="20">#REF!</definedName>
    <definedName name="CostosST">#REF!</definedName>
    <definedName name="CostoSuministroGas" localSheetId="8">#REF!</definedName>
    <definedName name="CostoSuministroGas" localSheetId="24">#REF!</definedName>
    <definedName name="CostoSuministroGas" localSheetId="10">#REF!</definedName>
    <definedName name="CostoSuministroGas" localSheetId="20">#REF!</definedName>
    <definedName name="CostoSuministroGas">#REF!</definedName>
    <definedName name="CostoTransporteGas" localSheetId="8">#REF!</definedName>
    <definedName name="CostoTransporteGas" localSheetId="24">#REF!</definedName>
    <definedName name="CostoTransporteGas" localSheetId="10">#REF!</definedName>
    <definedName name="CostoTransporteGas" localSheetId="20">#REF!</definedName>
    <definedName name="CostoTransporteGas">#REF!</definedName>
    <definedName name="CrecimAltoPotencia" localSheetId="8">#REF!</definedName>
    <definedName name="CrecimAltoPotencia" localSheetId="24">#REF!</definedName>
    <definedName name="CrecimAltoPotencia" localSheetId="10">#REF!</definedName>
    <definedName name="CrecimAltoPotencia" localSheetId="20">#REF!</definedName>
    <definedName name="CrecimAltoPotencia">#REF!</definedName>
    <definedName name="CrecimientoDemEnergia">'[3]Supuestos Generales'!$B$92:$M$92</definedName>
    <definedName name="_xlnm.Criteria" localSheetId="8">#REF!</definedName>
    <definedName name="_xlnm.Criteria" localSheetId="24">#REF!</definedName>
    <definedName name="_xlnm.Criteria" localSheetId="10">#REF!</definedName>
    <definedName name="_xlnm.Criteria" localSheetId="20">#REF!</definedName>
    <definedName name="_xlnm.Criteria">#REF!</definedName>
    <definedName name="Criterios_IM" localSheetId="8">#REF!</definedName>
    <definedName name="Criterios_IM" localSheetId="24">#REF!</definedName>
    <definedName name="Criterios_IM" localSheetId="10">#REF!</definedName>
    <definedName name="Criterios_IM" localSheetId="20">#REF!</definedName>
    <definedName name="Criterios_IM">#REF!</definedName>
    <definedName name="CRT_Amoyá" localSheetId="8">'[3]Supuestos Generación - Precios'!#REF!</definedName>
    <definedName name="CRT_Amoyá" localSheetId="24">'[3]Supuestos Generación - Precios'!#REF!</definedName>
    <definedName name="CRT_Amoyá" localSheetId="10">'[3]Supuestos Generación - Precios'!#REF!</definedName>
    <definedName name="CRT_Amoyá" localSheetId="20">'[3]Supuestos Generación - Precios'!#REF!</definedName>
    <definedName name="CRT_Amoyá">'[3]Supuestos Generación - Precios'!#REF!</definedName>
    <definedName name="CRT_ISAGEN">'[2]Supuestos Generación - Precios'!$B$371:$M$371</definedName>
    <definedName name="CRT_SIN">'[2]Supuestos Generación - Precios'!$B$340:$M$340</definedName>
    <definedName name="CRTeqEne_Amoyá" localSheetId="8">'[3]Supuestos Generación - Precios'!#REF!</definedName>
    <definedName name="CRTeqEne_Amoyá" localSheetId="15">'[3]Supuestos Generación - Precios'!#REF!</definedName>
    <definedName name="CRTeqEne_Amoyá" localSheetId="24">'[3]Supuestos Generación - Precios'!#REF!</definedName>
    <definedName name="CRTeqEne_Amoyá" localSheetId="10">'[3]Supuestos Generación - Precios'!#REF!</definedName>
    <definedName name="CRTeqEne_Amoyá" localSheetId="20">'[3]Supuestos Generación - Precios'!#REF!</definedName>
    <definedName name="CRTeqEne_Amoyá" localSheetId="16">'[3]Supuestos Generación - Precios'!#REF!</definedName>
    <definedName name="CRTeqEne_Amoyá">'[3]Supuestos Generación - Precios'!#REF!</definedName>
    <definedName name="CRTeqEne_ISAGEN">'[2]Supuestos Generación - Precios'!$B$395:$M$395</definedName>
    <definedName name="CVCo" localSheetId="8">#REF!</definedName>
    <definedName name="CVCo" localSheetId="24">#REF!</definedName>
    <definedName name="CVCo" localSheetId="10">#REF!</definedName>
    <definedName name="CVCo" localSheetId="20">#REF!</definedName>
    <definedName name="CVCo">#REF!</definedName>
    <definedName name="CVPo" localSheetId="8">#REF!</definedName>
    <definedName name="CVPo" localSheetId="24">#REF!</definedName>
    <definedName name="CVPo" localSheetId="10">#REF!</definedName>
    <definedName name="CVPo" localSheetId="20">#REF!</definedName>
    <definedName name="CVPo">#REF!</definedName>
    <definedName name="DAT" localSheetId="8">#REF!</definedName>
    <definedName name="DAT" localSheetId="24">#REF!</definedName>
    <definedName name="DAT" localSheetId="10">#REF!</definedName>
    <definedName name="DAT" localSheetId="20">#REF!</definedName>
    <definedName name="DAT">#REF!</definedName>
    <definedName name="DATC" localSheetId="8">#REF!</definedName>
    <definedName name="DATC" localSheetId="24">#REF!</definedName>
    <definedName name="DATC" localSheetId="10">#REF!</definedName>
    <definedName name="DATC" localSheetId="20">#REF!</definedName>
    <definedName name="DATC">#REF!</definedName>
    <definedName name="DemEnergia" localSheetId="8">#REF!</definedName>
    <definedName name="DemEnergia" localSheetId="24">#REF!</definedName>
    <definedName name="DemEnergia" localSheetId="10">#REF!</definedName>
    <definedName name="DemEnergia" localSheetId="20">#REF!</definedName>
    <definedName name="DemEnergia">#REF!</definedName>
    <definedName name="DemPotencia" localSheetId="8">#REF!</definedName>
    <definedName name="DemPotencia" localSheetId="24">#REF!</definedName>
    <definedName name="DemPotencia" localSheetId="10">#REF!</definedName>
    <definedName name="DemPotencia" localSheetId="20">#REF!</definedName>
    <definedName name="DemPotencia">#REF!</definedName>
    <definedName name="DEUDA" localSheetId="8">#REF!</definedName>
    <definedName name="DEUDA" localSheetId="24">#REF!</definedName>
    <definedName name="DEUDA" localSheetId="10">#REF!</definedName>
    <definedName name="DEUDA" localSheetId="20">#REF!</definedName>
    <definedName name="DEUDA">#REF!</definedName>
    <definedName name="Devaluacion" localSheetId="8">#REF!</definedName>
    <definedName name="Devaluacion" localSheetId="24">#REF!</definedName>
    <definedName name="Devaluacion" localSheetId="10">#REF!</definedName>
    <definedName name="Devaluacion" localSheetId="20">#REF!</definedName>
    <definedName name="Devaluacion">#REF!</definedName>
    <definedName name="EndYear" localSheetId="8">#REF!</definedName>
    <definedName name="EndYear" localSheetId="24">#REF!</definedName>
    <definedName name="EndYear" localSheetId="10">#REF!</definedName>
    <definedName name="EndYear" localSheetId="20">#REF!</definedName>
    <definedName name="EndYear">#REF!</definedName>
    <definedName name="ENER" localSheetId="8">#REF!</definedName>
    <definedName name="ENER" localSheetId="24">#REF!</definedName>
    <definedName name="ENER" localSheetId="10">#REF!</definedName>
    <definedName name="ENER" localSheetId="20">#REF!</definedName>
    <definedName name="ENER">#REF!</definedName>
    <definedName name="Energia_a_comercializar" localSheetId="8">#REF!</definedName>
    <definedName name="Energia_a_comercializar" localSheetId="24">#REF!</definedName>
    <definedName name="Energia_a_comercializar" localSheetId="10">#REF!</definedName>
    <definedName name="Energia_a_comercializar" localSheetId="20">#REF!</definedName>
    <definedName name="Energia_a_comercializar">#REF!</definedName>
    <definedName name="ENFICCAnualISAGEN">'[3]Supuestos Generación - Precios'!$B$468:$M$468</definedName>
    <definedName name="erpc" localSheetId="8">#REF!</definedName>
    <definedName name="erpc" localSheetId="24">#REF!</definedName>
    <definedName name="erpc" localSheetId="10">#REF!</definedName>
    <definedName name="erpc" localSheetId="20">#REF!</definedName>
    <definedName name="erpc">#REF!</definedName>
    <definedName name="EscDemanda" localSheetId="8">#REF!</definedName>
    <definedName name="EscDemanda" localSheetId="24">#REF!</definedName>
    <definedName name="EscDemanda" localSheetId="10">#REF!</definedName>
    <definedName name="EscDemanda" localSheetId="20">#REF!</definedName>
    <definedName name="EscDemanda">#REF!</definedName>
    <definedName name="EscenarioSumGas" localSheetId="8">#REF!</definedName>
    <definedName name="EscenarioSumGas" localSheetId="24">#REF!</definedName>
    <definedName name="EscenarioSumGas" localSheetId="10">#REF!</definedName>
    <definedName name="EscenarioSumGas" localSheetId="20">#REF!</definedName>
    <definedName name="EscenarioSumGas">#REF!</definedName>
    <definedName name="ESCM" localSheetId="8">#REF!</definedName>
    <definedName name="ESCM" localSheetId="24">#REF!</definedName>
    <definedName name="ESCM" localSheetId="10">#REF!</definedName>
    <definedName name="ESCM" localSheetId="20">#REF!</definedName>
    <definedName name="ESCM">#REF!</definedName>
    <definedName name="EscMacroEco" localSheetId="8">#REF!</definedName>
    <definedName name="EscMacroEco" localSheetId="24">#REF!</definedName>
    <definedName name="EscMacroEco" localSheetId="10">#REF!</definedName>
    <definedName name="EscMacroEco" localSheetId="20">#REF!</definedName>
    <definedName name="EscMacroEco">#REF!</definedName>
    <definedName name="ESP" localSheetId="8">#REF!</definedName>
    <definedName name="ESP" localSheetId="24">#REF!</definedName>
    <definedName name="ESP" localSheetId="10">#REF!</definedName>
    <definedName name="ESP" localSheetId="20">#REF!</definedName>
    <definedName name="ESP">#REF!</definedName>
    <definedName name="ESPC" localSheetId="8">#REF!</definedName>
    <definedName name="ESPC" localSheetId="24">#REF!</definedName>
    <definedName name="ESPC" localSheetId="10">#REF!</definedName>
    <definedName name="ESPC" localSheetId="20">#REF!</definedName>
    <definedName name="ESPC">#REF!</definedName>
    <definedName name="ESTADOR1" localSheetId="8">#REF!</definedName>
    <definedName name="ESTADOR1" localSheetId="24">#REF!</definedName>
    <definedName name="ESTADOR1" localSheetId="10">#REF!</definedName>
    <definedName name="ESTADOR1" localSheetId="20">#REF!</definedName>
    <definedName name="ESTADOR1">#REF!</definedName>
    <definedName name="ESTADOR2" localSheetId="8">#REF!</definedName>
    <definedName name="ESTADOR2" localSheetId="24">#REF!</definedName>
    <definedName name="ESTADOR2" localSheetId="10">#REF!</definedName>
    <definedName name="ESTADOR2" localSheetId="20">#REF!</definedName>
    <definedName name="ESTADOR2">#REF!</definedName>
    <definedName name="Extracción_IM" localSheetId="8">#REF!</definedName>
    <definedName name="Extracción_IM" localSheetId="24">#REF!</definedName>
    <definedName name="Extracción_IM" localSheetId="10">#REF!</definedName>
    <definedName name="Extracción_IM" localSheetId="20">#REF!</definedName>
    <definedName name="Extracción_IM">#REF!</definedName>
    <definedName name="factor" localSheetId="8">#REF!</definedName>
    <definedName name="factor" localSheetId="24">#REF!</definedName>
    <definedName name="factor" localSheetId="10">#REF!</definedName>
    <definedName name="factor" localSheetId="20">#REF!</definedName>
    <definedName name="factor">#REF!</definedName>
    <definedName name="factor2" localSheetId="8">#REF!</definedName>
    <definedName name="factor2" localSheetId="24">#REF!</definedName>
    <definedName name="factor2" localSheetId="10">#REF!</definedName>
    <definedName name="factor2" localSheetId="20">#REF!</definedName>
    <definedName name="factor2">#REF!</definedName>
    <definedName name="factorInflacionExt" localSheetId="8">#REF!</definedName>
    <definedName name="factorInflacionExt" localSheetId="24">#REF!</definedName>
    <definedName name="factorInflacionExt" localSheetId="10">#REF!</definedName>
    <definedName name="factorInflacionExt" localSheetId="20">#REF!</definedName>
    <definedName name="factorInflacionExt">#REF!</definedName>
    <definedName name="FactorInflaExt" localSheetId="8">#REF!</definedName>
    <definedName name="FactorInflaExt" localSheetId="24">#REF!</definedName>
    <definedName name="FactorInflaExt" localSheetId="10">#REF!</definedName>
    <definedName name="FactorInflaExt" localSheetId="20">#REF!</definedName>
    <definedName name="FactorInflaExt">#REF!</definedName>
    <definedName name="FactorInflaInt" localSheetId="8">#REF!</definedName>
    <definedName name="FactorInflaInt" localSheetId="24">#REF!</definedName>
    <definedName name="FactorInflaInt" localSheetId="10">#REF!</definedName>
    <definedName name="FactorInflaInt" localSheetId="20">#REF!</definedName>
    <definedName name="FactorInflaInt">#REF!</definedName>
    <definedName name="FactorIPC" localSheetId="8">#REF!</definedName>
    <definedName name="FactorIPC" localSheetId="24">#REF!</definedName>
    <definedName name="FactorIPC" localSheetId="10">#REF!</definedName>
    <definedName name="FactorIPC" localSheetId="20">#REF!</definedName>
    <definedName name="FactorIPC">#REF!</definedName>
    <definedName name="FactorIPP" localSheetId="8">#REF!</definedName>
    <definedName name="FactorIPP" localSheetId="24">#REF!</definedName>
    <definedName name="FactorIPP" localSheetId="10">#REF!</definedName>
    <definedName name="FactorIPP" localSheetId="20">#REF!</definedName>
    <definedName name="FactorIPP">#REF!</definedName>
    <definedName name="FactorTasaCambio" localSheetId="8">#REF!</definedName>
    <definedName name="FactorTasaCambio" localSheetId="24">#REF!</definedName>
    <definedName name="FactorTasaCambio" localSheetId="10">#REF!</definedName>
    <definedName name="FactorTasaCambio" localSheetId="20">#REF!</definedName>
    <definedName name="FactorTasaCambio">#REF!</definedName>
    <definedName name="FEC" localSheetId="8">#REF!</definedName>
    <definedName name="FEC" localSheetId="24">#REF!</definedName>
    <definedName name="FEC" localSheetId="10">#REF!</definedName>
    <definedName name="FEC" localSheetId="20">#REF!</definedName>
    <definedName name="FEC">#REF!</definedName>
    <definedName name="FECC" localSheetId="8">#REF!</definedName>
    <definedName name="FECC" localSheetId="24">#REF!</definedName>
    <definedName name="FECC" localSheetId="10">#REF!</definedName>
    <definedName name="FECC" localSheetId="20">#REF!</definedName>
    <definedName name="FECC">#REF!</definedName>
    <definedName name="FICHA" localSheetId="8">#REF!</definedName>
    <definedName name="FICHA" localSheetId="24">#REF!</definedName>
    <definedName name="FICHA" localSheetId="10">#REF!</definedName>
    <definedName name="FICHA" localSheetId="20">#REF!</definedName>
    <definedName name="FICHA">#REF!</definedName>
    <definedName name="FINAN" localSheetId="8">#REF!</definedName>
    <definedName name="FINAN" localSheetId="24">#REF!</definedName>
    <definedName name="FINAN" localSheetId="10">#REF!</definedName>
    <definedName name="FINAN" localSheetId="20">#REF!</definedName>
    <definedName name="FINAN">#REF!</definedName>
    <definedName name="Gen" localSheetId="8">#REF!</definedName>
    <definedName name="Gen" localSheetId="24">#REF!</definedName>
    <definedName name="Gen" localSheetId="10">#REF!</definedName>
    <definedName name="Gen" localSheetId="20">#REF!</definedName>
    <definedName name="Gen">#REF!</definedName>
    <definedName name="Generacion_propia_esperada" localSheetId="8">#REF!</definedName>
    <definedName name="Generacion_propia_esperada" localSheetId="24">#REF!</definedName>
    <definedName name="Generacion_propia_esperada" localSheetId="10">#REF!</definedName>
    <definedName name="Generacion_propia_esperada" localSheetId="20">#REF!</definedName>
    <definedName name="Generacion_propia_esperada">#REF!</definedName>
    <definedName name="Generaciones" localSheetId="8">#REF!</definedName>
    <definedName name="Generaciones" localSheetId="24">#REF!</definedName>
    <definedName name="Generaciones" localSheetId="10">#REF!</definedName>
    <definedName name="Generaciones" localSheetId="20">#REF!</definedName>
    <definedName name="Generaciones">#REF!</definedName>
    <definedName name="GenTotAmoyá" localSheetId="8">'[3]Supuestos Generales'!#REF!</definedName>
    <definedName name="GenTotAmoyá" localSheetId="24">'[3]Supuestos Generales'!#REF!</definedName>
    <definedName name="GenTotAmoyá" localSheetId="10">'[3]Supuestos Generales'!#REF!</definedName>
    <definedName name="GenTotAmoyá" localSheetId="20">'[3]Supuestos Generales'!#REF!</definedName>
    <definedName name="GenTotAmoyá">'[3]Supuestos Generales'!#REF!</definedName>
    <definedName name="GenTotISAGEN">'[2]Supuestos Generación - Precios'!$B$218:$M$218</definedName>
    <definedName name="_xlnm.Recorder" localSheetId="8">#REF!</definedName>
    <definedName name="_xlnm.Recorder" localSheetId="24">#REF!</definedName>
    <definedName name="_xlnm.Recorder" localSheetId="10">#REF!</definedName>
    <definedName name="_xlnm.Recorder" localSheetId="20">#REF!</definedName>
    <definedName name="_xlnm.Recorder">#REF!</definedName>
    <definedName name="HHV" localSheetId="8">#REF!</definedName>
    <definedName name="HHV" localSheetId="24">#REF!</definedName>
    <definedName name="HHV" localSheetId="10">#REF!</definedName>
    <definedName name="HHV" localSheetId="20">#REF!</definedName>
    <definedName name="HHV">#REF!</definedName>
    <definedName name="IASICo" localSheetId="8">#REF!</definedName>
    <definedName name="IASICo" localSheetId="24">#REF!</definedName>
    <definedName name="IASICo" localSheetId="10">#REF!</definedName>
    <definedName name="IASICo" localSheetId="20">#REF!</definedName>
    <definedName name="IASICo">#REF!</definedName>
    <definedName name="IND" localSheetId="8">#REF!</definedName>
    <definedName name="IND" localSheetId="24">#REF!</definedName>
    <definedName name="IND" localSheetId="10">#REF!</definedName>
    <definedName name="IND" localSheetId="20">#REF!</definedName>
    <definedName name="IND">#REF!</definedName>
    <definedName name="INDEX" localSheetId="8">#REF!</definedName>
    <definedName name="INDEX" localSheetId="24">#REF!</definedName>
    <definedName name="INDEX" localSheetId="10">#REF!</definedName>
    <definedName name="INDEX" localSheetId="20">#REF!</definedName>
    <definedName name="INDEX">#REF!</definedName>
    <definedName name="Inflacion_Externa" localSheetId="8">#REF!</definedName>
    <definedName name="Inflacion_Externa" localSheetId="24">#REF!</definedName>
    <definedName name="Inflacion_Externa" localSheetId="10">#REF!</definedName>
    <definedName name="Inflacion_Externa" localSheetId="20">#REF!</definedName>
    <definedName name="Inflacion_Externa">#REF!</definedName>
    <definedName name="Inflacion_Interna" localSheetId="8">#REF!</definedName>
    <definedName name="Inflacion_Interna" localSheetId="24">#REF!</definedName>
    <definedName name="Inflacion_Interna" localSheetId="10">#REF!</definedName>
    <definedName name="Inflacion_Interna" localSheetId="20">#REF!</definedName>
    <definedName name="Inflacion_Interna">#REF!</definedName>
    <definedName name="INIDEUDA" localSheetId="8">#REF!</definedName>
    <definedName name="INIDEUDA" localSheetId="24">#REF!</definedName>
    <definedName name="INIDEUDA" localSheetId="10">#REF!</definedName>
    <definedName name="INIDEUDA" localSheetId="20">#REF!</definedName>
    <definedName name="INIDEUDA">#REF!</definedName>
    <definedName name="InitYear" localSheetId="8">#REF!</definedName>
    <definedName name="InitYear" localSheetId="24">#REF!</definedName>
    <definedName name="InitYear" localSheetId="10">#REF!</definedName>
    <definedName name="InitYear" localSheetId="20">#REF!</definedName>
    <definedName name="InitYear">#REF!</definedName>
    <definedName name="INVER" localSheetId="8">#REF!</definedName>
    <definedName name="INVER" localSheetId="24">#REF!</definedName>
    <definedName name="INVER" localSheetId="10">#REF!</definedName>
    <definedName name="INVER" localSheetId="20">#REF!</definedName>
    <definedName name="INVER">#REF!</definedName>
    <definedName name="IPC" localSheetId="8">#REF!</definedName>
    <definedName name="IPC" localSheetId="24">#REF!</definedName>
    <definedName name="IPC" localSheetId="10">#REF!</definedName>
    <definedName name="IPC" localSheetId="20">#REF!</definedName>
    <definedName name="IPC">#REF!</definedName>
    <definedName name="IPPobjetivo">'[2]EscGen-Precios'!$C$13</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"11/26/2012 13:56:32"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ER" localSheetId="8">#REF!</definedName>
    <definedName name="ITER" localSheetId="24">#REF!</definedName>
    <definedName name="ITER" localSheetId="10">#REF!</definedName>
    <definedName name="ITER" localSheetId="20">#REF!</definedName>
    <definedName name="ITER">#REF!</definedName>
    <definedName name="LETRA" localSheetId="8">#REF!</definedName>
    <definedName name="LETRA" localSheetId="24">#REF!</definedName>
    <definedName name="LETRA" localSheetId="10">#REF!</definedName>
    <definedName name="LETRA" localSheetId="20">#REF!</definedName>
    <definedName name="LETRA">#REF!</definedName>
    <definedName name="LETRAS" localSheetId="8">#REF!</definedName>
    <definedName name="LETRAS" localSheetId="24">#REF!</definedName>
    <definedName name="LETRAS" localSheetId="10">#REF!</definedName>
    <definedName name="LETRAS" localSheetId="20">#REF!</definedName>
    <definedName name="LETRAS">#REF!</definedName>
    <definedName name="ListOffset" hidden="1">1</definedName>
    <definedName name="MAIN" localSheetId="8">#REF!</definedName>
    <definedName name="MAIN" localSheetId="24">#REF!</definedName>
    <definedName name="MAIN" localSheetId="10">#REF!</definedName>
    <definedName name="MAIN" localSheetId="20">#REF!</definedName>
    <definedName name="MAIN">#REF!</definedName>
    <definedName name="MERP" localSheetId="8">#REF!</definedName>
    <definedName name="MERP" localSheetId="24">#REF!</definedName>
    <definedName name="MERP" localSheetId="10">#REF!</definedName>
    <definedName name="MERP" localSheetId="20">#REF!</definedName>
    <definedName name="MERP">#REF!</definedName>
    <definedName name="MESP" localSheetId="8">#REF!</definedName>
    <definedName name="MESP" localSheetId="24">#REF!</definedName>
    <definedName name="MESP" localSheetId="10">#REF!</definedName>
    <definedName name="MESP" localSheetId="20">#REF!</definedName>
    <definedName name="MESP">#REF!</definedName>
    <definedName name="MESP2" localSheetId="8">#REF!</definedName>
    <definedName name="MESP2" localSheetId="24">#REF!</definedName>
    <definedName name="MESP2" localSheetId="10">#REF!</definedName>
    <definedName name="MESP2" localSheetId="20">#REF!</definedName>
    <definedName name="MESP2">#REF!</definedName>
    <definedName name="MFEC" localSheetId="8">#REF!</definedName>
    <definedName name="MFEC" localSheetId="24">#REF!</definedName>
    <definedName name="MFEC" localSheetId="10">#REF!</definedName>
    <definedName name="MFEC" localSheetId="20">#REF!</definedName>
    <definedName name="MFEC">#REF!</definedName>
    <definedName name="MFEC2" localSheetId="8">#REF!</definedName>
    <definedName name="MFEC2" localSheetId="24">#REF!</definedName>
    <definedName name="MFEC2" localSheetId="10">#REF!</definedName>
    <definedName name="MFEC2" localSheetId="20">#REF!</definedName>
    <definedName name="MFEC2">#REF!</definedName>
    <definedName name="MOAP" localSheetId="8">#REF!</definedName>
    <definedName name="MOAP" localSheetId="24">#REF!</definedName>
    <definedName name="MOAP" localSheetId="10">#REF!</definedName>
    <definedName name="MOAP" localSheetId="20">#REF!</definedName>
    <definedName name="MOAP">#REF!</definedName>
    <definedName name="MOAP2" localSheetId="8">#REF!</definedName>
    <definedName name="MOAP2" localSheetId="24">#REF!</definedName>
    <definedName name="MOAP2" localSheetId="10">#REF!</definedName>
    <definedName name="MOAP2" localSheetId="20">#REF!</definedName>
    <definedName name="MOAP2">#REF!</definedName>
    <definedName name="MONEDA" localSheetId="8">#REF!</definedName>
    <definedName name="MONEDA" localSheetId="24">#REF!</definedName>
    <definedName name="MONEDA" localSheetId="10">#REF!</definedName>
    <definedName name="MONEDA" localSheetId="20">#REF!</definedName>
    <definedName name="MONEDA">#REF!</definedName>
    <definedName name="MREPO" localSheetId="8">#REF!</definedName>
    <definedName name="MREPO" localSheetId="24">#REF!</definedName>
    <definedName name="MREPO" localSheetId="10">#REF!</definedName>
    <definedName name="MREPO" localSheetId="20">#REF!</definedName>
    <definedName name="MREPO">#REF!</definedName>
    <definedName name="MRFP" localSheetId="8">#REF!</definedName>
    <definedName name="MRFP" localSheetId="24">#REF!</definedName>
    <definedName name="MRFP" localSheetId="10">#REF!</definedName>
    <definedName name="MRFP" localSheetId="20">#REF!</definedName>
    <definedName name="MRFP">#REF!</definedName>
    <definedName name="MWH" localSheetId="8">#REF!</definedName>
    <definedName name="MWH" localSheetId="24">#REF!</definedName>
    <definedName name="MWH" localSheetId="10">#REF!</definedName>
    <definedName name="MWH" localSheetId="20">#REF!</definedName>
    <definedName name="MWH">#REF!</definedName>
    <definedName name="NEMP" localSheetId="8">#REF!</definedName>
    <definedName name="NEMP" localSheetId="24">#REF!</definedName>
    <definedName name="NEMP" localSheetId="10">#REF!</definedName>
    <definedName name="NEMP" localSheetId="20">#REF!</definedName>
    <definedName name="NEMP">#REF!</definedName>
    <definedName name="NOPRO" localSheetId="8">#REF!</definedName>
    <definedName name="NOPRO" localSheetId="24">#REF!</definedName>
    <definedName name="NOPRO" localSheetId="10">#REF!</definedName>
    <definedName name="NOPRO" localSheetId="20">#REF!</definedName>
    <definedName name="NOPRO">#REF!</definedName>
    <definedName name="NSE" localSheetId="8">#REF!</definedName>
    <definedName name="NSE" localSheetId="24">#REF!</definedName>
    <definedName name="NSE" localSheetId="10">#REF!</definedName>
    <definedName name="NSE" localSheetId="20">#REF!</definedName>
    <definedName name="NSE">#REF!</definedName>
    <definedName name="OAP" localSheetId="8">#REF!</definedName>
    <definedName name="OAP" localSheetId="24">#REF!</definedName>
    <definedName name="OAP" localSheetId="10">#REF!</definedName>
    <definedName name="OAP" localSheetId="20">#REF!</definedName>
    <definedName name="OAP">#REF!</definedName>
    <definedName name="OAPC" localSheetId="8">#REF!</definedName>
    <definedName name="OAPC" localSheetId="24">#REF!</definedName>
    <definedName name="OAPC" localSheetId="10">#REF!</definedName>
    <definedName name="OAPC" localSheetId="20">#REF!</definedName>
    <definedName name="OAPC">#REF!</definedName>
    <definedName name="OATITLE" localSheetId="8">#REF!</definedName>
    <definedName name="OATITLE" localSheetId="24">#REF!</definedName>
    <definedName name="OATITLE" localSheetId="10">#REF!</definedName>
    <definedName name="OATITLE" localSheetId="20">#REF!</definedName>
    <definedName name="OATITLE">#REF!</definedName>
    <definedName name="OMONE" localSheetId="8">#REF!</definedName>
    <definedName name="OMONE" localSheetId="24">#REF!</definedName>
    <definedName name="OMONE" localSheetId="10">#REF!</definedName>
    <definedName name="OMONE" localSheetId="20">#REF!</definedName>
    <definedName name="OMONE">#REF!</definedName>
    <definedName name="OPSELC" localSheetId="8">#REF!</definedName>
    <definedName name="OPSELC" localSheetId="24">#REF!</definedName>
    <definedName name="OPSELC" localSheetId="10">#REF!</definedName>
    <definedName name="OPSELC" localSheetId="20">#REF!</definedName>
    <definedName name="OPSELC">#REF!</definedName>
    <definedName name="OUTPUT" localSheetId="8">#REF!</definedName>
    <definedName name="OUTPUT" localSheetId="24">#REF!</definedName>
    <definedName name="OUTPUT" localSheetId="10">#REF!</definedName>
    <definedName name="OUTPUT" localSheetId="20">#REF!</definedName>
    <definedName name="OUTPUT">#REF!</definedName>
    <definedName name="OUTPUTE" localSheetId="8">#REF!</definedName>
    <definedName name="OUTPUTE" localSheetId="24">#REF!</definedName>
    <definedName name="OUTPUTE" localSheetId="10">#REF!</definedName>
    <definedName name="OUTPUTE" localSheetId="20">#REF!</definedName>
    <definedName name="OUTPUTE">#REF!</definedName>
    <definedName name="OUTPUTPR" localSheetId="8">#REF!</definedName>
    <definedName name="OUTPUTPR" localSheetId="24">#REF!</definedName>
    <definedName name="OUTPUTPR" localSheetId="10">#REF!</definedName>
    <definedName name="OUTPUTPR" localSheetId="20">#REF!</definedName>
    <definedName name="OUTPUTPR">#REF!</definedName>
    <definedName name="Pago_CND_Isagen_Gen" localSheetId="8">#REF!</definedName>
    <definedName name="Pago_CND_Isagen_Gen" localSheetId="24">#REF!</definedName>
    <definedName name="Pago_CND_Isagen_Gen" localSheetId="10">#REF!</definedName>
    <definedName name="Pago_CND_Isagen_Gen" localSheetId="20">#REF!</definedName>
    <definedName name="Pago_CND_Isagen_Gen">#REF!</definedName>
    <definedName name="Pago_CRDs_Isagen_Gen" localSheetId="8">#REF!</definedName>
    <definedName name="Pago_CRDs_Isagen_Gen" localSheetId="24">#REF!</definedName>
    <definedName name="Pago_CRDs_Isagen_Gen" localSheetId="10">#REF!</definedName>
    <definedName name="Pago_CRDs_Isagen_Gen" localSheetId="20">#REF!</definedName>
    <definedName name="Pago_CRDs_Isagen_Gen">#REF!</definedName>
    <definedName name="Pago_SIC_Isagen_Gen" localSheetId="8">#REF!</definedName>
    <definedName name="Pago_SIC_Isagen_Gen" localSheetId="24">#REF!</definedName>
    <definedName name="Pago_SIC_Isagen_Gen" localSheetId="10">#REF!</definedName>
    <definedName name="Pago_SIC_Isagen_Gen" localSheetId="20">#REF!</definedName>
    <definedName name="Pago_SIC_Isagen_Gen">#REF!</definedName>
    <definedName name="PbolsaKte">'[2]Supuestos Generación - Precios'!$B$250:$M$250</definedName>
    <definedName name="PcompraBolsaKte">'[2]Supuestos Generación - Precios'!$B$324:$M$324</definedName>
    <definedName name="PcontratosCFIKte">'[2]Supuestos Generación - Precios'!$B$292:$M$292</definedName>
    <definedName name="PcontratosMEMKte">'[2]Supuestos Generación - Precios'!$B$272:$M$272</definedName>
    <definedName name="PLANFIN" localSheetId="8">#REF!</definedName>
    <definedName name="PLANFIN" localSheetId="24">#REF!</definedName>
    <definedName name="PLANFIN" localSheetId="10">#REF!</definedName>
    <definedName name="PLANFIN" localSheetId="20">#REF!</definedName>
    <definedName name="PLANFIN">#REF!</definedName>
    <definedName name="PORTA" localSheetId="8">#REF!</definedName>
    <definedName name="PORTA" localSheetId="24">#REF!</definedName>
    <definedName name="PORTA" localSheetId="10">#REF!</definedName>
    <definedName name="PORTA" localSheetId="20">#REF!</definedName>
    <definedName name="PORTA">#REF!</definedName>
    <definedName name="POTE" localSheetId="8">#REF!</definedName>
    <definedName name="POTE" localSheetId="24">#REF!</definedName>
    <definedName name="POTE" localSheetId="10">#REF!</definedName>
    <definedName name="POTE" localSheetId="20">#REF!</definedName>
    <definedName name="POTE">#REF!</definedName>
    <definedName name="PrecioComprasContratos" localSheetId="8">#REF!</definedName>
    <definedName name="PrecioComprasContratos" localSheetId="24">#REF!</definedName>
    <definedName name="PrecioComprasContratos" localSheetId="10">#REF!</definedName>
    <definedName name="PrecioComprasContratos" localSheetId="20">#REF!</definedName>
    <definedName name="PrecioComprasContratos">#REF!</definedName>
    <definedName name="PREST" localSheetId="8">#REF!</definedName>
    <definedName name="PREST" localSheetId="24">#REF!</definedName>
    <definedName name="PREST" localSheetId="10">#REF!</definedName>
    <definedName name="PREST" localSheetId="20">#REF!</definedName>
    <definedName name="PREST">#REF!</definedName>
    <definedName name="PRESTTOT" localSheetId="8">#REF!</definedName>
    <definedName name="PRESTTOT" localSheetId="24">#REF!</definedName>
    <definedName name="PRESTTOT" localSheetId="10">#REF!</definedName>
    <definedName name="PRESTTOT" localSheetId="20">#REF!</definedName>
    <definedName name="PRESTTOT">#REF!</definedName>
    <definedName name="Print_Area_MI" localSheetId="8">#REF!</definedName>
    <definedName name="Print_Area_MI" localSheetId="24">#REF!</definedName>
    <definedName name="Print_Area_MI" localSheetId="10">#REF!</definedName>
    <definedName name="Print_Area_MI" localSheetId="20">#REF!</definedName>
    <definedName name="Print_Area_MI">#REF!</definedName>
    <definedName name="PSCREEN" localSheetId="8">#REF!</definedName>
    <definedName name="PSCREEN" localSheetId="24">#REF!</definedName>
    <definedName name="PSCREEN" localSheetId="10">#REF!</definedName>
    <definedName name="PSCREEN" localSheetId="20">#REF!</definedName>
    <definedName name="PSCREEN">#REF!</definedName>
    <definedName name="PUNTO" localSheetId="8">#REF!</definedName>
    <definedName name="PUNTO" localSheetId="24">#REF!</definedName>
    <definedName name="PUNTO" localSheetId="10">#REF!</definedName>
    <definedName name="PUNTO" localSheetId="20">#REF!</definedName>
    <definedName name="PUNTO">#REF!</definedName>
    <definedName name="PventaBolsaKte">'[2]Supuestos Generación - Precios'!$B$323:$M$323</definedName>
    <definedName name="PYG" localSheetId="8">#REF!</definedName>
    <definedName name="PYG" localSheetId="24">#REF!</definedName>
    <definedName name="PYG" localSheetId="10">#REF!</definedName>
    <definedName name="PYG" localSheetId="20">#REF!</definedName>
    <definedName name="PYG">#REF!</definedName>
    <definedName name="RCRT_ISAGEN_Amoyá" localSheetId="8">#REF!</definedName>
    <definedName name="RCRT_ISAGEN_Amoyá" localSheetId="24">#REF!</definedName>
    <definedName name="RCRT_ISAGEN_Amoyá" localSheetId="10">#REF!</definedName>
    <definedName name="RCRT_ISAGEN_Amoyá" localSheetId="20">#REF!</definedName>
    <definedName name="RCRT_ISAGEN_Amoyá">#REF!</definedName>
    <definedName name="RDn_1" localSheetId="8">#REF!</definedName>
    <definedName name="RDn_1" localSheetId="24">#REF!</definedName>
    <definedName name="RDn_1" localSheetId="10">#REF!</definedName>
    <definedName name="RDn_1" localSheetId="20">#REF!</definedName>
    <definedName name="RDn_1">#REF!</definedName>
    <definedName name="RDn_2" localSheetId="8">#REF!</definedName>
    <definedName name="RDn_2" localSheetId="24">#REF!</definedName>
    <definedName name="RDn_2" localSheetId="10">#REF!</definedName>
    <definedName name="RDn_2" localSheetId="20">#REF!</definedName>
    <definedName name="RDn_2">#REF!</definedName>
    <definedName name="RE_BALANCE" localSheetId="8">#REF!</definedName>
    <definedName name="RE_BALANCE" localSheetId="24">#REF!</definedName>
    <definedName name="RE_BALANCE" localSheetId="10">#REF!</definedName>
    <definedName name="RE_BALANCE" localSheetId="20">#REF!</definedName>
    <definedName name="RE_BALANCE">#REF!</definedName>
    <definedName name="RE_BALANE_DOL" localSheetId="8">#REF!</definedName>
    <definedName name="RE_BALANE_DOL" localSheetId="24">#REF!</definedName>
    <definedName name="RE_BALANE_DOL" localSheetId="10">#REF!</definedName>
    <definedName name="RE_BALANE_DOL" localSheetId="20">#REF!</definedName>
    <definedName name="RE_BALANE_DOL">#REF!</definedName>
    <definedName name="RE_FdeF" localSheetId="8">#REF!</definedName>
    <definedName name="RE_FdeF" localSheetId="24">#REF!</definedName>
    <definedName name="RE_FdeF" localSheetId="10">#REF!</definedName>
    <definedName name="RE_FdeF" localSheetId="20">#REF!</definedName>
    <definedName name="RE_FdeF">#REF!</definedName>
    <definedName name="RE_FdeF_DOLAR" localSheetId="8">#REF!</definedName>
    <definedName name="RE_FdeF_DOLAR" localSheetId="24">#REF!</definedName>
    <definedName name="RE_FdeF_DOLAR" localSheetId="10">#REF!</definedName>
    <definedName name="RE_FdeF_DOLAR" localSheetId="20">#REF!</definedName>
    <definedName name="RE_FdeF_DOLAR">#REF!</definedName>
    <definedName name="RE_PYG" localSheetId="8">#REF!</definedName>
    <definedName name="RE_PYG" localSheetId="24">#REF!</definedName>
    <definedName name="RE_PYG" localSheetId="10">#REF!</definedName>
    <definedName name="RE_PYG" localSheetId="20">#REF!</definedName>
    <definedName name="RE_PYG">#REF!</definedName>
    <definedName name="RE_PyG_DOLAR" localSheetId="8">#REF!</definedName>
    <definedName name="RE_PyG_DOLAR" localSheetId="24">#REF!</definedName>
    <definedName name="RE_PyG_DOLAR" localSheetId="10">#REF!</definedName>
    <definedName name="RE_PyG_DOLAR" localSheetId="20">#REF!</definedName>
    <definedName name="RE_PyG_DOLAR">#REF!</definedName>
    <definedName name="RELAC" localSheetId="8">#REF!</definedName>
    <definedName name="RELAC" localSheetId="24">#REF!</definedName>
    <definedName name="RELAC" localSheetId="10">#REF!</definedName>
    <definedName name="RELAC" localSheetId="20">#REF!</definedName>
    <definedName name="RELAC">#REF!</definedName>
    <definedName name="REPO2" localSheetId="8">#REF!</definedName>
    <definedName name="REPO2" localSheetId="24">#REF!</definedName>
    <definedName name="REPO2" localSheetId="10">#REF!</definedName>
    <definedName name="REPO2" localSheetId="20">#REF!</definedName>
    <definedName name="REPO2">#REF!</definedName>
    <definedName name="REPOCALC" localSheetId="8">#REF!</definedName>
    <definedName name="REPOCALC" localSheetId="24">#REF!</definedName>
    <definedName name="REPOCALC" localSheetId="10">#REF!</definedName>
    <definedName name="REPOCALC" localSheetId="20">#REF!</definedName>
    <definedName name="REPOCALC">#REF!</definedName>
    <definedName name="REPOPRO" localSheetId="8">#REF!</definedName>
    <definedName name="REPOPRO" localSheetId="24">#REF!</definedName>
    <definedName name="REPOPRO" localSheetId="10">#REF!</definedName>
    <definedName name="REPOPRO" localSheetId="20">#REF!</definedName>
    <definedName name="REPOPRO">#REF!</definedName>
    <definedName name="REPSUB" localSheetId="8">#REF!</definedName>
    <definedName name="REPSUB" localSheetId="24">#REF!</definedName>
    <definedName name="REPSUB" localSheetId="10">#REF!</definedName>
    <definedName name="REPSUB" localSheetId="20">#REF!</definedName>
    <definedName name="REPSUB">#REF!</definedName>
    <definedName name="RESSAL" localSheetId="8">#REF!</definedName>
    <definedName name="RESSAL" localSheetId="24">#REF!</definedName>
    <definedName name="RESSAL" localSheetId="10">#REF!</definedName>
    <definedName name="RESSAL" localSheetId="20">#REF!</definedName>
    <definedName name="RESSAL">#REF!</definedName>
    <definedName name="Restricciones" localSheetId="8">#REF!</definedName>
    <definedName name="Restricciones" localSheetId="24">#REF!</definedName>
    <definedName name="Restricciones" localSheetId="10">#REF!</definedName>
    <definedName name="Restricciones" localSheetId="20">#REF!</definedName>
    <definedName name="Restricciones">#REF!</definedName>
    <definedName name="RFCRo" localSheetId="8">#REF!</definedName>
    <definedName name="RFCRo" localSheetId="24">#REF!</definedName>
    <definedName name="RFCRo" localSheetId="10">#REF!</definedName>
    <definedName name="RFCRo" localSheetId="20">#REF!</definedName>
    <definedName name="RFCRo">#REF!</definedName>
    <definedName name="RFP" localSheetId="8">#REF!</definedName>
    <definedName name="RFP" localSheetId="24">#REF!</definedName>
    <definedName name="RFP" localSheetId="10">#REF!</definedName>
    <definedName name="RFP" localSheetId="20">#REF!</definedName>
    <definedName name="RFP">#REF!</definedName>
    <definedName name="RFPC" localSheetId="8">#REF!</definedName>
    <definedName name="RFPC" localSheetId="24">#REF!</definedName>
    <definedName name="RFPC" localSheetId="10">#REF!</definedName>
    <definedName name="RFPC" localSheetId="20">#REF!</definedName>
    <definedName name="RFPC">#REF!</definedName>
    <definedName name="RFTITLE" localSheetId="8">#REF!</definedName>
    <definedName name="RFTITLE" localSheetId="24">#REF!</definedName>
    <definedName name="RFTITLE" localSheetId="10">#REF!</definedName>
    <definedName name="RFTITLE" localSheetId="20">#REF!</definedName>
    <definedName name="RFTITLE">#REF!</definedName>
    <definedName name="RICNDo" localSheetId="8">#REF!</definedName>
    <definedName name="RICNDo" localSheetId="24">#REF!</definedName>
    <definedName name="RICNDo" localSheetId="10">#REF!</definedName>
    <definedName name="RICNDo" localSheetId="20">#REF!</definedName>
    <definedName name="RICNDo">#REF!</definedName>
    <definedName name="RPCNDo" localSheetId="8">#REF!</definedName>
    <definedName name="RPCNDo" localSheetId="24">#REF!</definedName>
    <definedName name="RPCNDo" localSheetId="10">#REF!</definedName>
    <definedName name="RPCNDo" localSheetId="20">#REF!</definedName>
    <definedName name="RPCNDo">#REF!</definedName>
    <definedName name="RUTIAN4" localSheetId="8">#REF!</definedName>
    <definedName name="RUTIAN4" localSheetId="24">#REF!</definedName>
    <definedName name="RUTIAN4" localSheetId="10">#REF!</definedName>
    <definedName name="RUTIAN4" localSheetId="20">#REF!</definedName>
    <definedName name="RUTIAN4">#REF!</definedName>
    <definedName name="RUTINA3" localSheetId="8">#REF!</definedName>
    <definedName name="RUTINA3" localSheetId="24">#REF!</definedName>
    <definedName name="RUTINA3" localSheetId="10">#REF!</definedName>
    <definedName name="RUTINA3" localSheetId="20">#REF!</definedName>
    <definedName name="RUTINA3">#REF!</definedName>
    <definedName name="RUTINA4" localSheetId="8">#REF!</definedName>
    <definedName name="RUTINA4" localSheetId="24">#REF!</definedName>
    <definedName name="RUTINA4" localSheetId="10">#REF!</definedName>
    <definedName name="RUTINA4" localSheetId="20">#REF!</definedName>
    <definedName name="RUTINA4">#REF!</definedName>
    <definedName name="S309MONE" localSheetId="8">#REF!</definedName>
    <definedName name="S309MONE" localSheetId="24">#REF!</definedName>
    <definedName name="S309MONE" localSheetId="10">#REF!</definedName>
    <definedName name="S309MONE" localSheetId="20">#REF!</definedName>
    <definedName name="S309MONE">#REF!</definedName>
    <definedName name="SCREEN" localSheetId="8">#REF!</definedName>
    <definedName name="SCREEN" localSheetId="24">#REF!</definedName>
    <definedName name="SCREEN" localSheetId="10">#REF!</definedName>
    <definedName name="SCREEN" localSheetId="20">#REF!</definedName>
    <definedName name="SCREEN">#REF!</definedName>
    <definedName name="Set">" "</definedName>
    <definedName name="SIT" localSheetId="8">#REF!</definedName>
    <definedName name="SIT" localSheetId="24">#REF!</definedName>
    <definedName name="SIT" localSheetId="10">#REF!</definedName>
    <definedName name="SIT" localSheetId="20">#REF!</definedName>
    <definedName name="SIT">#REF!</definedName>
    <definedName name="SPWS_WBID">"46DDBCC0-4508-42B6-9CBB-69E5C84623A4"</definedName>
    <definedName name="SSP" localSheetId="8">#REF!</definedName>
    <definedName name="SSP" localSheetId="24">#REF!</definedName>
    <definedName name="SSP" localSheetId="10">#REF!</definedName>
    <definedName name="SSP" localSheetId="20">#REF!</definedName>
    <definedName name="SSP">#REF!</definedName>
    <definedName name="T1RES" localSheetId="8">#REF!</definedName>
    <definedName name="T1RES" localSheetId="24">#REF!</definedName>
    <definedName name="T1RES" localSheetId="10">#REF!</definedName>
    <definedName name="T1RES" localSheetId="20">#REF!</definedName>
    <definedName name="T1RES">#REF!</definedName>
    <definedName name="TABLA1" localSheetId="8">#REF!</definedName>
    <definedName name="TABLA1" localSheetId="24">#REF!</definedName>
    <definedName name="TABLA1" localSheetId="10">#REF!</definedName>
    <definedName name="TABLA1" localSheetId="20">#REF!</definedName>
    <definedName name="TABLA1">#REF!</definedName>
    <definedName name="Tabla2" localSheetId="8">#REF!</definedName>
    <definedName name="Tabla2" localSheetId="24">#REF!</definedName>
    <definedName name="Tabla2" localSheetId="10">#REF!</definedName>
    <definedName name="Tabla2" localSheetId="20">#REF!</definedName>
    <definedName name="Tabla2">#REF!</definedName>
    <definedName name="TarifaLey99_HE">'[2]Supuestos cargos MEM - Aportes'!$B$154:$M$154</definedName>
    <definedName name="TARSPMOD" localSheetId="8">#REF!</definedName>
    <definedName name="TARSPMOD" localSheetId="24">#REF!</definedName>
    <definedName name="TARSPMOD" localSheetId="10">#REF!</definedName>
    <definedName name="TARSPMOD" localSheetId="20">#REF!</definedName>
    <definedName name="TARSPMOD">#REF!</definedName>
    <definedName name="TASA" localSheetId="8">#REF!</definedName>
    <definedName name="TASA" localSheetId="24">#REF!</definedName>
    <definedName name="TASA" localSheetId="10">#REF!</definedName>
    <definedName name="TASA" localSheetId="20">#REF!</definedName>
    <definedName name="TASA">#REF!</definedName>
    <definedName name="TasaCambioPromedia" localSheetId="8">#REF!</definedName>
    <definedName name="TasaCambioPromedia" localSheetId="24">#REF!</definedName>
    <definedName name="TasaCambioPromedia" localSheetId="10">#REF!</definedName>
    <definedName name="TasaCambioPromedia" localSheetId="20">#REF!</definedName>
    <definedName name="TasaCambioPromedia">#REF!</definedName>
    <definedName name="TasaDeCambio" localSheetId="8">'[2]Supuestos Combustibles'!#REF!</definedName>
    <definedName name="TasaDeCambio" localSheetId="24">'[2]Supuestos Combustibles'!#REF!</definedName>
    <definedName name="TasaDeCambio" localSheetId="10">'[2]Supuestos Combustibles'!#REF!</definedName>
    <definedName name="TasaDeCambio" localSheetId="20">'[2]Supuestos Combustibles'!#REF!</definedName>
    <definedName name="TasaDeCambio">'[2]Supuestos Combustibles'!#REF!</definedName>
    <definedName name="TASATOT" localSheetId="8">#REF!</definedName>
    <definedName name="TASATOT" localSheetId="24">#REF!</definedName>
    <definedName name="TASATOT" localSheetId="10">#REF!</definedName>
    <definedName name="TASATOT" localSheetId="20">#REF!</definedName>
    <definedName name="TASATOT">#REF!</definedName>
    <definedName name="TEMPO" localSheetId="8">#REF!</definedName>
    <definedName name="TEMPO" localSheetId="24">#REF!</definedName>
    <definedName name="TEMPO" localSheetId="10">#REF!</definedName>
    <definedName name="TEMPO" localSheetId="20">#REF!</definedName>
    <definedName name="TEMPO">#REF!</definedName>
    <definedName name="ticker" localSheetId="8">#REF!</definedName>
    <definedName name="ticker" localSheetId="24">#REF!</definedName>
    <definedName name="ticker" localSheetId="10">#REF!</definedName>
    <definedName name="ticker" localSheetId="20">#REF!</definedName>
    <definedName name="ticker">#REF!</definedName>
    <definedName name="TIPOIN" localSheetId="8">#REF!</definedName>
    <definedName name="TIPOIN" localSheetId="24">#REF!</definedName>
    <definedName name="TIPOIN" localSheetId="10">#REF!</definedName>
    <definedName name="TIPOIN" localSheetId="20">#REF!</definedName>
    <definedName name="TIPOIN">#REF!</definedName>
    <definedName name="TituloEstudio" localSheetId="8">#REF!</definedName>
    <definedName name="TituloEstudio" localSheetId="24">#REF!</definedName>
    <definedName name="TituloEstudio" localSheetId="10">#REF!</definedName>
    <definedName name="TituloEstudio" localSheetId="20">#REF!</definedName>
    <definedName name="TituloEstudio">#REF!</definedName>
    <definedName name="_xlnm.Print_Titles" localSheetId="27">Sheet1!$3:$3</definedName>
    <definedName name="TRANSIT" localSheetId="8">#REF!</definedName>
    <definedName name="TRANSIT" localSheetId="24">#REF!</definedName>
    <definedName name="TRANSIT" localSheetId="10">#REF!</definedName>
    <definedName name="TRANSIT" localSheetId="20">#REF!</definedName>
    <definedName name="TRANSIT">#REF!</definedName>
    <definedName name="Ventas_contratos_GenPropia" localSheetId="8">#REF!</definedName>
    <definedName name="Ventas_contratos_GenPropia" localSheetId="24">#REF!</definedName>
    <definedName name="Ventas_contratos_GenPropia" localSheetId="10">#REF!</definedName>
    <definedName name="Ventas_contratos_GenPropia" localSheetId="20">#REF!</definedName>
    <definedName name="Ventas_contratos_GenPropia">#REF!</definedName>
    <definedName name="VentasBolsa">'[2]Modelo Proyecciones'!$B$32:$M$32</definedName>
    <definedName name="VPN" localSheetId="8">#REF!</definedName>
    <definedName name="VPN" localSheetId="24">#REF!</definedName>
    <definedName name="VPN" localSheetId="10">#REF!</definedName>
    <definedName name="VPN" localSheetId="20">#REF!</definedName>
    <definedName name="VPN">#REF!</definedName>
    <definedName name="VtasComprasForzadas" localSheetId="8">#REF!</definedName>
    <definedName name="VtasComprasForzadas" localSheetId="24">#REF!</definedName>
    <definedName name="VtasComprasForzadas" localSheetId="10">#REF!</definedName>
    <definedName name="VtasComprasForzadas" localSheetId="20">#REF!</definedName>
    <definedName name="VtasComprasForzadas">#REF!</definedName>
    <definedName name="VtasGas" localSheetId="8">#REF!</definedName>
    <definedName name="VtasGas" localSheetId="24">#REF!</definedName>
    <definedName name="VtasGas" localSheetId="10">#REF!</definedName>
    <definedName name="VtasGas" localSheetId="20">#REF!</definedName>
    <definedName name="VtasGas">#REF!</definedName>
    <definedName name="VtasST" localSheetId="8">#REF!</definedName>
    <definedName name="VtasST" localSheetId="24">#REF!</definedName>
    <definedName name="VtasST" localSheetId="10">#REF!</definedName>
    <definedName name="VtasST" localSheetId="20">#REF!</definedName>
    <definedName name="VtasST">#REF!</definedName>
    <definedName name="WH" localSheetId="8">#REF!</definedName>
    <definedName name="WH" localSheetId="24">#REF!</definedName>
    <definedName name="WH" localSheetId="10">#REF!</definedName>
    <definedName name="WH" localSheetId="20">#REF!</definedName>
    <definedName name="WH">#REF!</definedName>
    <definedName name="WHC" localSheetId="8">#REF!</definedName>
    <definedName name="WHC" localSheetId="24">#REF!</definedName>
    <definedName name="WHC" localSheetId="10">#REF!</definedName>
    <definedName name="WHC" localSheetId="20">#REF!</definedName>
    <definedName name="WHC">#REF!</definedName>
    <definedName name="WP" localSheetId="8">#REF!</definedName>
    <definedName name="WP" localSheetId="24">#REF!</definedName>
    <definedName name="WP" localSheetId="10">#REF!</definedName>
    <definedName name="WP" localSheetId="20">#REF!</definedName>
    <definedName name="WP">#REF!</definedName>
    <definedName name="x">'[4]Cto de Patrimonio y Capital'!$C$1</definedName>
    <definedName name="Xn" localSheetId="8">#REF!</definedName>
    <definedName name="Xn" localSheetId="24">#REF!</definedName>
    <definedName name="Xn" localSheetId="10">#REF!</definedName>
    <definedName name="Xn" localSheetId="20">#REF!</definedName>
    <definedName name="Xn">#REF!</definedName>
  </definedNames>
  <calcPr calcId="145621"/>
</workbook>
</file>

<file path=xl/calcChain.xml><?xml version="1.0" encoding="utf-8"?>
<calcChain xmlns="http://schemas.openxmlformats.org/spreadsheetml/2006/main">
  <c r="H22" i="31" l="1"/>
  <c r="H23" i="31" s="1"/>
  <c r="G22" i="31"/>
  <c r="G23" i="31" s="1"/>
  <c r="F22" i="31"/>
  <c r="F23" i="31" s="1"/>
  <c r="E22" i="31"/>
  <c r="E23" i="31" s="1"/>
  <c r="D22" i="31"/>
  <c r="F26" i="31" l="1"/>
  <c r="F25" i="31"/>
  <c r="G26" i="31"/>
  <c r="G25" i="31"/>
  <c r="E25" i="31"/>
  <c r="E26" i="31"/>
  <c r="H25" i="31"/>
  <c r="H26" i="31"/>
  <c r="E44" i="16"/>
  <c r="F44" i="16"/>
  <c r="G44" i="16"/>
  <c r="H44" i="16"/>
  <c r="I44" i="16"/>
  <c r="D44" i="16"/>
  <c r="H26" i="12"/>
  <c r="H24" i="12"/>
  <c r="H25" i="12"/>
  <c r="H23" i="12"/>
  <c r="G26" i="12"/>
  <c r="G22" i="12"/>
  <c r="C61" i="28"/>
  <c r="F32" i="11"/>
  <c r="G18" i="11"/>
  <c r="C27" i="34"/>
  <c r="C26" i="34"/>
  <c r="C25" i="34"/>
  <c r="C20" i="34"/>
  <c r="C52" i="39"/>
  <c r="G20" i="41"/>
  <c r="C18" i="34"/>
  <c r="E33" i="29"/>
  <c r="C39" i="39"/>
  <c r="C43" i="39"/>
  <c r="E31" i="29"/>
  <c r="C33" i="39"/>
  <c r="C25" i="39"/>
  <c r="C31" i="39"/>
  <c r="E26" i="29"/>
  <c r="E25" i="29"/>
  <c r="L23" i="23"/>
  <c r="M23" i="23"/>
  <c r="N23" i="23"/>
  <c r="O23" i="23"/>
  <c r="P23" i="23"/>
  <c r="Q23" i="23"/>
  <c r="R23" i="23"/>
  <c r="S23" i="23"/>
  <c r="T23" i="23"/>
  <c r="K23" i="23"/>
  <c r="D23" i="20"/>
  <c r="L19" i="23"/>
  <c r="M19" i="23"/>
  <c r="N19" i="23"/>
  <c r="O19" i="23"/>
  <c r="P19" i="23"/>
  <c r="Q19" i="23"/>
  <c r="R19" i="23"/>
  <c r="S19" i="23"/>
  <c r="T19" i="23"/>
  <c r="K19" i="23"/>
  <c r="F56" i="43"/>
  <c r="G56" i="43"/>
  <c r="H56" i="43"/>
  <c r="I56" i="43"/>
  <c r="J56" i="43"/>
  <c r="K56" i="43"/>
  <c r="L56" i="43"/>
  <c r="M56" i="43"/>
  <c r="N56" i="43"/>
  <c r="E56" i="43"/>
  <c r="F55" i="43"/>
  <c r="G55" i="43"/>
  <c r="H55" i="43"/>
  <c r="I55" i="43"/>
  <c r="J55" i="43"/>
  <c r="K55" i="43"/>
  <c r="L55" i="43"/>
  <c r="M55" i="43"/>
  <c r="N55" i="43"/>
  <c r="E55" i="43"/>
  <c r="F35" i="43"/>
  <c r="G35" i="43"/>
  <c r="H35" i="43"/>
  <c r="I35" i="43"/>
  <c r="J35" i="43"/>
  <c r="K35" i="43"/>
  <c r="L35" i="43"/>
  <c r="M35" i="43"/>
  <c r="N35" i="43"/>
  <c r="E35" i="43"/>
  <c r="F34" i="43"/>
  <c r="G34" i="43"/>
  <c r="H34" i="43"/>
  <c r="I34" i="43"/>
  <c r="J34" i="43"/>
  <c r="K34" i="43"/>
  <c r="L34" i="43"/>
  <c r="M34" i="43"/>
  <c r="N34" i="43"/>
  <c r="E34" i="43"/>
  <c r="C43" i="31" l="1"/>
  <c r="C44" i="31" s="1"/>
  <c r="D50" i="31"/>
  <c r="D49" i="31" l="1"/>
  <c r="D45" i="31"/>
  <c r="D48" i="31" l="1"/>
  <c r="T46" i="23" l="1"/>
  <c r="L46" i="23" l="1"/>
  <c r="M46" i="23"/>
  <c r="N46" i="23"/>
  <c r="O46" i="23"/>
  <c r="P46" i="23"/>
  <c r="Q46" i="23"/>
  <c r="R46" i="23"/>
  <c r="S46" i="23"/>
  <c r="K46" i="23"/>
  <c r="D21" i="39" l="1"/>
  <c r="E21" i="39" s="1"/>
  <c r="F21" i="39" s="1"/>
  <c r="G21" i="39" s="1"/>
  <c r="H21" i="39" s="1"/>
  <c r="I21" i="39" s="1"/>
  <c r="J21" i="39" s="1"/>
  <c r="K21" i="39" s="1"/>
  <c r="L21" i="39" s="1"/>
  <c r="J23" i="24"/>
  <c r="K23" i="24" s="1"/>
  <c r="L23" i="24" s="1"/>
  <c r="M23" i="24" s="1"/>
  <c r="N23" i="24" s="1"/>
  <c r="O23" i="24" s="1"/>
  <c r="P23" i="24" s="1"/>
  <c r="Q23" i="24" s="1"/>
  <c r="R23" i="24" s="1"/>
  <c r="G55" i="41"/>
  <c r="F40" i="39" l="1"/>
  <c r="G40" i="39" l="1"/>
  <c r="F7" i="42"/>
  <c r="G56" i="41"/>
  <c r="H40" i="39" l="1"/>
  <c r="E45" i="16"/>
  <c r="F45" i="16"/>
  <c r="G45" i="16"/>
  <c r="H45" i="16"/>
  <c r="I45" i="16"/>
  <c r="D45" i="16"/>
  <c r="I40" i="39" l="1"/>
  <c r="H39" i="42"/>
  <c r="H40" i="42" s="1"/>
  <c r="I38" i="42"/>
  <c r="I37" i="42"/>
  <c r="I33" i="42"/>
  <c r="F18" i="42"/>
  <c r="F17" i="42"/>
  <c r="F16" i="42"/>
  <c r="F15" i="42"/>
  <c r="F14" i="42"/>
  <c r="F13" i="42"/>
  <c r="F12" i="42"/>
  <c r="F11" i="42"/>
  <c r="F10" i="42"/>
  <c r="F9" i="42"/>
  <c r="F8" i="42"/>
  <c r="J40" i="39" l="1"/>
  <c r="L40" i="39" l="1"/>
  <c r="K40" i="39"/>
  <c r="G57" i="41"/>
  <c r="K52" i="41"/>
  <c r="L52" i="41" s="1"/>
  <c r="I52" i="41"/>
  <c r="H52" i="41" s="1"/>
  <c r="E23" i="29"/>
  <c r="F10" i="29"/>
  <c r="G10" i="29"/>
  <c r="H10" i="29"/>
  <c r="I10" i="29"/>
  <c r="J10" i="29"/>
  <c r="K10" i="29"/>
  <c r="L10" i="29"/>
  <c r="M10" i="29"/>
  <c r="N10" i="29"/>
  <c r="E10" i="29"/>
  <c r="E14" i="29"/>
  <c r="E29" i="29" s="1"/>
  <c r="F14" i="29"/>
  <c r="D32" i="39" s="1"/>
  <c r="G14" i="29"/>
  <c r="E32" i="39" s="1"/>
  <c r="H14" i="29"/>
  <c r="F32" i="39" s="1"/>
  <c r="I14" i="29"/>
  <c r="G32" i="39" s="1"/>
  <c r="J14" i="29"/>
  <c r="H32" i="39" s="1"/>
  <c r="K14" i="29"/>
  <c r="I32" i="39" s="1"/>
  <c r="L14" i="29"/>
  <c r="J32" i="39" s="1"/>
  <c r="M14" i="29"/>
  <c r="K32" i="39" s="1"/>
  <c r="N14" i="29"/>
  <c r="L32" i="39" s="1"/>
  <c r="I20" i="24"/>
  <c r="C17" i="39"/>
  <c r="K102" i="22"/>
  <c r="F33" i="40"/>
  <c r="G33" i="40"/>
  <c r="H33" i="40"/>
  <c r="I33" i="40"/>
  <c r="J33" i="40"/>
  <c r="F31" i="40"/>
  <c r="G31" i="40"/>
  <c r="H31" i="40"/>
  <c r="I31" i="40"/>
  <c r="J31" i="40"/>
  <c r="F29" i="40"/>
  <c r="G29" i="40"/>
  <c r="H29" i="40"/>
  <c r="I29" i="40"/>
  <c r="J29" i="40"/>
  <c r="E33" i="40"/>
  <c r="E31" i="40"/>
  <c r="E29" i="40"/>
  <c r="F27" i="40"/>
  <c r="G27" i="40"/>
  <c r="H27" i="40"/>
  <c r="I27" i="40"/>
  <c r="J27" i="40"/>
  <c r="E27" i="40"/>
  <c r="K19" i="40"/>
  <c r="L19" i="40" s="1"/>
  <c r="M19" i="40" s="1"/>
  <c r="N19" i="40" s="1"/>
  <c r="O19" i="40" s="1"/>
  <c r="P19" i="40" s="1"/>
  <c r="Q19" i="40" s="1"/>
  <c r="R19" i="40" s="1"/>
  <c r="S19" i="40" s="1"/>
  <c r="T19" i="40" s="1"/>
  <c r="T32" i="40" s="1"/>
  <c r="K17" i="40"/>
  <c r="K15" i="40"/>
  <c r="L15" i="40" s="1"/>
  <c r="M15" i="40" s="1"/>
  <c r="N15" i="40" s="1"/>
  <c r="O15" i="40" s="1"/>
  <c r="P15" i="40" s="1"/>
  <c r="Q15" i="40" s="1"/>
  <c r="R15" i="40" s="1"/>
  <c r="S15" i="40" s="1"/>
  <c r="T15" i="40" s="1"/>
  <c r="T28" i="40" s="1"/>
  <c r="G16" i="40"/>
  <c r="L10" i="40"/>
  <c r="M10" i="40"/>
  <c r="N10" i="40"/>
  <c r="O10" i="40"/>
  <c r="P10" i="40"/>
  <c r="Q10" i="40"/>
  <c r="R10" i="40"/>
  <c r="S10" i="40"/>
  <c r="T10" i="40"/>
  <c r="K10" i="40"/>
  <c r="K13" i="40"/>
  <c r="K26" i="40" s="1"/>
  <c r="J20" i="40"/>
  <c r="I20" i="40"/>
  <c r="H20" i="40"/>
  <c r="G20" i="40"/>
  <c r="F20" i="40"/>
  <c r="J18" i="40"/>
  <c r="I18" i="40"/>
  <c r="H18" i="40"/>
  <c r="G18" i="40"/>
  <c r="F18" i="40"/>
  <c r="J16" i="40"/>
  <c r="I16" i="40"/>
  <c r="H16" i="40"/>
  <c r="F16" i="40"/>
  <c r="J14" i="40"/>
  <c r="I14" i="40"/>
  <c r="H14" i="40"/>
  <c r="G14" i="40"/>
  <c r="F14" i="40"/>
  <c r="F36" i="40"/>
  <c r="E22" i="40"/>
  <c r="C167" i="24"/>
  <c r="J36" i="40" l="1"/>
  <c r="E36" i="40"/>
  <c r="E39" i="40" s="1"/>
  <c r="E41" i="40" s="1"/>
  <c r="L17" i="40"/>
  <c r="M17" i="40" s="1"/>
  <c r="K30" i="40"/>
  <c r="F22" i="40"/>
  <c r="G36" i="40"/>
  <c r="H36" i="40"/>
  <c r="K22" i="40"/>
  <c r="C32" i="39"/>
  <c r="S32" i="40"/>
  <c r="O32" i="40"/>
  <c r="O28" i="40"/>
  <c r="R28" i="40"/>
  <c r="N28" i="40"/>
  <c r="R32" i="40"/>
  <c r="N32" i="40"/>
  <c r="S28" i="40"/>
  <c r="K28" i="40"/>
  <c r="Q28" i="40"/>
  <c r="M28" i="40"/>
  <c r="K32" i="40"/>
  <c r="Q32" i="40"/>
  <c r="M32" i="40"/>
  <c r="P28" i="40"/>
  <c r="L28" i="40"/>
  <c r="P32" i="40"/>
  <c r="L32" i="40"/>
  <c r="I36" i="40"/>
  <c r="F39" i="40"/>
  <c r="L13" i="40"/>
  <c r="J22" i="40"/>
  <c r="J39" i="40" s="1"/>
  <c r="H22" i="40"/>
  <c r="H39" i="40" s="1"/>
  <c r="G22" i="40"/>
  <c r="I22" i="40"/>
  <c r="G39" i="40" l="1"/>
  <c r="L22" i="40"/>
  <c r="L30" i="40"/>
  <c r="K36" i="40"/>
  <c r="K39" i="40" s="1"/>
  <c r="I167" i="24" s="1"/>
  <c r="G41" i="40"/>
  <c r="E167" i="24"/>
  <c r="J41" i="40"/>
  <c r="I39" i="40"/>
  <c r="H167" i="24" s="1"/>
  <c r="H41" i="40"/>
  <c r="F167" i="24"/>
  <c r="F168" i="24" s="1"/>
  <c r="F41" i="40"/>
  <c r="D167" i="24"/>
  <c r="M13" i="40"/>
  <c r="M22" i="40" s="1"/>
  <c r="L26" i="40"/>
  <c r="N17" i="40"/>
  <c r="M30" i="40"/>
  <c r="L36" i="40" l="1"/>
  <c r="L39" i="40"/>
  <c r="J167" i="24" s="1"/>
  <c r="J168" i="24" s="1"/>
  <c r="I168" i="24"/>
  <c r="I41" i="40"/>
  <c r="G167" i="24"/>
  <c r="G168" i="24" s="1"/>
  <c r="O17" i="40"/>
  <c r="N30" i="40"/>
  <c r="N13" i="40"/>
  <c r="N22" i="40" s="1"/>
  <c r="M26" i="40"/>
  <c r="M36" i="40" s="1"/>
  <c r="M39" i="40" s="1"/>
  <c r="K167" i="24" s="1"/>
  <c r="K168" i="24" s="1"/>
  <c r="H168" i="24" l="1"/>
  <c r="O13" i="40"/>
  <c r="O22" i="40" s="1"/>
  <c r="N26" i="40"/>
  <c r="N36" i="40" s="1"/>
  <c r="N39" i="40" s="1"/>
  <c r="L167" i="24" s="1"/>
  <c r="L168" i="24" s="1"/>
  <c r="P17" i="40"/>
  <c r="O30" i="40"/>
  <c r="Q17" i="40" l="1"/>
  <c r="P30" i="40"/>
  <c r="P13" i="40"/>
  <c r="P22" i="40" s="1"/>
  <c r="O26" i="40"/>
  <c r="O36" i="40" s="1"/>
  <c r="O39" i="40" s="1"/>
  <c r="M167" i="24" s="1"/>
  <c r="M168" i="24" s="1"/>
  <c r="Q13" i="40" l="1"/>
  <c r="Q22" i="40" s="1"/>
  <c r="P26" i="40"/>
  <c r="P36" i="40" s="1"/>
  <c r="P39" i="40" s="1"/>
  <c r="N167" i="24" s="1"/>
  <c r="N168" i="24" s="1"/>
  <c r="R17" i="40"/>
  <c r="Q30" i="40"/>
  <c r="S17" i="40" l="1"/>
  <c r="R30" i="40"/>
  <c r="R13" i="40"/>
  <c r="R22" i="40" s="1"/>
  <c r="Q26" i="40"/>
  <c r="Q36" i="40" s="1"/>
  <c r="Q39" i="40" s="1"/>
  <c r="O167" i="24" s="1"/>
  <c r="O168" i="24" s="1"/>
  <c r="S13" i="40" l="1"/>
  <c r="S22" i="40" s="1"/>
  <c r="R26" i="40"/>
  <c r="R36" i="40" s="1"/>
  <c r="R39" i="40" s="1"/>
  <c r="P167" i="24" s="1"/>
  <c r="P168" i="24" s="1"/>
  <c r="T17" i="40"/>
  <c r="T30" i="40" s="1"/>
  <c r="S30" i="40"/>
  <c r="T13" i="40" l="1"/>
  <c r="S26" i="40"/>
  <c r="S36" i="40" s="1"/>
  <c r="S39" i="40" s="1"/>
  <c r="Q167" i="24" s="1"/>
  <c r="Q168" i="24" s="1"/>
  <c r="T26" i="40" l="1"/>
  <c r="T36" i="40" s="1"/>
  <c r="T22" i="40"/>
  <c r="C40" i="39"/>
  <c r="D23" i="39"/>
  <c r="E23" i="39" s="1"/>
  <c r="F23" i="39" s="1"/>
  <c r="G23" i="39" s="1"/>
  <c r="H23" i="39" s="1"/>
  <c r="I23" i="39" s="1"/>
  <c r="J23" i="39" s="1"/>
  <c r="K23" i="39" s="1"/>
  <c r="L23" i="39" s="1"/>
  <c r="D17" i="39"/>
  <c r="E17" i="39"/>
  <c r="F17" i="39"/>
  <c r="G17" i="39"/>
  <c r="H17" i="39"/>
  <c r="I17" i="39"/>
  <c r="J17" i="39"/>
  <c r="K17" i="39"/>
  <c r="L17" i="39"/>
  <c r="L11" i="39"/>
  <c r="D11" i="39"/>
  <c r="E11" i="39"/>
  <c r="F11" i="39"/>
  <c r="G11" i="39"/>
  <c r="H11" i="39"/>
  <c r="I11" i="39"/>
  <c r="J11" i="39"/>
  <c r="K11" i="39"/>
  <c r="C11" i="39"/>
  <c r="I34" i="22"/>
  <c r="I29" i="22"/>
  <c r="I18" i="22"/>
  <c r="K79" i="22"/>
  <c r="L79" i="22" s="1"/>
  <c r="M79" i="22" s="1"/>
  <c r="N79" i="22" s="1"/>
  <c r="O79" i="22" s="1"/>
  <c r="P79" i="22" s="1"/>
  <c r="Q79" i="22" s="1"/>
  <c r="R79" i="22" s="1"/>
  <c r="S79" i="22" s="1"/>
  <c r="T79" i="22" s="1"/>
  <c r="K88" i="22"/>
  <c r="T39" i="40" l="1"/>
  <c r="R167" i="24" s="1"/>
  <c r="R168" i="24" s="1"/>
  <c r="E40" i="39"/>
  <c r="E39" i="39" s="1"/>
  <c r="E43" i="39" s="1"/>
  <c r="D40" i="39" l="1"/>
  <c r="D39" i="39" s="1"/>
  <c r="D43" i="39" s="1"/>
  <c r="F39" i="39" l="1"/>
  <c r="F43" i="39" s="1"/>
  <c r="H21" i="19"/>
  <c r="I21" i="19" s="1"/>
  <c r="H20" i="19"/>
  <c r="D73" i="25"/>
  <c r="H83" i="13"/>
  <c r="D79" i="13"/>
  <c r="I34" i="1"/>
  <c r="I29" i="1"/>
  <c r="I18" i="1"/>
  <c r="F10" i="27"/>
  <c r="G10" i="27"/>
  <c r="H10" i="27"/>
  <c r="I10" i="27"/>
  <c r="J10" i="27"/>
  <c r="K10" i="27"/>
  <c r="L10" i="27"/>
  <c r="M10" i="27"/>
  <c r="N10" i="27"/>
  <c r="E10" i="27"/>
  <c r="J10" i="28"/>
  <c r="K10" i="28"/>
  <c r="L10" i="28"/>
  <c r="M10" i="28"/>
  <c r="N10" i="28"/>
  <c r="O10" i="28"/>
  <c r="P10" i="28"/>
  <c r="Q10" i="28"/>
  <c r="R10" i="28"/>
  <c r="I10" i="28"/>
  <c r="J10" i="24"/>
  <c r="K10" i="24"/>
  <c r="L10" i="24"/>
  <c r="M10" i="24"/>
  <c r="N10" i="24"/>
  <c r="O10" i="24"/>
  <c r="P10" i="24"/>
  <c r="Q10" i="24"/>
  <c r="R10" i="24"/>
  <c r="I10" i="24"/>
  <c r="L10" i="23"/>
  <c r="M10" i="23"/>
  <c r="N10" i="23"/>
  <c r="O10" i="23"/>
  <c r="P10" i="23"/>
  <c r="Q10" i="23"/>
  <c r="R10" i="23"/>
  <c r="S10" i="23"/>
  <c r="T10" i="23"/>
  <c r="K10" i="23"/>
  <c r="H145" i="24"/>
  <c r="H48" i="24"/>
  <c r="H52" i="24"/>
  <c r="G151" i="24"/>
  <c r="H139" i="24"/>
  <c r="I139" i="24" s="1"/>
  <c r="J139" i="24" s="1"/>
  <c r="K139" i="24" s="1"/>
  <c r="L139" i="24" s="1"/>
  <c r="M139" i="24" s="1"/>
  <c r="N139" i="24" s="1"/>
  <c r="O139" i="24" s="1"/>
  <c r="P139" i="24" s="1"/>
  <c r="Q139" i="24" s="1"/>
  <c r="R139" i="24" s="1"/>
  <c r="G39" i="39" l="1"/>
  <c r="G43" i="39" s="1"/>
  <c r="L64" i="22"/>
  <c r="K64" i="22"/>
  <c r="M64" i="22"/>
  <c r="H39" i="39" l="1"/>
  <c r="H43" i="39" s="1"/>
  <c r="H128" i="24"/>
  <c r="H125" i="24"/>
  <c r="H126" i="24" s="1"/>
  <c r="H61" i="28"/>
  <c r="G61" i="28"/>
  <c r="F29" i="11"/>
  <c r="D59" i="28" s="1"/>
  <c r="F18" i="11"/>
  <c r="F17" i="11"/>
  <c r="I39" i="39" l="1"/>
  <c r="I43" i="39" s="1"/>
  <c r="M17" i="28"/>
  <c r="M47" i="28" s="1"/>
  <c r="N17" i="28"/>
  <c r="O17" i="28"/>
  <c r="P17" i="28"/>
  <c r="Q17" i="28"/>
  <c r="R17" i="28"/>
  <c r="L17" i="28"/>
  <c r="C54" i="28"/>
  <c r="H47" i="28"/>
  <c r="F47" i="28"/>
  <c r="E47" i="28"/>
  <c r="H46" i="28"/>
  <c r="J39" i="39" l="1"/>
  <c r="J43" i="39" s="1"/>
  <c r="N47" i="28"/>
  <c r="R47" i="28"/>
  <c r="O47" i="28"/>
  <c r="Q47" i="28"/>
  <c r="P47" i="28"/>
  <c r="L39" i="39" l="1"/>
  <c r="L43" i="39" s="1"/>
  <c r="K39" i="39"/>
  <c r="K43" i="39" s="1"/>
  <c r="D45" i="28"/>
  <c r="E45" i="28"/>
  <c r="F45" i="28"/>
  <c r="G45" i="28"/>
  <c r="H45" i="28"/>
  <c r="E46" i="28"/>
  <c r="F46" i="28"/>
  <c r="G46" i="28"/>
  <c r="G42" i="28"/>
  <c r="H42" i="28"/>
  <c r="D54" i="28"/>
  <c r="D12" i="28"/>
  <c r="C18" i="28" s="1"/>
  <c r="C48" i="28" s="1"/>
  <c r="E12" i="28"/>
  <c r="F42" i="28" s="1"/>
  <c r="F18" i="28"/>
  <c r="G18" i="28"/>
  <c r="D18" i="28" l="1"/>
  <c r="D48" i="28" s="1"/>
  <c r="E42" i="28"/>
  <c r="E18" i="28"/>
  <c r="G48" i="28"/>
  <c r="H53" i="24"/>
  <c r="I52" i="24" s="1"/>
  <c r="E54" i="28"/>
  <c r="F54" i="28"/>
  <c r="G54" i="28"/>
  <c r="H34" i="24"/>
  <c r="H49" i="24" l="1"/>
  <c r="I34" i="24"/>
  <c r="I15" i="28" s="1"/>
  <c r="E48" i="28"/>
  <c r="F48" i="28"/>
  <c r="C38" i="34"/>
  <c r="I16" i="28" l="1"/>
  <c r="I48" i="24"/>
  <c r="I68" i="24"/>
  <c r="I37" i="24"/>
  <c r="I45" i="24"/>
  <c r="D158" i="24" l="1"/>
  <c r="D159" i="24" s="1"/>
  <c r="E158" i="24"/>
  <c r="E159" i="24" s="1"/>
  <c r="F158" i="24"/>
  <c r="F159" i="24" s="1"/>
  <c r="G158" i="24"/>
  <c r="G159" i="24" s="1"/>
  <c r="H158" i="24"/>
  <c r="H159" i="24" s="1"/>
  <c r="C158" i="24"/>
  <c r="C159" i="24" s="1"/>
  <c r="L102" i="22"/>
  <c r="M102" i="22"/>
  <c r="N102" i="22"/>
  <c r="O102" i="22"/>
  <c r="P102" i="22"/>
  <c r="Q102" i="22"/>
  <c r="R102" i="22"/>
  <c r="S102" i="22"/>
  <c r="T102" i="22"/>
  <c r="H105" i="24"/>
  <c r="H107" i="24"/>
  <c r="I107" i="24" s="1"/>
  <c r="H146" i="24"/>
  <c r="D145" i="24"/>
  <c r="D146" i="24" s="1"/>
  <c r="E145" i="24"/>
  <c r="E146" i="24" s="1"/>
  <c r="F145" i="24"/>
  <c r="F146" i="24" s="1"/>
  <c r="G145" i="24"/>
  <c r="G146" i="24" s="1"/>
  <c r="C145" i="24"/>
  <c r="C146" i="24" s="1"/>
  <c r="I105" i="24" l="1"/>
  <c r="J105" i="24" s="1"/>
  <c r="K105" i="24" s="1"/>
  <c r="L105" i="24" s="1"/>
  <c r="M105" i="24" s="1"/>
  <c r="N105" i="24" s="1"/>
  <c r="O105" i="24" s="1"/>
  <c r="P105" i="24" s="1"/>
  <c r="Q105" i="24" s="1"/>
  <c r="R105" i="24" s="1"/>
  <c r="D155" i="24"/>
  <c r="E155" i="24"/>
  <c r="F155" i="24"/>
  <c r="G155" i="24"/>
  <c r="H155" i="24"/>
  <c r="I155" i="24" s="1"/>
  <c r="J155" i="24" s="1"/>
  <c r="K155" i="24" s="1"/>
  <c r="L155" i="24" s="1"/>
  <c r="M155" i="24" s="1"/>
  <c r="N155" i="24" s="1"/>
  <c r="O155" i="24" s="1"/>
  <c r="P155" i="24" s="1"/>
  <c r="Q155" i="24" s="1"/>
  <c r="R155" i="24" s="1"/>
  <c r="C155" i="24"/>
  <c r="D151" i="24"/>
  <c r="E151" i="24"/>
  <c r="F151" i="24"/>
  <c r="H151" i="24"/>
  <c r="C151" i="24"/>
  <c r="I106" i="24" l="1"/>
  <c r="K32" i="22"/>
  <c r="I158" i="24" s="1"/>
  <c r="L32" i="22"/>
  <c r="J106" i="24"/>
  <c r="F156" i="24"/>
  <c r="H156" i="24"/>
  <c r="D156" i="24"/>
  <c r="E156" i="24"/>
  <c r="G156" i="24"/>
  <c r="B8" i="32"/>
  <c r="B9" i="32" s="1"/>
  <c r="B10" i="32" s="1"/>
  <c r="B11" i="32" s="1"/>
  <c r="B12" i="32" s="1"/>
  <c r="B13" i="32" s="1"/>
  <c r="B14" i="32" s="1"/>
  <c r="B15" i="32" s="1"/>
  <c r="B16" i="32" s="1"/>
  <c r="B17" i="32" s="1"/>
  <c r="B18" i="32" s="1"/>
  <c r="B19" i="32" s="1"/>
  <c r="B20" i="32" s="1"/>
  <c r="B21" i="32" s="1"/>
  <c r="B22" i="32" s="1"/>
  <c r="B23" i="32" s="1"/>
  <c r="B24" i="32" s="1"/>
  <c r="B25" i="32" s="1"/>
  <c r="B26" i="32" s="1"/>
  <c r="B27" i="32" s="1"/>
  <c r="B28" i="32" s="1"/>
  <c r="B29" i="32" s="1"/>
  <c r="B30" i="32" s="1"/>
  <c r="B31" i="32" s="1"/>
  <c r="B32" i="32" s="1"/>
  <c r="B33" i="32" s="1"/>
  <c r="B34" i="32" s="1"/>
  <c r="B35" i="32" s="1"/>
  <c r="B36" i="32" s="1"/>
  <c r="B37" i="32" s="1"/>
  <c r="B38" i="32" s="1"/>
  <c r="B39" i="32" s="1"/>
  <c r="B40" i="32" s="1"/>
  <c r="B41" i="32" s="1"/>
  <c r="B42" i="32" s="1"/>
  <c r="B43" i="32" s="1"/>
  <c r="B44" i="32" s="1"/>
  <c r="B45" i="32" s="1"/>
  <c r="B46" i="32" s="1"/>
  <c r="B47" i="32" s="1"/>
  <c r="B48" i="32" s="1"/>
  <c r="B49" i="32" s="1"/>
  <c r="B50" i="32" s="1"/>
  <c r="B51" i="32" s="1"/>
  <c r="B52" i="32" s="1"/>
  <c r="B53" i="32" s="1"/>
  <c r="B54" i="32" s="1"/>
  <c r="B55" i="32" s="1"/>
  <c r="B56" i="32" s="1"/>
  <c r="B57" i="32" s="1"/>
  <c r="B58" i="32" s="1"/>
  <c r="B59" i="32" s="1"/>
  <c r="B60" i="32" s="1"/>
  <c r="B61" i="32" s="1"/>
  <c r="B62" i="32" s="1"/>
  <c r="B63" i="32" s="1"/>
  <c r="B64" i="32" s="1"/>
  <c r="B65" i="32" s="1"/>
  <c r="B66" i="32" s="1"/>
  <c r="B67" i="32" s="1"/>
  <c r="B68" i="32" s="1"/>
  <c r="B69" i="32" s="1"/>
  <c r="B70" i="32" s="1"/>
  <c r="B71" i="32" s="1"/>
  <c r="B72" i="32" s="1"/>
  <c r="B73" i="32" s="1"/>
  <c r="B74" i="32" s="1"/>
  <c r="B75" i="32" s="1"/>
  <c r="B76" i="32" s="1"/>
  <c r="B77" i="32" s="1"/>
  <c r="B78" i="32" s="1"/>
  <c r="B79" i="32" s="1"/>
  <c r="B80" i="32" s="1"/>
  <c r="B81" i="32" s="1"/>
  <c r="B82" i="32" s="1"/>
  <c r="B83" i="32" s="1"/>
  <c r="B84" i="32" s="1"/>
  <c r="B85" i="32" s="1"/>
  <c r="B86" i="32" s="1"/>
  <c r="B87" i="32" s="1"/>
  <c r="B88" i="32" s="1"/>
  <c r="B89" i="32" s="1"/>
  <c r="B90" i="32" s="1"/>
  <c r="B91" i="32" s="1"/>
  <c r="B92" i="32" s="1"/>
  <c r="B93" i="32" s="1"/>
  <c r="B94" i="32" s="1"/>
  <c r="B95" i="32" s="1"/>
  <c r="B96" i="32" s="1"/>
  <c r="B97" i="32" s="1"/>
  <c r="B98" i="32" s="1"/>
  <c r="B99" i="32" s="1"/>
  <c r="B100" i="32" s="1"/>
  <c r="B101" i="32" s="1"/>
  <c r="B102" i="32" s="1"/>
  <c r="B103" i="32" s="1"/>
  <c r="L93" i="22" l="1"/>
  <c r="K93" i="22"/>
  <c r="M32" i="22"/>
  <c r="K158" i="24" s="1"/>
  <c r="K106" i="24"/>
  <c r="F28" i="11"/>
  <c r="F31" i="11" s="1"/>
  <c r="G53" i="28"/>
  <c r="F53" i="28"/>
  <c r="E53" i="28"/>
  <c r="D53" i="28"/>
  <c r="C53" i="28"/>
  <c r="H18" i="28"/>
  <c r="D61" i="28" l="1"/>
  <c r="M93" i="22"/>
  <c r="N32" i="22"/>
  <c r="E61" i="28"/>
  <c r="K17" i="28" s="1"/>
  <c r="L47" i="28" s="1"/>
  <c r="J17" i="28"/>
  <c r="I12" i="28"/>
  <c r="H48" i="28"/>
  <c r="C59" i="28"/>
  <c r="H52" i="28"/>
  <c r="H54" i="28" s="1"/>
  <c r="K47" i="28" l="1"/>
  <c r="N93" i="22"/>
  <c r="O32" i="22"/>
  <c r="O93" i="22"/>
  <c r="I17" i="28"/>
  <c r="I18" i="28" s="1"/>
  <c r="I42" i="28"/>
  <c r="H53" i="28"/>
  <c r="P32" i="22" l="1"/>
  <c r="P93" i="22"/>
  <c r="J47" i="28"/>
  <c r="I47" i="28"/>
  <c r="I45" i="28"/>
  <c r="Q32" i="22" l="1"/>
  <c r="Q93" i="22"/>
  <c r="D142" i="24"/>
  <c r="E142" i="24"/>
  <c r="F142" i="24"/>
  <c r="G142" i="24"/>
  <c r="H142" i="24"/>
  <c r="I142" i="24" s="1"/>
  <c r="J142" i="24" s="1"/>
  <c r="C142" i="24"/>
  <c r="D139" i="24"/>
  <c r="E139" i="24"/>
  <c r="F139" i="24"/>
  <c r="G139" i="24"/>
  <c r="C139" i="24"/>
  <c r="K82" i="22"/>
  <c r="K84" i="22" s="1"/>
  <c r="L82" i="22"/>
  <c r="L84" i="22" s="1"/>
  <c r="M82" i="22"/>
  <c r="M84" i="22" s="1"/>
  <c r="N82" i="22"/>
  <c r="N84" i="22" s="1"/>
  <c r="O82" i="22"/>
  <c r="O84" i="22" s="1"/>
  <c r="P82" i="22"/>
  <c r="P84" i="22" s="1"/>
  <c r="Q82" i="22"/>
  <c r="Q84" i="22" s="1"/>
  <c r="R82" i="22"/>
  <c r="R84" i="22" s="1"/>
  <c r="S82" i="22"/>
  <c r="S84" i="22" s="1"/>
  <c r="T82" i="22"/>
  <c r="T84" i="22" s="1"/>
  <c r="K43" i="22"/>
  <c r="L43" i="22"/>
  <c r="M43" i="22"/>
  <c r="N43" i="22"/>
  <c r="O43" i="22"/>
  <c r="P43" i="22"/>
  <c r="Q43" i="22"/>
  <c r="R43" i="22"/>
  <c r="S43" i="22"/>
  <c r="T43" i="22"/>
  <c r="D134" i="24"/>
  <c r="E134" i="24"/>
  <c r="F134" i="24"/>
  <c r="G134" i="24"/>
  <c r="H134" i="24"/>
  <c r="I134" i="24" s="1"/>
  <c r="K56" i="22" s="1"/>
  <c r="C134" i="24"/>
  <c r="D131" i="24"/>
  <c r="E131" i="24"/>
  <c r="F131" i="24"/>
  <c r="G131" i="24"/>
  <c r="H131" i="24"/>
  <c r="C131" i="24"/>
  <c r="D128" i="24"/>
  <c r="E128" i="24"/>
  <c r="E164" i="24" s="1"/>
  <c r="F128" i="24"/>
  <c r="G128" i="24"/>
  <c r="C128" i="24"/>
  <c r="C129" i="24" s="1"/>
  <c r="D125" i="24"/>
  <c r="D126" i="24" s="1"/>
  <c r="E125" i="24"/>
  <c r="E126" i="24" s="1"/>
  <c r="F125" i="24"/>
  <c r="F126" i="24" s="1"/>
  <c r="G125" i="24"/>
  <c r="G126" i="24" s="1"/>
  <c r="C125" i="24"/>
  <c r="C126" i="24" s="1"/>
  <c r="D122" i="24"/>
  <c r="E122" i="24"/>
  <c r="F122" i="24"/>
  <c r="G122" i="24"/>
  <c r="H122" i="24"/>
  <c r="I122" i="24" s="1"/>
  <c r="J122" i="24" s="1"/>
  <c r="C122" i="24"/>
  <c r="H119" i="24"/>
  <c r="I119" i="24" s="1"/>
  <c r="J119" i="24" s="1"/>
  <c r="D119" i="24"/>
  <c r="E119" i="24"/>
  <c r="F119" i="24"/>
  <c r="G119" i="24"/>
  <c r="C119" i="24"/>
  <c r="D102" i="24"/>
  <c r="E102" i="24"/>
  <c r="F102" i="24"/>
  <c r="G102" i="24"/>
  <c r="H102" i="24"/>
  <c r="I102" i="24" s="1"/>
  <c r="K31" i="22" s="1"/>
  <c r="C102" i="24"/>
  <c r="H112" i="24"/>
  <c r="I112" i="24" s="1"/>
  <c r="K34" i="22" s="1"/>
  <c r="D112" i="24"/>
  <c r="E112" i="24"/>
  <c r="F112" i="24"/>
  <c r="C112" i="24"/>
  <c r="D105" i="24"/>
  <c r="E105" i="24"/>
  <c r="F105" i="24"/>
  <c r="G105" i="24"/>
  <c r="C105" i="24"/>
  <c r="D99" i="24"/>
  <c r="D100" i="24" s="1"/>
  <c r="E99" i="24"/>
  <c r="E100" i="24" s="1"/>
  <c r="F99" i="24"/>
  <c r="F100" i="24" s="1"/>
  <c r="G99" i="24"/>
  <c r="G100" i="24" s="1"/>
  <c r="H99" i="24"/>
  <c r="H100" i="24" s="1"/>
  <c r="C99" i="24"/>
  <c r="C100" i="24" s="1"/>
  <c r="H96" i="24"/>
  <c r="H97" i="24" s="1"/>
  <c r="F96" i="24"/>
  <c r="F97" i="24" s="1"/>
  <c r="E96" i="24"/>
  <c r="E97" i="24" s="1"/>
  <c r="D96" i="24"/>
  <c r="D97" i="24" s="1"/>
  <c r="C96" i="24"/>
  <c r="C97" i="24" s="1"/>
  <c r="D86" i="24"/>
  <c r="E86" i="24"/>
  <c r="F86" i="24"/>
  <c r="G86" i="24"/>
  <c r="H86" i="24"/>
  <c r="C86" i="24"/>
  <c r="C87" i="24" s="1"/>
  <c r="D80" i="24"/>
  <c r="D81" i="24" s="1"/>
  <c r="E80" i="24"/>
  <c r="E81" i="24" s="1"/>
  <c r="F80" i="24"/>
  <c r="F81" i="24" s="1"/>
  <c r="H80" i="24"/>
  <c r="H81" i="24" s="1"/>
  <c r="C80" i="24"/>
  <c r="C81" i="24" s="1"/>
  <c r="D83" i="24"/>
  <c r="E83" i="24"/>
  <c r="F83" i="24"/>
  <c r="G83" i="24"/>
  <c r="H83" i="24"/>
  <c r="C83" i="24"/>
  <c r="C84" i="24" s="1"/>
  <c r="D77" i="24"/>
  <c r="E77" i="24"/>
  <c r="F77" i="24"/>
  <c r="G77" i="24"/>
  <c r="H77" i="24"/>
  <c r="C77" i="24"/>
  <c r="C78" i="24" s="1"/>
  <c r="F162" i="24" l="1"/>
  <c r="E163" i="24"/>
  <c r="F164" i="24"/>
  <c r="H162" i="24"/>
  <c r="G163" i="24"/>
  <c r="D162" i="24"/>
  <c r="D164" i="24"/>
  <c r="D163" i="24"/>
  <c r="G162" i="24"/>
  <c r="E162" i="24"/>
  <c r="E161" i="24" s="1"/>
  <c r="H163" i="24"/>
  <c r="H161" i="24" s="1"/>
  <c r="F163" i="24"/>
  <c r="G164" i="24"/>
  <c r="H164" i="24"/>
  <c r="E84" i="24"/>
  <c r="H87" i="24"/>
  <c r="E129" i="24"/>
  <c r="F129" i="24"/>
  <c r="F84" i="24"/>
  <c r="E87" i="24"/>
  <c r="H84" i="24"/>
  <c r="G87" i="24"/>
  <c r="G84" i="24"/>
  <c r="F87" i="24"/>
  <c r="G129" i="24"/>
  <c r="D78" i="24"/>
  <c r="G78" i="24"/>
  <c r="D87" i="24"/>
  <c r="F78" i="24"/>
  <c r="D84" i="24"/>
  <c r="D129" i="24"/>
  <c r="H78" i="24"/>
  <c r="E78" i="24"/>
  <c r="K65" i="22"/>
  <c r="K50" i="22"/>
  <c r="R32" i="22"/>
  <c r="E140" i="24"/>
  <c r="R93" i="22"/>
  <c r="G143" i="24"/>
  <c r="J134" i="24"/>
  <c r="L56" i="22" s="1"/>
  <c r="J112" i="24"/>
  <c r="L34" i="22" s="1"/>
  <c r="F106" i="24"/>
  <c r="G106" i="24"/>
  <c r="H106" i="24"/>
  <c r="D106" i="24"/>
  <c r="E106" i="24"/>
  <c r="F120" i="24"/>
  <c r="E123" i="24"/>
  <c r="E143" i="24"/>
  <c r="F123" i="24"/>
  <c r="F140" i="24"/>
  <c r="D143" i="24"/>
  <c r="L65" i="22"/>
  <c r="H143" i="24"/>
  <c r="H140" i="24"/>
  <c r="D140" i="24"/>
  <c r="F143" i="24"/>
  <c r="E120" i="24"/>
  <c r="H123" i="24"/>
  <c r="D123" i="24"/>
  <c r="G123" i="24"/>
  <c r="F103" i="24"/>
  <c r="D120" i="24"/>
  <c r="I131" i="24"/>
  <c r="K55" i="22" s="1"/>
  <c r="G120" i="24"/>
  <c r="H120" i="24"/>
  <c r="G132" i="24"/>
  <c r="H103" i="24"/>
  <c r="F132" i="24"/>
  <c r="G135" i="24"/>
  <c r="H132" i="24"/>
  <c r="F135" i="24"/>
  <c r="D103" i="24"/>
  <c r="E103" i="24"/>
  <c r="E135" i="24"/>
  <c r="D135" i="24"/>
  <c r="H135" i="24"/>
  <c r="D132" i="24"/>
  <c r="E132" i="24"/>
  <c r="G103" i="24"/>
  <c r="J102" i="24"/>
  <c r="L31" i="22" s="1"/>
  <c r="D113" i="24"/>
  <c r="E113" i="24"/>
  <c r="F113" i="24"/>
  <c r="F161" i="24" l="1"/>
  <c r="G161" i="24"/>
  <c r="D161" i="24"/>
  <c r="L50" i="22"/>
  <c r="K49" i="22"/>
  <c r="S32" i="22"/>
  <c r="T32" i="22"/>
  <c r="S93" i="22"/>
  <c r="K142" i="24"/>
  <c r="M65" i="22" s="1"/>
  <c r="J131" i="24"/>
  <c r="L55" i="22" s="1"/>
  <c r="K134" i="24"/>
  <c r="K112" i="24"/>
  <c r="M34" i="22" s="1"/>
  <c r="I46" i="28"/>
  <c r="L49" i="22"/>
  <c r="E17" i="27"/>
  <c r="K102" i="24"/>
  <c r="M31" i="22" s="1"/>
  <c r="J158" i="24"/>
  <c r="F17" i="27" s="1"/>
  <c r="M56" i="22" l="1"/>
  <c r="L134" i="24"/>
  <c r="N56" i="22" s="1"/>
  <c r="K122" i="24"/>
  <c r="M50" i="22" s="1"/>
  <c r="T93" i="22"/>
  <c r="K131" i="24"/>
  <c r="M55" i="22" s="1"/>
  <c r="L112" i="24"/>
  <c r="N34" i="22" s="1"/>
  <c r="J12" i="28"/>
  <c r="I48" i="28"/>
  <c r="K119" i="24"/>
  <c r="L119" i="24" s="1"/>
  <c r="L142" i="24"/>
  <c r="N65" i="22" s="1"/>
  <c r="L102" i="24"/>
  <c r="N31" i="22" s="1"/>
  <c r="G17" i="27"/>
  <c r="L122" i="24" l="1"/>
  <c r="N50" i="22" s="1"/>
  <c r="M49" i="22"/>
  <c r="K118" i="24"/>
  <c r="M134" i="24"/>
  <c r="L131" i="24"/>
  <c r="N55" i="22" s="1"/>
  <c r="N49" i="22"/>
  <c r="M112" i="24"/>
  <c r="O34" i="22" s="1"/>
  <c r="J42" i="28"/>
  <c r="M142" i="24"/>
  <c r="O65" i="22" s="1"/>
  <c r="M102" i="24"/>
  <c r="O31" i="22" s="1"/>
  <c r="L158" i="24"/>
  <c r="H17" i="27" s="1"/>
  <c r="O56" i="22" l="1"/>
  <c r="M122" i="24"/>
  <c r="O50" i="22" s="1"/>
  <c r="N64" i="22"/>
  <c r="L118" i="24"/>
  <c r="M119" i="24"/>
  <c r="O49" i="22" s="1"/>
  <c r="N134" i="24"/>
  <c r="M131" i="24"/>
  <c r="N112" i="24"/>
  <c r="P34" i="22" s="1"/>
  <c r="N142" i="24"/>
  <c r="P65" i="22" s="1"/>
  <c r="N122" i="24"/>
  <c r="P50" i="22" s="1"/>
  <c r="N102" i="24"/>
  <c r="P31" i="22" s="1"/>
  <c r="M158" i="24"/>
  <c r="I17" i="27" s="1"/>
  <c r="O55" i="22" l="1"/>
  <c r="M130" i="24"/>
  <c r="P56" i="22"/>
  <c r="O64" i="22"/>
  <c r="M118" i="24"/>
  <c r="N131" i="24"/>
  <c r="N130" i="24" s="1"/>
  <c r="N119" i="24"/>
  <c r="P49" i="22" s="1"/>
  <c r="O134" i="24"/>
  <c r="O112" i="24"/>
  <c r="Q34" i="22" s="1"/>
  <c r="O142" i="24"/>
  <c r="Q65" i="22" s="1"/>
  <c r="O122" i="24"/>
  <c r="Q50" i="22" s="1"/>
  <c r="O102" i="24"/>
  <c r="Q31" i="22" s="1"/>
  <c r="N158" i="24"/>
  <c r="J17" i="27" s="1"/>
  <c r="P55" i="22" l="1"/>
  <c r="Q56" i="22"/>
  <c r="P64" i="22"/>
  <c r="N118" i="24"/>
  <c r="O131" i="24"/>
  <c r="O130" i="24" s="1"/>
  <c r="O119" i="24"/>
  <c r="Q49" i="22" s="1"/>
  <c r="P134" i="24"/>
  <c r="P112" i="24"/>
  <c r="R34" i="22" s="1"/>
  <c r="P142" i="24"/>
  <c r="R65" i="22" s="1"/>
  <c r="P122" i="24"/>
  <c r="R50" i="22" s="1"/>
  <c r="P102" i="24"/>
  <c r="R31" i="22" s="1"/>
  <c r="O158" i="24"/>
  <c r="K17" i="27" s="1"/>
  <c r="Q55" i="22" l="1"/>
  <c r="R56" i="22"/>
  <c r="Q64" i="22"/>
  <c r="O118" i="24"/>
  <c r="P119" i="24"/>
  <c r="R49" i="22" s="1"/>
  <c r="P131" i="24"/>
  <c r="P130" i="24" s="1"/>
  <c r="Q134" i="24"/>
  <c r="Q112" i="24"/>
  <c r="S34" i="22" s="1"/>
  <c r="Q142" i="24"/>
  <c r="S65" i="22" s="1"/>
  <c r="Q122" i="24"/>
  <c r="S50" i="22" s="1"/>
  <c r="Q102" i="24"/>
  <c r="S31" i="22" s="1"/>
  <c r="P158" i="24"/>
  <c r="L17" i="27" s="1"/>
  <c r="R55" i="22" l="1"/>
  <c r="S56" i="22"/>
  <c r="R64" i="22"/>
  <c r="P118" i="24"/>
  <c r="Q131" i="24"/>
  <c r="Q130" i="24" s="1"/>
  <c r="R134" i="24"/>
  <c r="Q119" i="24"/>
  <c r="S49" i="22" s="1"/>
  <c r="R112" i="24"/>
  <c r="T34" i="22" s="1"/>
  <c r="R142" i="24"/>
  <c r="T65" i="22" s="1"/>
  <c r="R122" i="24"/>
  <c r="T50" i="22" s="1"/>
  <c r="R102" i="24"/>
  <c r="T31" i="22" s="1"/>
  <c r="Q158" i="24"/>
  <c r="M17" i="27" s="1"/>
  <c r="S55" i="22" l="1"/>
  <c r="T56" i="22"/>
  <c r="S64" i="22"/>
  <c r="Q118" i="24"/>
  <c r="R131" i="24"/>
  <c r="R130" i="24" s="1"/>
  <c r="R119" i="24"/>
  <c r="T49" i="22" s="1"/>
  <c r="R158" i="24"/>
  <c r="N17" i="27" s="1"/>
  <c r="F85" i="13"/>
  <c r="E85" i="13"/>
  <c r="I85" i="13"/>
  <c r="G85" i="13"/>
  <c r="H85" i="13"/>
  <c r="D85" i="13"/>
  <c r="I72" i="13"/>
  <c r="H72" i="13"/>
  <c r="G72" i="13"/>
  <c r="F72" i="13"/>
  <c r="E72" i="13"/>
  <c r="D72" i="13"/>
  <c r="I49" i="13"/>
  <c r="H49" i="13"/>
  <c r="G49" i="13"/>
  <c r="F49" i="13"/>
  <c r="E49" i="13"/>
  <c r="D49" i="13"/>
  <c r="I25" i="13"/>
  <c r="H25" i="13"/>
  <c r="H26" i="13" s="1"/>
  <c r="G25" i="13"/>
  <c r="F25" i="13"/>
  <c r="E25" i="13"/>
  <c r="D25" i="13"/>
  <c r="D26" i="13" s="1"/>
  <c r="I79" i="25"/>
  <c r="H79" i="25"/>
  <c r="G79" i="25"/>
  <c r="F79" i="25"/>
  <c r="E79" i="25"/>
  <c r="D79" i="25"/>
  <c r="G66" i="25"/>
  <c r="F66" i="25"/>
  <c r="E66" i="25"/>
  <c r="D66" i="25"/>
  <c r="H66" i="25"/>
  <c r="G44" i="25"/>
  <c r="F44" i="25"/>
  <c r="E44" i="25"/>
  <c r="D44" i="25"/>
  <c r="H44" i="25"/>
  <c r="I25" i="25"/>
  <c r="I26" i="25" s="1"/>
  <c r="H25" i="25"/>
  <c r="H26" i="25" s="1"/>
  <c r="G25" i="25"/>
  <c r="F25" i="25"/>
  <c r="F26" i="25" s="1"/>
  <c r="E25" i="25"/>
  <c r="D25" i="25"/>
  <c r="D26" i="25" s="1"/>
  <c r="E51" i="13" l="1"/>
  <c r="E75" i="13" s="1"/>
  <c r="E86" i="13" s="1"/>
  <c r="I51" i="13"/>
  <c r="F51" i="13"/>
  <c r="F75" i="13" s="1"/>
  <c r="T55" i="22"/>
  <c r="T64" i="22"/>
  <c r="R118" i="24"/>
  <c r="F86" i="13"/>
  <c r="I22" i="14"/>
  <c r="G46" i="25"/>
  <c r="G69" i="25" s="1"/>
  <c r="F46" i="25"/>
  <c r="F69" i="25" s="1"/>
  <c r="G51" i="13"/>
  <c r="G75" i="13" s="1"/>
  <c r="G86" i="13" s="1"/>
  <c r="H22" i="14"/>
  <c r="E22" i="14"/>
  <c r="G22" i="14"/>
  <c r="E46" i="25"/>
  <c r="E69" i="25" s="1"/>
  <c r="J22" i="14"/>
  <c r="F22" i="14"/>
  <c r="D51" i="13"/>
  <c r="H51" i="13"/>
  <c r="H75" i="13" s="1"/>
  <c r="H86" i="13" s="1"/>
  <c r="G26" i="13"/>
  <c r="I75" i="13"/>
  <c r="I86" i="13" s="1"/>
  <c r="E26" i="13"/>
  <c r="I26" i="13"/>
  <c r="F26" i="13"/>
  <c r="I44" i="25"/>
  <c r="I46" i="25" s="1"/>
  <c r="I66" i="25"/>
  <c r="E26" i="25"/>
  <c r="H46" i="25"/>
  <c r="H69" i="25" s="1"/>
  <c r="D46" i="25"/>
  <c r="D69" i="25" s="1"/>
  <c r="D83" i="25" s="1"/>
  <c r="G26" i="25"/>
  <c r="C29" i="34" l="1"/>
  <c r="G29" i="41" s="1"/>
  <c r="G19" i="33"/>
  <c r="G39" i="41" s="1"/>
  <c r="I69" i="25"/>
  <c r="D75" i="13"/>
  <c r="D86" i="13" s="1"/>
  <c r="D85" i="25"/>
  <c r="E83" i="25"/>
  <c r="F83" i="25" l="1"/>
  <c r="E85" i="25"/>
  <c r="F85" i="25" l="1"/>
  <c r="G83" i="25"/>
  <c r="H83" i="25" l="1"/>
  <c r="G85" i="25"/>
  <c r="H85" i="25" l="1"/>
  <c r="I83" i="25"/>
  <c r="I85" i="25" s="1"/>
  <c r="E18" i="10" l="1"/>
  <c r="F18" i="10"/>
  <c r="G18" i="10"/>
  <c r="H18" i="10"/>
  <c r="I18" i="10"/>
  <c r="D18" i="10"/>
  <c r="F17" i="14"/>
  <c r="G17" i="14"/>
  <c r="H17" i="14"/>
  <c r="I17" i="14"/>
  <c r="J17" i="14"/>
  <c r="E17" i="14"/>
  <c r="P49" i="18"/>
  <c r="E23" i="10"/>
  <c r="F23" i="10"/>
  <c r="G23" i="10"/>
  <c r="H23" i="10"/>
  <c r="I23" i="10"/>
  <c r="D23" i="10"/>
  <c r="E12" i="10"/>
  <c r="F12" i="10"/>
  <c r="G12" i="10"/>
  <c r="H12" i="10"/>
  <c r="I12" i="10"/>
  <c r="E13" i="10"/>
  <c r="F13" i="10"/>
  <c r="G13" i="10"/>
  <c r="H13" i="10"/>
  <c r="I13" i="10"/>
  <c r="E14" i="10"/>
  <c r="F14" i="10"/>
  <c r="G14" i="10"/>
  <c r="H14" i="10"/>
  <c r="I14" i="10"/>
  <c r="D14" i="10"/>
  <c r="D13" i="10"/>
  <c r="D12" i="10"/>
  <c r="D68" i="24"/>
  <c r="E68" i="24"/>
  <c r="F68" i="24"/>
  <c r="G68" i="24"/>
  <c r="H68" i="24"/>
  <c r="C68" i="24"/>
  <c r="O35" i="23"/>
  <c r="I30" i="27" s="1"/>
  <c r="P35" i="23"/>
  <c r="J30" i="27" s="1"/>
  <c r="Q35" i="23"/>
  <c r="K30" i="27" s="1"/>
  <c r="R35" i="23"/>
  <c r="L30" i="27" s="1"/>
  <c r="S35" i="23"/>
  <c r="M30" i="27" s="1"/>
  <c r="T35" i="23"/>
  <c r="N30" i="27" s="1"/>
  <c r="L62" i="24"/>
  <c r="L61" i="24" s="1"/>
  <c r="K62" i="24"/>
  <c r="K61" i="24" s="1"/>
  <c r="J62" i="24"/>
  <c r="J61" i="24" s="1"/>
  <c r="I62" i="24"/>
  <c r="I61" i="24" s="1"/>
  <c r="H58" i="24"/>
  <c r="H59" i="24" s="1"/>
  <c r="I59" i="24" s="1"/>
  <c r="D48" i="24"/>
  <c r="E48" i="24"/>
  <c r="F48" i="24"/>
  <c r="G48" i="24"/>
  <c r="C48" i="24"/>
  <c r="D45" i="24"/>
  <c r="E45" i="24"/>
  <c r="F45" i="24"/>
  <c r="G45" i="24"/>
  <c r="H45" i="24"/>
  <c r="C45" i="24"/>
  <c r="D56" i="24"/>
  <c r="E56" i="24"/>
  <c r="F56" i="24"/>
  <c r="G56" i="24"/>
  <c r="H56" i="24"/>
  <c r="C56" i="24"/>
  <c r="D52" i="24"/>
  <c r="E52" i="24"/>
  <c r="F52" i="24"/>
  <c r="G52" i="24"/>
  <c r="D53" i="24"/>
  <c r="E53" i="24"/>
  <c r="F53" i="24"/>
  <c r="G53" i="24"/>
  <c r="C53" i="24"/>
  <c r="C52" i="24"/>
  <c r="D41" i="24"/>
  <c r="D40" i="24" s="1"/>
  <c r="E41" i="24"/>
  <c r="E40" i="24" s="1"/>
  <c r="F41" i="24"/>
  <c r="F40" i="24" s="1"/>
  <c r="G41" i="24"/>
  <c r="G40" i="24" s="1"/>
  <c r="H41" i="24"/>
  <c r="C41" i="24"/>
  <c r="C40" i="24" s="1"/>
  <c r="D37" i="24"/>
  <c r="E37" i="24"/>
  <c r="F37" i="24"/>
  <c r="G37" i="24"/>
  <c r="H37" i="24"/>
  <c r="H38" i="24" s="1"/>
  <c r="C37" i="24"/>
  <c r="D34" i="24"/>
  <c r="E34" i="24"/>
  <c r="F34" i="24"/>
  <c r="G34" i="24"/>
  <c r="H35" i="24" s="1"/>
  <c r="C34" i="24"/>
  <c r="E168" i="24" s="1"/>
  <c r="J36" i="23"/>
  <c r="I36" i="23"/>
  <c r="H36" i="23"/>
  <c r="G36" i="23"/>
  <c r="F36" i="23"/>
  <c r="E36" i="23"/>
  <c r="J29" i="23"/>
  <c r="I29" i="23"/>
  <c r="H29" i="23"/>
  <c r="G29" i="23"/>
  <c r="F29" i="23"/>
  <c r="E29" i="23"/>
  <c r="J18" i="23"/>
  <c r="I18" i="23"/>
  <c r="H18" i="23"/>
  <c r="G18" i="23"/>
  <c r="F18" i="23"/>
  <c r="E18" i="23"/>
  <c r="J14" i="23"/>
  <c r="I14" i="23"/>
  <c r="H14" i="23"/>
  <c r="G14" i="23"/>
  <c r="F14" i="23"/>
  <c r="E14" i="23"/>
  <c r="J102" i="22"/>
  <c r="I102" i="22"/>
  <c r="H102" i="22"/>
  <c r="G102" i="22"/>
  <c r="F102" i="22"/>
  <c r="E102" i="22"/>
  <c r="J82" i="22"/>
  <c r="J84" i="22" s="1"/>
  <c r="I82" i="22"/>
  <c r="I84" i="22" s="1"/>
  <c r="H82" i="22"/>
  <c r="H84" i="22" s="1"/>
  <c r="G82" i="22"/>
  <c r="G84" i="22" s="1"/>
  <c r="F82" i="22"/>
  <c r="F84" i="22" s="1"/>
  <c r="E82" i="22"/>
  <c r="E84" i="22" s="1"/>
  <c r="J72" i="22"/>
  <c r="I72" i="22"/>
  <c r="H72" i="22"/>
  <c r="G72" i="22"/>
  <c r="F72" i="22"/>
  <c r="E72" i="22"/>
  <c r="J60" i="22"/>
  <c r="I60" i="22"/>
  <c r="H60" i="22"/>
  <c r="G60" i="22"/>
  <c r="F60" i="22"/>
  <c r="E60" i="22"/>
  <c r="J43" i="22"/>
  <c r="I43" i="22"/>
  <c r="H43" i="22"/>
  <c r="G43" i="22"/>
  <c r="F43" i="22"/>
  <c r="E43" i="22"/>
  <c r="J36" i="22"/>
  <c r="H36" i="22"/>
  <c r="G36" i="22"/>
  <c r="F36" i="22"/>
  <c r="E36" i="22"/>
  <c r="J25" i="22"/>
  <c r="H25" i="22"/>
  <c r="G25" i="22"/>
  <c r="F25" i="22"/>
  <c r="E25" i="22"/>
  <c r="I16" i="10" l="1"/>
  <c r="E20" i="23"/>
  <c r="E24" i="23" s="1"/>
  <c r="E31" i="23" s="1"/>
  <c r="E38" i="23" s="1"/>
  <c r="E42" i="23" s="1"/>
  <c r="E38" i="22"/>
  <c r="G74" i="22"/>
  <c r="H38" i="22"/>
  <c r="H74" i="22"/>
  <c r="E74" i="22"/>
  <c r="I74" i="22"/>
  <c r="C38" i="24"/>
  <c r="I65" i="24"/>
  <c r="G96" i="24"/>
  <c r="G97" i="24" s="1"/>
  <c r="G112" i="24"/>
  <c r="I25" i="22"/>
  <c r="G80" i="24"/>
  <c r="G81" i="24" s="1"/>
  <c r="H40" i="24"/>
  <c r="I41" i="24" s="1"/>
  <c r="I40" i="24" s="1"/>
  <c r="I36" i="22"/>
  <c r="F74" i="22"/>
  <c r="F38" i="22"/>
  <c r="J74" i="22"/>
  <c r="J38" i="22"/>
  <c r="K34" i="23"/>
  <c r="G38" i="22"/>
  <c r="F69" i="24"/>
  <c r="C46" i="24"/>
  <c r="H69" i="24"/>
  <c r="D69" i="24"/>
  <c r="G69" i="24"/>
  <c r="C69" i="24"/>
  <c r="E69" i="24"/>
  <c r="G49" i="24"/>
  <c r="D46" i="24"/>
  <c r="O36" i="23"/>
  <c r="E46" i="24"/>
  <c r="D49" i="24"/>
  <c r="L60" i="24"/>
  <c r="H46" i="24"/>
  <c r="F46" i="24"/>
  <c r="G46" i="24"/>
  <c r="C49" i="24"/>
  <c r="E49" i="24"/>
  <c r="F49" i="24"/>
  <c r="H20" i="23"/>
  <c r="H24" i="23" s="1"/>
  <c r="H31" i="23" s="1"/>
  <c r="H38" i="23" s="1"/>
  <c r="H42" i="23" s="1"/>
  <c r="H46" i="23" s="1"/>
  <c r="I20" i="23"/>
  <c r="I24" i="23" s="1"/>
  <c r="I31" i="23" s="1"/>
  <c r="I38" i="23" s="1"/>
  <c r="I42" i="23" s="1"/>
  <c r="D42" i="24"/>
  <c r="D38" i="24"/>
  <c r="G38" i="24"/>
  <c r="F38" i="24"/>
  <c r="F42" i="24"/>
  <c r="E38" i="24"/>
  <c r="E42" i="24"/>
  <c r="G42" i="24"/>
  <c r="D35" i="24"/>
  <c r="G35" i="24"/>
  <c r="E35" i="24"/>
  <c r="F35" i="24"/>
  <c r="F20" i="23"/>
  <c r="F24" i="23" s="1"/>
  <c r="F31" i="23" s="1"/>
  <c r="F38" i="23" s="1"/>
  <c r="F42" i="23" s="1"/>
  <c r="G20" i="23"/>
  <c r="G24" i="23" s="1"/>
  <c r="G31" i="23" s="1"/>
  <c r="G38" i="23" s="1"/>
  <c r="G42" i="23" s="1"/>
  <c r="G46" i="23" s="1"/>
  <c r="J20" i="23"/>
  <c r="J24" i="23" s="1"/>
  <c r="J31" i="23" s="1"/>
  <c r="J38" i="23" s="1"/>
  <c r="J42" i="23" s="1"/>
  <c r="L18" i="20"/>
  <c r="I152" i="24" l="1"/>
  <c r="I151" i="24" s="1"/>
  <c r="K85" i="22" s="1"/>
  <c r="C34" i="31"/>
  <c r="C35" i="31" s="1"/>
  <c r="I38" i="22"/>
  <c r="H42" i="24"/>
  <c r="J41" i="24"/>
  <c r="J40" i="24" s="1"/>
  <c r="L22" i="23" s="1"/>
  <c r="J46" i="23"/>
  <c r="H113" i="24"/>
  <c r="G113" i="24"/>
  <c r="J59" i="24"/>
  <c r="J65" i="24" s="1"/>
  <c r="J56" i="24" s="1"/>
  <c r="L35" i="23" s="1"/>
  <c r="F30" i="27" s="1"/>
  <c r="I56" i="24"/>
  <c r="K35" i="23" s="1"/>
  <c r="I46" i="23"/>
  <c r="D46" i="31" l="1"/>
  <c r="K41" i="24"/>
  <c r="K40" i="24" s="1"/>
  <c r="M22" i="23" s="1"/>
  <c r="K36" i="23"/>
  <c r="E30" i="27"/>
  <c r="K22" i="23"/>
  <c r="K59" i="24"/>
  <c r="E33" i="16"/>
  <c r="F33" i="16"/>
  <c r="G33" i="16"/>
  <c r="H33" i="16"/>
  <c r="I33" i="16"/>
  <c r="D33" i="16"/>
  <c r="D19" i="16"/>
  <c r="E19" i="16"/>
  <c r="F19" i="16"/>
  <c r="G19" i="16"/>
  <c r="H19" i="16"/>
  <c r="I19" i="16"/>
  <c r="Q17" i="18"/>
  <c r="Q18" i="18"/>
  <c r="Q19" i="18"/>
  <c r="Q20" i="18"/>
  <c r="Q21" i="18"/>
  <c r="Q22" i="18"/>
  <c r="Q30" i="18"/>
  <c r="Q31" i="18"/>
  <c r="Q32" i="18"/>
  <c r="Q33" i="18"/>
  <c r="Q44" i="18"/>
  <c r="Q45" i="18"/>
  <c r="Q46" i="18"/>
  <c r="Q47" i="18"/>
  <c r="Q48" i="18"/>
  <c r="Q49" i="18"/>
  <c r="Q50" i="18"/>
  <c r="Q51" i="18"/>
  <c r="Q52" i="18"/>
  <c r="Q53" i="18"/>
  <c r="Q59" i="18"/>
  <c r="Q60" i="18"/>
  <c r="Q61" i="18"/>
  <c r="Q62" i="18"/>
  <c r="Q65" i="18"/>
  <c r="Q73" i="18"/>
  <c r="Q74" i="18"/>
  <c r="Q80" i="18"/>
  <c r="Q81" i="18"/>
  <c r="Q83" i="18"/>
  <c r="Q86" i="18"/>
  <c r="Q88" i="18"/>
  <c r="P14" i="20"/>
  <c r="P18" i="20"/>
  <c r="P23" i="20"/>
  <c r="P28" i="20"/>
  <c r="P29" i="20"/>
  <c r="P35" i="20"/>
  <c r="P36" i="20"/>
  <c r="P41" i="20"/>
  <c r="J25" i="19"/>
  <c r="J40" i="19"/>
  <c r="F29" i="4"/>
  <c r="G29" i="4"/>
  <c r="H29" i="4"/>
  <c r="I29" i="4"/>
  <c r="J29" i="4"/>
  <c r="F36" i="4"/>
  <c r="G36" i="4"/>
  <c r="H36" i="4"/>
  <c r="I36" i="4"/>
  <c r="J36" i="4"/>
  <c r="E36" i="4"/>
  <c r="Q34" i="18"/>
  <c r="I82" i="1"/>
  <c r="I84" i="1" s="1"/>
  <c r="J14" i="4"/>
  <c r="J18" i="4"/>
  <c r="J25" i="1"/>
  <c r="I18" i="16" s="1"/>
  <c r="J36" i="1"/>
  <c r="J43" i="1"/>
  <c r="J60" i="1"/>
  <c r="J72" i="1"/>
  <c r="J82" i="1"/>
  <c r="J84" i="1" s="1"/>
  <c r="J102" i="1"/>
  <c r="O41" i="20"/>
  <c r="N41" i="20"/>
  <c r="M41" i="20"/>
  <c r="L41" i="20"/>
  <c r="O36" i="20"/>
  <c r="N36" i="20"/>
  <c r="M36" i="20"/>
  <c r="L36" i="20"/>
  <c r="O35" i="20"/>
  <c r="N35" i="20"/>
  <c r="M35" i="20"/>
  <c r="L35" i="20"/>
  <c r="O29" i="20"/>
  <c r="N29" i="20"/>
  <c r="M29" i="20"/>
  <c r="L29" i="20"/>
  <c r="O28" i="20"/>
  <c r="N28" i="20"/>
  <c r="M28" i="20"/>
  <c r="L28" i="20"/>
  <c r="O23" i="20"/>
  <c r="N23" i="20"/>
  <c r="M23" i="20"/>
  <c r="L23" i="20"/>
  <c r="O18" i="20"/>
  <c r="N18" i="20"/>
  <c r="M18" i="20"/>
  <c r="M14" i="20"/>
  <c r="N14" i="20"/>
  <c r="O14" i="20"/>
  <c r="L14" i="20"/>
  <c r="F40" i="19"/>
  <c r="G40" i="19"/>
  <c r="H40" i="19"/>
  <c r="I40" i="19"/>
  <c r="E40" i="19"/>
  <c r="F25" i="19"/>
  <c r="G25" i="19"/>
  <c r="E25" i="19"/>
  <c r="I25" i="19"/>
  <c r="H25" i="19"/>
  <c r="E43" i="19" l="1"/>
  <c r="E45" i="19" s="1"/>
  <c r="H43" i="19"/>
  <c r="H45" i="19" s="1"/>
  <c r="I43" i="19"/>
  <c r="I45" i="19" s="1"/>
  <c r="L41" i="24"/>
  <c r="L40" i="24" s="1"/>
  <c r="N22" i="23" s="1"/>
  <c r="G26" i="14"/>
  <c r="F26" i="14"/>
  <c r="I26" i="14"/>
  <c r="H26" i="14"/>
  <c r="K65" i="24"/>
  <c r="K56" i="24" s="1"/>
  <c r="M35" i="23" s="1"/>
  <c r="G30" i="27" s="1"/>
  <c r="L59" i="24"/>
  <c r="P37" i="20"/>
  <c r="I30" i="20"/>
  <c r="M37" i="20"/>
  <c r="P30" i="20"/>
  <c r="L37" i="20"/>
  <c r="I19" i="20"/>
  <c r="I37" i="20"/>
  <c r="I41" i="20"/>
  <c r="I23" i="20"/>
  <c r="I35" i="20"/>
  <c r="I28" i="20"/>
  <c r="I36" i="20"/>
  <c r="I29" i="20"/>
  <c r="I18" i="20"/>
  <c r="O37" i="20"/>
  <c r="I15" i="20"/>
  <c r="I14" i="20"/>
  <c r="I20" i="16"/>
  <c r="I17" i="16"/>
  <c r="Q79" i="18"/>
  <c r="Q77" i="18"/>
  <c r="I16" i="16"/>
  <c r="Q29" i="18"/>
  <c r="J43" i="19"/>
  <c r="J45" i="19" s="1"/>
  <c r="J26" i="14"/>
  <c r="N37" i="20"/>
  <c r="J20" i="4"/>
  <c r="I43" i="16" s="1"/>
  <c r="J74" i="1"/>
  <c r="J38" i="1"/>
  <c r="G43" i="19"/>
  <c r="G45" i="19" s="1"/>
  <c r="F43" i="19"/>
  <c r="F45" i="19" s="1"/>
  <c r="I21" i="10" l="1"/>
  <c r="I49" i="16"/>
  <c r="I55" i="18"/>
  <c r="I123" i="18" s="1"/>
  <c r="N175" i="18" s="1"/>
  <c r="M41" i="24"/>
  <c r="M40" i="24" s="1"/>
  <c r="O22" i="23" s="1"/>
  <c r="E26" i="27"/>
  <c r="L65" i="24"/>
  <c r="I25" i="10"/>
  <c r="I35" i="10" s="1"/>
  <c r="I21" i="20"/>
  <c r="I67" i="18"/>
  <c r="I124" i="18" s="1"/>
  <c r="N176" i="18" s="1"/>
  <c r="I31" i="16"/>
  <c r="I25" i="18"/>
  <c r="I98" i="18" s="1"/>
  <c r="E175" i="18" s="1"/>
  <c r="I38" i="18"/>
  <c r="I29" i="16"/>
  <c r="I150" i="18"/>
  <c r="I69" i="18"/>
  <c r="I30" i="16"/>
  <c r="I36" i="18"/>
  <c r="I99" i="18" s="1"/>
  <c r="E176" i="18" s="1"/>
  <c r="J24" i="4"/>
  <c r="M80" i="18"/>
  <c r="N80" i="18"/>
  <c r="O80" i="18"/>
  <c r="P80" i="18"/>
  <c r="M81" i="18"/>
  <c r="N81" i="18"/>
  <c r="O81" i="18"/>
  <c r="P81" i="18"/>
  <c r="M82" i="18"/>
  <c r="N84" i="18"/>
  <c r="P86" i="18"/>
  <c r="M87" i="18"/>
  <c r="M88" i="18"/>
  <c r="N88" i="18"/>
  <c r="O88" i="18"/>
  <c r="P88" i="18"/>
  <c r="N73" i="18"/>
  <c r="O73" i="18"/>
  <c r="P73" i="18"/>
  <c r="N74" i="18"/>
  <c r="O74" i="18"/>
  <c r="P74" i="18"/>
  <c r="M74" i="18"/>
  <c r="M73" i="18"/>
  <c r="M60" i="18"/>
  <c r="N60" i="18"/>
  <c r="O60" i="18"/>
  <c r="P60" i="18"/>
  <c r="M61" i="18"/>
  <c r="N61" i="18"/>
  <c r="O61" i="18"/>
  <c r="P61" i="18"/>
  <c r="P62" i="18"/>
  <c r="P63" i="18"/>
  <c r="M64" i="18"/>
  <c r="N64" i="18"/>
  <c r="O64" i="18"/>
  <c r="M65" i="18"/>
  <c r="N65" i="18"/>
  <c r="O65" i="18"/>
  <c r="P65" i="18"/>
  <c r="N59" i="18"/>
  <c r="O59" i="18"/>
  <c r="P59" i="18"/>
  <c r="M59" i="18"/>
  <c r="M45" i="18"/>
  <c r="N45" i="18"/>
  <c r="O45" i="18"/>
  <c r="P45" i="18"/>
  <c r="M46" i="18"/>
  <c r="N46" i="18"/>
  <c r="O46" i="18"/>
  <c r="P46" i="18"/>
  <c r="M47" i="18"/>
  <c r="N47" i="18"/>
  <c r="O47" i="18"/>
  <c r="P47" i="18"/>
  <c r="M48" i="18"/>
  <c r="N48" i="18"/>
  <c r="O48" i="18"/>
  <c r="P48" i="18"/>
  <c r="M50" i="18"/>
  <c r="N50" i="18"/>
  <c r="O50" i="18"/>
  <c r="P50" i="18"/>
  <c r="M51" i="18"/>
  <c r="N51" i="18"/>
  <c r="O51" i="18"/>
  <c r="P51" i="18"/>
  <c r="M52" i="18"/>
  <c r="N52" i="18"/>
  <c r="O52" i="18"/>
  <c r="P52" i="18"/>
  <c r="M53" i="18"/>
  <c r="N53" i="18"/>
  <c r="O53" i="18"/>
  <c r="P53" i="18"/>
  <c r="N44" i="18"/>
  <c r="O44" i="18"/>
  <c r="P44" i="18"/>
  <c r="M44" i="18"/>
  <c r="N29" i="18"/>
  <c r="O29" i="18"/>
  <c r="P29" i="18"/>
  <c r="N30" i="18"/>
  <c r="O30" i="18"/>
  <c r="P30" i="18"/>
  <c r="N31" i="18"/>
  <c r="O31" i="18"/>
  <c r="P31" i="18"/>
  <c r="N32" i="18"/>
  <c r="O32" i="18"/>
  <c r="P32" i="18"/>
  <c r="N33" i="18"/>
  <c r="O33" i="18"/>
  <c r="P33" i="18"/>
  <c r="N34" i="18"/>
  <c r="O34" i="18"/>
  <c r="P34" i="18"/>
  <c r="M30" i="18"/>
  <c r="M31" i="18"/>
  <c r="M32" i="18"/>
  <c r="M34" i="18"/>
  <c r="M29" i="18"/>
  <c r="M18" i="18"/>
  <c r="N18" i="18"/>
  <c r="O18" i="18"/>
  <c r="P18" i="18"/>
  <c r="M19" i="18"/>
  <c r="N19" i="18"/>
  <c r="O19" i="18"/>
  <c r="P19" i="18"/>
  <c r="M20" i="18"/>
  <c r="N20" i="18"/>
  <c r="O20" i="18"/>
  <c r="P20" i="18"/>
  <c r="P21" i="18"/>
  <c r="M22" i="18"/>
  <c r="N22" i="18"/>
  <c r="O22" i="18"/>
  <c r="P22" i="18"/>
  <c r="O23" i="18"/>
  <c r="P23" i="18"/>
  <c r="N17" i="18"/>
  <c r="O17" i="18"/>
  <c r="P17" i="18"/>
  <c r="M17" i="18"/>
  <c r="N41" i="24" l="1"/>
  <c r="N40" i="24" s="1"/>
  <c r="P22" i="23" s="1"/>
  <c r="L56" i="24"/>
  <c r="N35" i="23" s="1"/>
  <c r="H30" i="27" s="1"/>
  <c r="F26" i="27"/>
  <c r="J31" i="4"/>
  <c r="I25" i="20"/>
  <c r="J12" i="14"/>
  <c r="I42" i="16" l="1"/>
  <c r="J13" i="14"/>
  <c r="I35" i="16"/>
  <c r="I34" i="16"/>
  <c r="O41" i="24"/>
  <c r="O40" i="24" s="1"/>
  <c r="Q22" i="23" s="1"/>
  <c r="G26" i="27"/>
  <c r="J15" i="14"/>
  <c r="J20" i="14" s="1"/>
  <c r="I48" i="16" s="1"/>
  <c r="I50" i="16" s="1"/>
  <c r="J38" i="4"/>
  <c r="I46" i="16" s="1"/>
  <c r="I32" i="20"/>
  <c r="I32" i="16"/>
  <c r="P41" i="24" l="1"/>
  <c r="P40" i="24" s="1"/>
  <c r="R22" i="23" s="1"/>
  <c r="H26" i="27"/>
  <c r="J24" i="14"/>
  <c r="J28" i="14" s="1"/>
  <c r="C37" i="31" s="1"/>
  <c r="C38" i="31" s="1"/>
  <c r="I26" i="10"/>
  <c r="J42" i="4"/>
  <c r="J46" i="4" s="1"/>
  <c r="I39" i="20"/>
  <c r="E25" i="1"/>
  <c r="F36" i="1"/>
  <c r="G36" i="1"/>
  <c r="H36" i="1"/>
  <c r="I36" i="1"/>
  <c r="E36" i="1"/>
  <c r="F25" i="1"/>
  <c r="G25" i="1"/>
  <c r="H25" i="1"/>
  <c r="I25" i="1"/>
  <c r="D47" i="31" l="1"/>
  <c r="D51" i="31" s="1"/>
  <c r="I47" i="16"/>
  <c r="J90" i="22"/>
  <c r="J90" i="1"/>
  <c r="J95" i="1" s="1"/>
  <c r="Q41" i="24"/>
  <c r="Q40" i="24" s="1"/>
  <c r="S22" i="23" s="1"/>
  <c r="I26" i="27"/>
  <c r="J95" i="22"/>
  <c r="I43" i="20"/>
  <c r="G20" i="16"/>
  <c r="G18" i="16"/>
  <c r="I29" i="18"/>
  <c r="I33" i="18"/>
  <c r="I30" i="18"/>
  <c r="I34" i="18"/>
  <c r="I31" i="18"/>
  <c r="I32" i="18"/>
  <c r="Q36" i="18"/>
  <c r="Q99" i="18" s="1"/>
  <c r="D17" i="18"/>
  <c r="D20" i="16"/>
  <c r="D18" i="16"/>
  <c r="F20" i="16"/>
  <c r="F18" i="16"/>
  <c r="E20" i="16"/>
  <c r="E18" i="16"/>
  <c r="I17" i="18"/>
  <c r="I21" i="18"/>
  <c r="I18" i="18"/>
  <c r="I22" i="18"/>
  <c r="H20" i="16"/>
  <c r="H18" i="16"/>
  <c r="I19" i="18"/>
  <c r="I23" i="18"/>
  <c r="I20" i="18"/>
  <c r="Q25" i="18"/>
  <c r="Q98" i="18" s="1"/>
  <c r="H20" i="18"/>
  <c r="H21" i="18"/>
  <c r="P25" i="18"/>
  <c r="P98" i="18" s="1"/>
  <c r="H22" i="18"/>
  <c r="H23" i="18"/>
  <c r="H18" i="18"/>
  <c r="H17" i="18"/>
  <c r="H19" i="18"/>
  <c r="E33" i="18"/>
  <c r="E32" i="18"/>
  <c r="E30" i="18"/>
  <c r="M36" i="18"/>
  <c r="M99" i="18" s="1"/>
  <c r="E31" i="18"/>
  <c r="E34" i="18"/>
  <c r="E29" i="18"/>
  <c r="G21" i="18"/>
  <c r="O25" i="18"/>
  <c r="O98" i="18" s="1"/>
  <c r="G22" i="18"/>
  <c r="G20" i="18"/>
  <c r="G23" i="18"/>
  <c r="G18" i="18"/>
  <c r="G17" i="18"/>
  <c r="G19" i="18"/>
  <c r="D21" i="18"/>
  <c r="D22" i="18"/>
  <c r="D18" i="18"/>
  <c r="D19" i="18"/>
  <c r="D23" i="18"/>
  <c r="D20" i="18"/>
  <c r="N25" i="18"/>
  <c r="N98" i="18" s="1"/>
  <c r="F22" i="18"/>
  <c r="F23" i="18"/>
  <c r="F20" i="18"/>
  <c r="F21" i="18"/>
  <c r="F18" i="18"/>
  <c r="F19" i="18"/>
  <c r="F17" i="18"/>
  <c r="E23" i="18"/>
  <c r="E17" i="18"/>
  <c r="M25" i="18"/>
  <c r="M98" i="18" s="1"/>
  <c r="E18" i="18"/>
  <c r="E21" i="18"/>
  <c r="E22" i="18"/>
  <c r="E19" i="18"/>
  <c r="E20" i="18"/>
  <c r="D29" i="18"/>
  <c r="D30" i="18"/>
  <c r="D31" i="18"/>
  <c r="D34" i="18"/>
  <c r="D32" i="18"/>
  <c r="D33" i="18"/>
  <c r="H31" i="18"/>
  <c r="P36" i="18"/>
  <c r="P99" i="18" s="1"/>
  <c r="H30" i="18"/>
  <c r="H33" i="18"/>
  <c r="H34" i="18"/>
  <c r="H29" i="18"/>
  <c r="H32" i="18"/>
  <c r="G29" i="18"/>
  <c r="G31" i="18"/>
  <c r="G33" i="18"/>
  <c r="G30" i="18"/>
  <c r="G34" i="18"/>
  <c r="O36" i="18"/>
  <c r="O99" i="18" s="1"/>
  <c r="G32" i="18"/>
  <c r="F31" i="18"/>
  <c r="F33" i="18"/>
  <c r="F29" i="18"/>
  <c r="F32" i="18"/>
  <c r="F34" i="18"/>
  <c r="N36" i="18"/>
  <c r="N99" i="18" s="1"/>
  <c r="F30" i="18"/>
  <c r="R41" i="24" l="1"/>
  <c r="R40" i="24" s="1"/>
  <c r="T22" i="23" s="1"/>
  <c r="J97" i="22"/>
  <c r="J104" i="22" s="1"/>
  <c r="J26" i="27"/>
  <c r="I77" i="18"/>
  <c r="I36" i="16"/>
  <c r="I151" i="18"/>
  <c r="J97" i="1"/>
  <c r="J104" i="1" s="1"/>
  <c r="I90" i="18"/>
  <c r="I41" i="16"/>
  <c r="K26" i="27" l="1"/>
  <c r="H16" i="10"/>
  <c r="D16" i="10"/>
  <c r="E16" i="10"/>
  <c r="F16" i="10"/>
  <c r="G16" i="10"/>
  <c r="G21" i="10" l="1"/>
  <c r="G49" i="16"/>
  <c r="E21" i="10"/>
  <c r="E49" i="16"/>
  <c r="H21" i="10"/>
  <c r="H49" i="16"/>
  <c r="F21" i="10"/>
  <c r="F49" i="16"/>
  <c r="D21" i="10"/>
  <c r="D49" i="16"/>
  <c r="L26" i="27"/>
  <c r="E25" i="10"/>
  <c r="E35" i="10" s="1"/>
  <c r="G25" i="10"/>
  <c r="G35" i="10" s="1"/>
  <c r="H25" i="10"/>
  <c r="H35" i="10" s="1"/>
  <c r="F25" i="10"/>
  <c r="F35" i="10" s="1"/>
  <c r="D25" i="10"/>
  <c r="N26" i="27" l="1"/>
  <c r="M26" i="27"/>
  <c r="D35" i="10"/>
  <c r="O30" i="20"/>
  <c r="E29" i="4"/>
  <c r="F18" i="4"/>
  <c r="G18" i="4"/>
  <c r="H18" i="4"/>
  <c r="I18" i="4"/>
  <c r="E18" i="4"/>
  <c r="F14" i="4"/>
  <c r="G14" i="4"/>
  <c r="H14" i="4"/>
  <c r="I14" i="4"/>
  <c r="E14" i="4"/>
  <c r="F102" i="1"/>
  <c r="G102" i="1"/>
  <c r="H102" i="1"/>
  <c r="I102" i="1"/>
  <c r="E102" i="1"/>
  <c r="F82" i="1"/>
  <c r="F84" i="1" s="1"/>
  <c r="G82" i="1"/>
  <c r="G84" i="1" s="1"/>
  <c r="H82" i="1"/>
  <c r="H84" i="1" s="1"/>
  <c r="E82" i="1"/>
  <c r="E84" i="1" s="1"/>
  <c r="F72" i="1"/>
  <c r="G72" i="1"/>
  <c r="H72" i="1"/>
  <c r="I72" i="1"/>
  <c r="E72" i="1"/>
  <c r="F60" i="1"/>
  <c r="G60" i="1"/>
  <c r="H60" i="1"/>
  <c r="I60" i="1"/>
  <c r="E60" i="1"/>
  <c r="F43" i="1"/>
  <c r="G43" i="1"/>
  <c r="H43" i="1"/>
  <c r="I43" i="1"/>
  <c r="E43" i="1"/>
  <c r="D19" i="20" l="1"/>
  <c r="E19" i="20"/>
  <c r="D30" i="20"/>
  <c r="H23" i="20"/>
  <c r="H35" i="20"/>
  <c r="H28" i="20"/>
  <c r="H41" i="20"/>
  <c r="H36" i="20"/>
  <c r="H29" i="20"/>
  <c r="H18" i="20"/>
  <c r="P15" i="20"/>
  <c r="H37" i="20"/>
  <c r="H30" i="20"/>
  <c r="O19" i="20"/>
  <c r="H19" i="20"/>
  <c r="P19" i="20"/>
  <c r="F36" i="20"/>
  <c r="F18" i="20"/>
  <c r="F23" i="20"/>
  <c r="F35" i="20"/>
  <c r="F28" i="20"/>
  <c r="F41" i="20"/>
  <c r="F29" i="20"/>
  <c r="F37" i="20"/>
  <c r="F30" i="20"/>
  <c r="N19" i="20"/>
  <c r="G19" i="20"/>
  <c r="G41" i="20"/>
  <c r="G35" i="20"/>
  <c r="G36" i="20"/>
  <c r="G29" i="20"/>
  <c r="G18" i="20"/>
  <c r="G23" i="20"/>
  <c r="G28" i="20"/>
  <c r="G30" i="20"/>
  <c r="G37" i="20"/>
  <c r="D29" i="20"/>
  <c r="D35" i="20"/>
  <c r="D28" i="20"/>
  <c r="D41" i="20"/>
  <c r="D36" i="20"/>
  <c r="D18" i="20"/>
  <c r="D37" i="20"/>
  <c r="E36" i="20"/>
  <c r="E29" i="20"/>
  <c r="E18" i="20"/>
  <c r="E41" i="20"/>
  <c r="E23" i="20"/>
  <c r="E35" i="20"/>
  <c r="E28" i="20"/>
  <c r="E30" i="20"/>
  <c r="E37" i="20"/>
  <c r="M19" i="20"/>
  <c r="F19" i="20"/>
  <c r="L30" i="20"/>
  <c r="G16" i="16"/>
  <c r="G17" i="16"/>
  <c r="I60" i="18"/>
  <c r="I64" i="18"/>
  <c r="I61" i="18"/>
  <c r="I65" i="18"/>
  <c r="I62" i="18"/>
  <c r="I59" i="18"/>
  <c r="I63" i="18"/>
  <c r="Q67" i="18"/>
  <c r="Q124" i="18" s="1"/>
  <c r="F17" i="16"/>
  <c r="F16" i="16"/>
  <c r="O77" i="18"/>
  <c r="D17" i="16"/>
  <c r="D16" i="16"/>
  <c r="E16" i="16"/>
  <c r="E17" i="16"/>
  <c r="H73" i="18"/>
  <c r="I74" i="18"/>
  <c r="I73" i="18"/>
  <c r="G75" i="18"/>
  <c r="G74" i="18"/>
  <c r="H75" i="18"/>
  <c r="G73" i="18"/>
  <c r="H74" i="18"/>
  <c r="I75" i="18"/>
  <c r="I44" i="18"/>
  <c r="I48" i="18"/>
  <c r="I52" i="18"/>
  <c r="I45" i="18"/>
  <c r="I49" i="18"/>
  <c r="I53" i="18"/>
  <c r="I46" i="18"/>
  <c r="I50" i="18"/>
  <c r="I47" i="18"/>
  <c r="I51" i="18"/>
  <c r="Q55" i="18"/>
  <c r="Q123" i="18" s="1"/>
  <c r="H16" i="16"/>
  <c r="H17" i="16"/>
  <c r="M77" i="18"/>
  <c r="M79" i="18"/>
  <c r="P77" i="18"/>
  <c r="L19" i="20"/>
  <c r="D15" i="20"/>
  <c r="D14" i="20"/>
  <c r="N15" i="20"/>
  <c r="G15" i="20"/>
  <c r="G14" i="20"/>
  <c r="M15" i="20"/>
  <c r="F14" i="20"/>
  <c r="F15" i="20"/>
  <c r="O15" i="20"/>
  <c r="H15" i="20"/>
  <c r="H14" i="20"/>
  <c r="E14" i="20"/>
  <c r="E15" i="20"/>
  <c r="L15" i="20"/>
  <c r="N30" i="20"/>
  <c r="M30" i="20"/>
  <c r="N77" i="18"/>
  <c r="F75" i="18"/>
  <c r="F74" i="18"/>
  <c r="F73" i="18"/>
  <c r="H61" i="18"/>
  <c r="H62" i="18"/>
  <c r="H63" i="18"/>
  <c r="H65" i="18"/>
  <c r="H60" i="18"/>
  <c r="H64" i="18"/>
  <c r="H59" i="18"/>
  <c r="P67" i="18"/>
  <c r="P124" i="18" s="1"/>
  <c r="G63" i="18"/>
  <c r="G65" i="18"/>
  <c r="G60" i="18"/>
  <c r="G64" i="18"/>
  <c r="G62" i="18"/>
  <c r="O67" i="18"/>
  <c r="O124" i="18" s="1"/>
  <c r="G61" i="18"/>
  <c r="G59" i="18"/>
  <c r="F63" i="18"/>
  <c r="F60" i="18"/>
  <c r="F64" i="18"/>
  <c r="N67" i="18"/>
  <c r="N124" i="18" s="1"/>
  <c r="F61" i="18"/>
  <c r="F62" i="18"/>
  <c r="F59" i="18"/>
  <c r="F65" i="18"/>
  <c r="G74" i="1"/>
  <c r="F30" i="16" s="1"/>
  <c r="F48" i="18"/>
  <c r="F45" i="18"/>
  <c r="F53" i="18"/>
  <c r="F52" i="18"/>
  <c r="N55" i="18"/>
  <c r="N123" i="18" s="1"/>
  <c r="F50" i="18"/>
  <c r="F44" i="18"/>
  <c r="F47" i="18"/>
  <c r="F49" i="18"/>
  <c r="F51" i="18"/>
  <c r="F46" i="18"/>
  <c r="E45" i="18"/>
  <c r="E53" i="18"/>
  <c r="E50" i="18"/>
  <c r="M55" i="18"/>
  <c r="M123" i="18" s="1"/>
  <c r="E48" i="18"/>
  <c r="E44" i="18"/>
  <c r="E47" i="18"/>
  <c r="E49" i="18"/>
  <c r="E51" i="18"/>
  <c r="E52" i="18"/>
  <c r="E46" i="18"/>
  <c r="H46" i="18"/>
  <c r="H51" i="18"/>
  <c r="H45" i="18"/>
  <c r="H49" i="18"/>
  <c r="H44" i="18"/>
  <c r="H47" i="18"/>
  <c r="H53" i="18"/>
  <c r="P55" i="18"/>
  <c r="P123" i="18" s="1"/>
  <c r="H48" i="18"/>
  <c r="H50" i="18"/>
  <c r="H52" i="18"/>
  <c r="E60" i="18"/>
  <c r="E59" i="18"/>
  <c r="E65" i="18"/>
  <c r="E61" i="18"/>
  <c r="E63" i="18"/>
  <c r="E64" i="18"/>
  <c r="E62" i="18"/>
  <c r="M67" i="18"/>
  <c r="M124" i="18" s="1"/>
  <c r="D65" i="18"/>
  <c r="D62" i="18"/>
  <c r="D59" i="18"/>
  <c r="D60" i="18"/>
  <c r="D64" i="18"/>
  <c r="D61" i="18"/>
  <c r="D63" i="18"/>
  <c r="E75" i="18"/>
  <c r="E74" i="18"/>
  <c r="E73" i="18"/>
  <c r="D50" i="18"/>
  <c r="D44" i="18"/>
  <c r="D47" i="18"/>
  <c r="D49" i="18"/>
  <c r="D51" i="18"/>
  <c r="D53" i="18"/>
  <c r="D52" i="18"/>
  <c r="D48" i="18"/>
  <c r="D46" i="18"/>
  <c r="D45" i="18"/>
  <c r="G51" i="18"/>
  <c r="G48" i="18"/>
  <c r="G46" i="18"/>
  <c r="G49" i="18"/>
  <c r="G44" i="18"/>
  <c r="G50" i="18"/>
  <c r="G53" i="18"/>
  <c r="G47" i="18"/>
  <c r="G52" i="18"/>
  <c r="O55" i="18"/>
  <c r="O123" i="18" s="1"/>
  <c r="G45" i="18"/>
  <c r="D75" i="18"/>
  <c r="D74" i="18"/>
  <c r="D73" i="18"/>
  <c r="E74" i="1"/>
  <c r="I74" i="1"/>
  <c r="H30" i="16" s="1"/>
  <c r="F74" i="1"/>
  <c r="E38" i="1"/>
  <c r="F38" i="1"/>
  <c r="H74" i="1"/>
  <c r="E20" i="4"/>
  <c r="D43" i="16" s="1"/>
  <c r="H20" i="4"/>
  <c r="G43" i="16" s="1"/>
  <c r="F20" i="4"/>
  <c r="E43" i="16" s="1"/>
  <c r="I20" i="4"/>
  <c r="H43" i="16" s="1"/>
  <c r="G20" i="4"/>
  <c r="F43" i="16" s="1"/>
  <c r="I38" i="1"/>
  <c r="H38" i="1"/>
  <c r="G38" i="1"/>
  <c r="G31" i="16" l="1"/>
  <c r="D31" i="16"/>
  <c r="E29" i="16"/>
  <c r="E21" i="20"/>
  <c r="F24" i="4"/>
  <c r="E25" i="20" s="1"/>
  <c r="G21" i="20"/>
  <c r="H24" i="4"/>
  <c r="G25" i="20" s="1"/>
  <c r="F21" i="20"/>
  <c r="G24" i="4"/>
  <c r="F25" i="20" s="1"/>
  <c r="D21" i="20"/>
  <c r="E24" i="4"/>
  <c r="D25" i="20" s="1"/>
  <c r="H21" i="20"/>
  <c r="I24" i="4"/>
  <c r="P21" i="20"/>
  <c r="E30" i="16"/>
  <c r="H31" i="16"/>
  <c r="Q38" i="18"/>
  <c r="P79" i="18"/>
  <c r="O79" i="18"/>
  <c r="F67" i="18"/>
  <c r="F124" i="18" s="1"/>
  <c r="F29" i="16"/>
  <c r="F31" i="16"/>
  <c r="G55" i="18"/>
  <c r="G123" i="18" s="1"/>
  <c r="G29" i="16"/>
  <c r="H29" i="16"/>
  <c r="Q69" i="18"/>
  <c r="E67" i="18"/>
  <c r="E124" i="18" s="1"/>
  <c r="N79" i="18"/>
  <c r="E31" i="16"/>
  <c r="D29" i="16"/>
  <c r="E55" i="18"/>
  <c r="E123" i="18" s="1"/>
  <c r="D30" i="16"/>
  <c r="G30" i="16"/>
  <c r="M21" i="20"/>
  <c r="O21" i="20"/>
  <c r="L21" i="20"/>
  <c r="N21" i="20"/>
  <c r="D150" i="18"/>
  <c r="H150" i="18"/>
  <c r="F150" i="18"/>
  <c r="G150" i="18"/>
  <c r="E150" i="18"/>
  <c r="H69" i="18"/>
  <c r="P69" i="18"/>
  <c r="P38" i="18"/>
  <c r="H38" i="18"/>
  <c r="H25" i="18"/>
  <c r="H98" i="18" s="1"/>
  <c r="D175" i="18" s="1"/>
  <c r="H36" i="18"/>
  <c r="H99" i="18" s="1"/>
  <c r="D176" i="18" s="1"/>
  <c r="D38" i="18"/>
  <c r="D25" i="18"/>
  <c r="D98" i="18" s="1"/>
  <c r="D36" i="18"/>
  <c r="D99" i="18" s="1"/>
  <c r="H67" i="18"/>
  <c r="H124" i="18" s="1"/>
  <c r="M176" i="18" s="1"/>
  <c r="M69" i="18"/>
  <c r="E69" i="18"/>
  <c r="G67" i="18"/>
  <c r="G124" i="18" s="1"/>
  <c r="D69" i="18"/>
  <c r="N69" i="18"/>
  <c r="F69" i="18"/>
  <c r="F55" i="18"/>
  <c r="F123" i="18" s="1"/>
  <c r="D55" i="18"/>
  <c r="D123" i="18" s="1"/>
  <c r="N38" i="18"/>
  <c r="F38" i="18"/>
  <c r="F36" i="18"/>
  <c r="F99" i="18" s="1"/>
  <c r="F25" i="18"/>
  <c r="F98" i="18" s="1"/>
  <c r="O69" i="18"/>
  <c r="G69" i="18"/>
  <c r="H55" i="18"/>
  <c r="H123" i="18" s="1"/>
  <c r="M175" i="18" s="1"/>
  <c r="O38" i="18"/>
  <c r="G38" i="18"/>
  <c r="G25" i="18"/>
  <c r="G98" i="18" s="1"/>
  <c r="G36" i="18"/>
  <c r="G99" i="18" s="1"/>
  <c r="E38" i="18"/>
  <c r="M38" i="18"/>
  <c r="E25" i="18"/>
  <c r="E98" i="18" s="1"/>
  <c r="E36" i="18"/>
  <c r="E99" i="18" s="1"/>
  <c r="D67" i="18"/>
  <c r="D124" i="18" s="1"/>
  <c r="I31" i="4"/>
  <c r="H42" i="16" l="1"/>
  <c r="F12" i="14"/>
  <c r="F31" i="4"/>
  <c r="M25" i="20"/>
  <c r="E31" i="4"/>
  <c r="H32" i="20"/>
  <c r="H32" i="16"/>
  <c r="P32" i="20"/>
  <c r="L25" i="20"/>
  <c r="H25" i="20"/>
  <c r="P25" i="20"/>
  <c r="E12" i="14"/>
  <c r="I12" i="14"/>
  <c r="Q151" i="18"/>
  <c r="Q125" i="18"/>
  <c r="N177" i="18" s="1"/>
  <c r="Q150" i="18"/>
  <c r="Q100" i="18"/>
  <c r="E177" i="18" s="1"/>
  <c r="N25" i="20"/>
  <c r="G12" i="14"/>
  <c r="G31" i="4"/>
  <c r="H12" i="14"/>
  <c r="H31" i="4"/>
  <c r="O25" i="20"/>
  <c r="I38" i="4"/>
  <c r="H46" i="16" s="1"/>
  <c r="M150" i="18"/>
  <c r="M100" i="18"/>
  <c r="P151" i="18"/>
  <c r="P125" i="18"/>
  <c r="M177" i="18" s="1"/>
  <c r="O151" i="18"/>
  <c r="O125" i="18"/>
  <c r="M151" i="18"/>
  <c r="M125" i="18"/>
  <c r="N151" i="18"/>
  <c r="N125" i="18"/>
  <c r="P150" i="18"/>
  <c r="P100" i="18"/>
  <c r="D177" i="18" s="1"/>
  <c r="O150" i="18"/>
  <c r="O100" i="18"/>
  <c r="N150" i="18"/>
  <c r="N100" i="18"/>
  <c r="F34" i="16" l="1"/>
  <c r="F35" i="16"/>
  <c r="E32" i="20"/>
  <c r="E42" i="16"/>
  <c r="F13" i="14"/>
  <c r="F15" i="14" s="1"/>
  <c r="F20" i="14" s="1"/>
  <c r="F24" i="14" s="1"/>
  <c r="F28" i="14" s="1"/>
  <c r="E35" i="16"/>
  <c r="E34" i="16"/>
  <c r="G35" i="16"/>
  <c r="G34" i="16"/>
  <c r="H35" i="16"/>
  <c r="H34" i="16"/>
  <c r="D32" i="20"/>
  <c r="D42" i="16"/>
  <c r="G42" i="16"/>
  <c r="F42" i="16"/>
  <c r="E13" i="14"/>
  <c r="E15" i="14" s="1"/>
  <c r="E20" i="14" s="1"/>
  <c r="D34" i="16"/>
  <c r="D35" i="16"/>
  <c r="F38" i="4"/>
  <c r="E32" i="16"/>
  <c r="E38" i="4"/>
  <c r="H13" i="14"/>
  <c r="H15" i="14" s="1"/>
  <c r="H20" i="14" s="1"/>
  <c r="G48" i="16" s="1"/>
  <c r="G50" i="16" s="1"/>
  <c r="I13" i="14"/>
  <c r="I15" i="14" s="1"/>
  <c r="I20" i="14" s="1"/>
  <c r="H48" i="16" s="1"/>
  <c r="H50" i="16" s="1"/>
  <c r="G13" i="14"/>
  <c r="G15" i="14" s="1"/>
  <c r="G20" i="14" s="1"/>
  <c r="F48" i="16" s="1"/>
  <c r="F50" i="16" s="1"/>
  <c r="D32" i="16"/>
  <c r="L32" i="20"/>
  <c r="G32" i="20"/>
  <c r="G32" i="16"/>
  <c r="E42" i="4"/>
  <c r="D47" i="16" s="1"/>
  <c r="M32" i="20"/>
  <c r="F32" i="20"/>
  <c r="F32" i="16"/>
  <c r="H39" i="20"/>
  <c r="P39" i="20"/>
  <c r="N32" i="20"/>
  <c r="O32" i="20"/>
  <c r="G38" i="4"/>
  <c r="F46" i="16" s="1"/>
  <c r="I42" i="4"/>
  <c r="H47" i="16" s="1"/>
  <c r="H38" i="4"/>
  <c r="G46" i="16" s="1"/>
  <c r="D26" i="10" l="1"/>
  <c r="D48" i="16"/>
  <c r="D50" i="16" s="1"/>
  <c r="E39" i="20"/>
  <c r="E46" i="16"/>
  <c r="D39" i="20"/>
  <c r="D46" i="16"/>
  <c r="E26" i="10"/>
  <c r="E48" i="16"/>
  <c r="E50" i="16" s="1"/>
  <c r="I90" i="22"/>
  <c r="I90" i="1"/>
  <c r="I48" i="23" s="1"/>
  <c r="E90" i="22"/>
  <c r="E95" i="22" s="1"/>
  <c r="E97" i="22" s="1"/>
  <c r="E104" i="22" s="1"/>
  <c r="E90" i="1"/>
  <c r="E95" i="1" s="1"/>
  <c r="L39" i="20"/>
  <c r="F42" i="4"/>
  <c r="E47" i="16" s="1"/>
  <c r="G24" i="14"/>
  <c r="G28" i="14" s="1"/>
  <c r="F26" i="10"/>
  <c r="I24" i="14"/>
  <c r="I28" i="14" s="1"/>
  <c r="H26" i="10"/>
  <c r="G26" i="10"/>
  <c r="H24" i="14"/>
  <c r="H28" i="14" s="1"/>
  <c r="O39" i="20"/>
  <c r="G39" i="20"/>
  <c r="H43" i="20"/>
  <c r="I46" i="4"/>
  <c r="P43" i="20"/>
  <c r="M39" i="20"/>
  <c r="F39" i="20"/>
  <c r="D43" i="20"/>
  <c r="E46" i="4"/>
  <c r="G42" i="4"/>
  <c r="F47" i="16" s="1"/>
  <c r="H42" i="4"/>
  <c r="G47" i="16" s="1"/>
  <c r="N39" i="20"/>
  <c r="E24" i="14"/>
  <c r="E28" i="14" s="1"/>
  <c r="E48" i="23" l="1"/>
  <c r="F90" i="22"/>
  <c r="F95" i="22" s="1"/>
  <c r="F97" i="22" s="1"/>
  <c r="F104" i="22" s="1"/>
  <c r="F90" i="1"/>
  <c r="F95" i="1" s="1"/>
  <c r="E41" i="16" s="1"/>
  <c r="H90" i="22"/>
  <c r="H90" i="1"/>
  <c r="G90" i="22"/>
  <c r="G90" i="1"/>
  <c r="G48" i="4" s="1"/>
  <c r="F46" i="4"/>
  <c r="L43" i="20"/>
  <c r="E43" i="20"/>
  <c r="E48" i="4"/>
  <c r="D84" i="18"/>
  <c r="I95" i="22"/>
  <c r="I97" i="22" s="1"/>
  <c r="I104" i="22" s="1"/>
  <c r="G95" i="22"/>
  <c r="G97" i="22" s="1"/>
  <c r="G104" i="22" s="1"/>
  <c r="F43" i="20"/>
  <c r="G46" i="4"/>
  <c r="G43" i="20"/>
  <c r="H46" i="4"/>
  <c r="I95" i="1"/>
  <c r="H85" i="18" s="1"/>
  <c r="Q85" i="18"/>
  <c r="M43" i="20"/>
  <c r="N43" i="20"/>
  <c r="O43" i="20"/>
  <c r="I48" i="4"/>
  <c r="D85" i="18"/>
  <c r="M85" i="18" l="1"/>
  <c r="N85" i="18"/>
  <c r="F48" i="23"/>
  <c r="F48" i="4"/>
  <c r="D79" i="18"/>
  <c r="D83" i="18"/>
  <c r="E97" i="1"/>
  <c r="E104" i="1" s="1"/>
  <c r="D88" i="18"/>
  <c r="D90" i="18"/>
  <c r="D87" i="18"/>
  <c r="D80" i="18"/>
  <c r="D36" i="16"/>
  <c r="D77" i="18"/>
  <c r="D41" i="16"/>
  <c r="D86" i="18"/>
  <c r="D151" i="18"/>
  <c r="D81" i="18"/>
  <c r="D82" i="18"/>
  <c r="H95" i="22"/>
  <c r="H97" i="22" s="1"/>
  <c r="H104" i="22" s="1"/>
  <c r="E36" i="16"/>
  <c r="H95" i="1"/>
  <c r="G36" i="16" s="1"/>
  <c r="H48" i="23"/>
  <c r="G95" i="1"/>
  <c r="F77" i="18" s="1"/>
  <c r="G48" i="23"/>
  <c r="H41" i="16"/>
  <c r="H36" i="16"/>
  <c r="I83" i="18"/>
  <c r="I86" i="18"/>
  <c r="I84" i="18"/>
  <c r="I79" i="18"/>
  <c r="I88" i="18"/>
  <c r="I80" i="18"/>
  <c r="I81" i="18"/>
  <c r="I82" i="18"/>
  <c r="I87" i="18"/>
  <c r="I85" i="18"/>
  <c r="Q90" i="18"/>
  <c r="Q152" i="18" s="1"/>
  <c r="P85" i="18"/>
  <c r="H48" i="4"/>
  <c r="E151" i="18"/>
  <c r="E80" i="18"/>
  <c r="E79" i="18"/>
  <c r="F97" i="1"/>
  <c r="F104" i="1" s="1"/>
  <c r="E83" i="18"/>
  <c r="E86" i="18"/>
  <c r="E90" i="18"/>
  <c r="E81" i="18"/>
  <c r="E82" i="18"/>
  <c r="E88" i="18"/>
  <c r="E87" i="18"/>
  <c r="E77" i="18"/>
  <c r="M90" i="18"/>
  <c r="M152" i="18" s="1"/>
  <c r="E84" i="18"/>
  <c r="O85" i="18"/>
  <c r="E85" i="18"/>
  <c r="H84" i="18"/>
  <c r="H87" i="18"/>
  <c r="H151" i="18"/>
  <c r="H81" i="18"/>
  <c r="H83" i="18"/>
  <c r="H86" i="18"/>
  <c r="I97" i="1"/>
  <c r="I104" i="1" s="1"/>
  <c r="H80" i="18"/>
  <c r="H82" i="18"/>
  <c r="H88" i="18"/>
  <c r="H77" i="18"/>
  <c r="H90" i="18"/>
  <c r="H79" i="18"/>
  <c r="F79" i="18" l="1"/>
  <c r="N90" i="18"/>
  <c r="N152" i="18" s="1"/>
  <c r="G97" i="1"/>
  <c r="G104" i="1" s="1"/>
  <c r="F81" i="18"/>
  <c r="F87" i="18"/>
  <c r="G41" i="16"/>
  <c r="F82" i="18"/>
  <c r="F84" i="18"/>
  <c r="F88" i="18"/>
  <c r="F90" i="18"/>
  <c r="F80" i="18"/>
  <c r="F41" i="16"/>
  <c r="F36" i="16"/>
  <c r="F83" i="18"/>
  <c r="F151" i="18"/>
  <c r="F85" i="18"/>
  <c r="F86" i="18"/>
  <c r="G84" i="18"/>
  <c r="G83" i="18"/>
  <c r="G77" i="18"/>
  <c r="G79" i="18"/>
  <c r="G81" i="18"/>
  <c r="O90" i="18"/>
  <c r="O152" i="18" s="1"/>
  <c r="G151" i="18"/>
  <c r="G87" i="18"/>
  <c r="G86" i="18"/>
  <c r="H97" i="1"/>
  <c r="H104" i="1" s="1"/>
  <c r="G80" i="18"/>
  <c r="G82" i="18"/>
  <c r="G90" i="18"/>
  <c r="G88" i="18"/>
  <c r="P90" i="18"/>
  <c r="P152" i="18" s="1"/>
  <c r="G85" i="18"/>
  <c r="K27" i="23"/>
  <c r="K40" i="23"/>
  <c r="K17" i="23"/>
  <c r="K18" i="23" s="1"/>
  <c r="K28" i="23"/>
  <c r="K13" i="23"/>
  <c r="I145" i="24" s="1"/>
  <c r="I128" i="24" l="1"/>
  <c r="I164" i="24" s="1"/>
  <c r="K66" i="22"/>
  <c r="K14" i="23"/>
  <c r="K20" i="23" s="1"/>
  <c r="K24" i="23" s="1"/>
  <c r="E12" i="27" s="1"/>
  <c r="D5" i="43" s="1"/>
  <c r="I80" i="24"/>
  <c r="K18" i="22" s="1"/>
  <c r="K29" i="23"/>
  <c r="E31" i="27"/>
  <c r="I96" i="24"/>
  <c r="K29" i="22" s="1"/>
  <c r="I77" i="24"/>
  <c r="I99" i="24"/>
  <c r="K30" i="22" s="1"/>
  <c r="I83" i="24"/>
  <c r="I162" i="24" s="1"/>
  <c r="I86" i="24"/>
  <c r="I163" i="24" s="1"/>
  <c r="I125" i="24"/>
  <c r="K51" i="22" s="1"/>
  <c r="I161" i="24" l="1"/>
  <c r="E22" i="27" s="1"/>
  <c r="K19" i="22"/>
  <c r="K20" i="22"/>
  <c r="K52" i="22"/>
  <c r="K60" i="22" s="1"/>
  <c r="K17" i="22"/>
  <c r="I53" i="24" s="1"/>
  <c r="J52" i="24" s="1"/>
  <c r="L34" i="23" s="1"/>
  <c r="L36" i="23" s="1"/>
  <c r="K72" i="22"/>
  <c r="K36" i="22"/>
  <c r="K31" i="23"/>
  <c r="K38" i="23" s="1"/>
  <c r="K42" i="23" s="1"/>
  <c r="E13" i="27"/>
  <c r="E15" i="27" s="1"/>
  <c r="K90" i="22" l="1"/>
  <c r="K44" i="23"/>
  <c r="E20" i="27"/>
  <c r="E24" i="27" s="1"/>
  <c r="E28" i="27" s="1"/>
  <c r="D6" i="43"/>
  <c r="K25" i="22"/>
  <c r="K38" i="22" s="1"/>
  <c r="K95" i="22"/>
  <c r="C22" i="39" s="1"/>
  <c r="C20" i="39" s="1"/>
  <c r="K74" i="22"/>
  <c r="J152" i="24"/>
  <c r="J151" i="24" s="1"/>
  <c r="L85" i="22" s="1"/>
  <c r="C13" i="34" l="1"/>
  <c r="G13" i="41" s="1"/>
  <c r="D8" i="43"/>
  <c r="C48" i="39"/>
  <c r="K97" i="22"/>
  <c r="K104" i="22" s="1"/>
  <c r="E34" i="27"/>
  <c r="E28" i="29" l="1"/>
  <c r="C49" i="39"/>
  <c r="C46" i="39" l="1"/>
  <c r="E30" i="29"/>
  <c r="C34" i="39"/>
  <c r="D7" i="43" l="1"/>
  <c r="J34" i="24"/>
  <c r="J15" i="28" s="1"/>
  <c r="D36" i="34" l="1"/>
  <c r="D38" i="34" s="1"/>
  <c r="G18" i="41"/>
  <c r="J45" i="28"/>
  <c r="J16" i="28"/>
  <c r="J46" i="28" s="1"/>
  <c r="J37" i="24"/>
  <c r="J45" i="24"/>
  <c r="L27" i="23" s="1"/>
  <c r="J48" i="24"/>
  <c r="L28" i="23" s="1"/>
  <c r="J68" i="24"/>
  <c r="L40" i="23" s="1"/>
  <c r="L13" i="23"/>
  <c r="J145" i="24" s="1"/>
  <c r="L66" i="22" s="1"/>
  <c r="J18" i="28" l="1"/>
  <c r="K12" i="28" s="1"/>
  <c r="L17" i="23"/>
  <c r="L18" i="23" s="1"/>
  <c r="J80" i="24"/>
  <c r="L18" i="22" s="1"/>
  <c r="J99" i="24"/>
  <c r="L30" i="22" s="1"/>
  <c r="J86" i="24"/>
  <c r="J163" i="24" s="1"/>
  <c r="J128" i="24"/>
  <c r="J164" i="24" s="1"/>
  <c r="J83" i="24"/>
  <c r="J162" i="24" s="1"/>
  <c r="J77" i="24"/>
  <c r="L72" i="22"/>
  <c r="L14" i="23"/>
  <c r="J96" i="24"/>
  <c r="J125" i="24"/>
  <c r="L51" i="22" s="1"/>
  <c r="L29" i="23"/>
  <c r="F31" i="27"/>
  <c r="J161" i="24" l="1"/>
  <c r="L29" i="22"/>
  <c r="L19" i="22"/>
  <c r="L52" i="22"/>
  <c r="L60" i="22" s="1"/>
  <c r="L74" i="22" s="1"/>
  <c r="L20" i="22"/>
  <c r="L17" i="22"/>
  <c r="J48" i="28"/>
  <c r="L20" i="23"/>
  <c r="L24" i="23" s="1"/>
  <c r="L31" i="23" s="1"/>
  <c r="L38" i="23" s="1"/>
  <c r="L42" i="23" s="1"/>
  <c r="K42" i="28"/>
  <c r="J53" i="24"/>
  <c r="K52" i="24" s="1"/>
  <c r="M34" i="23" s="1"/>
  <c r="M36" i="23" s="1"/>
  <c r="L90" i="22" l="1"/>
  <c r="L44" i="23"/>
  <c r="F22" i="27"/>
  <c r="L25" i="22"/>
  <c r="F12" i="27"/>
  <c r="L36" i="22"/>
  <c r="K152" i="24"/>
  <c r="K151" i="24" s="1"/>
  <c r="M85" i="22" s="1"/>
  <c r="L95" i="22"/>
  <c r="F13" i="27" l="1"/>
  <c r="E5" i="43"/>
  <c r="L38" i="22"/>
  <c r="F15" i="27"/>
  <c r="L97" i="22"/>
  <c r="D22" i="39"/>
  <c r="D20" i="39" s="1"/>
  <c r="D25" i="39" s="1"/>
  <c r="D31" i="39" s="1"/>
  <c r="D48" i="39"/>
  <c r="D49" i="39" s="1"/>
  <c r="D46" i="39" s="1"/>
  <c r="K34" i="24"/>
  <c r="K15" i="28" s="1"/>
  <c r="F20" i="27" l="1"/>
  <c r="F24" i="27" s="1"/>
  <c r="F28" i="27" s="1"/>
  <c r="E8" i="43" s="1"/>
  <c r="E6" i="43"/>
  <c r="D33" i="39"/>
  <c r="D52" i="39" s="1"/>
  <c r="D18" i="34" s="1"/>
  <c r="E7" i="43" s="1"/>
  <c r="L104" i="22"/>
  <c r="F34" i="27"/>
  <c r="D13" i="34"/>
  <c r="M13" i="23"/>
  <c r="K86" i="24" s="1"/>
  <c r="K163" i="24" s="1"/>
  <c r="K16" i="28"/>
  <c r="K46" i="28" s="1"/>
  <c r="K45" i="28"/>
  <c r="K68" i="24"/>
  <c r="M40" i="23" s="1"/>
  <c r="K48" i="24"/>
  <c r="M28" i="23" s="1"/>
  <c r="K45" i="24"/>
  <c r="M27" i="23" s="1"/>
  <c r="K37" i="24"/>
  <c r="M17" i="23" s="1"/>
  <c r="M18" i="23" s="1"/>
  <c r="L34" i="24"/>
  <c r="L15" i="28" s="1"/>
  <c r="K125" i="24" l="1"/>
  <c r="M51" i="22" s="1"/>
  <c r="K99" i="24"/>
  <c r="M30" i="22" s="1"/>
  <c r="D14" i="34"/>
  <c r="H13" i="41"/>
  <c r="D34" i="39"/>
  <c r="E36" i="34"/>
  <c r="E38" i="34" s="1"/>
  <c r="H18" i="41"/>
  <c r="M20" i="22"/>
  <c r="K80" i="24"/>
  <c r="M18" i="22" s="1"/>
  <c r="K83" i="24"/>
  <c r="K145" i="24"/>
  <c r="M66" i="22" s="1"/>
  <c r="M72" i="22" s="1"/>
  <c r="K128" i="24"/>
  <c r="K164" i="24" s="1"/>
  <c r="K77" i="24"/>
  <c r="M14" i="23"/>
  <c r="M20" i="23" s="1"/>
  <c r="M24" i="23" s="1"/>
  <c r="G12" i="27" s="1"/>
  <c r="F5" i="43" s="1"/>
  <c r="K96" i="24"/>
  <c r="K18" i="28"/>
  <c r="L16" i="28"/>
  <c r="L46" i="28" s="1"/>
  <c r="L45" i="28"/>
  <c r="L48" i="24"/>
  <c r="N28" i="23" s="1"/>
  <c r="L68" i="24"/>
  <c r="N40" i="23" s="1"/>
  <c r="N13" i="23"/>
  <c r="L37" i="24"/>
  <c r="N17" i="23" s="1"/>
  <c r="N18" i="23" s="1"/>
  <c r="L45" i="24"/>
  <c r="N27" i="23" s="1"/>
  <c r="M34" i="24"/>
  <c r="M15" i="28" s="1"/>
  <c r="M16" i="28" s="1"/>
  <c r="M29" i="23"/>
  <c r="G31" i="27"/>
  <c r="K162" i="24" l="1"/>
  <c r="K161" i="24" s="1"/>
  <c r="K82" i="24"/>
  <c r="H14" i="41"/>
  <c r="G22" i="27"/>
  <c r="M29" i="22"/>
  <c r="M19" i="22"/>
  <c r="M17" i="22"/>
  <c r="M52" i="22"/>
  <c r="M60" i="22" s="1"/>
  <c r="M74" i="22" s="1"/>
  <c r="M31" i="23"/>
  <c r="M38" i="23" s="1"/>
  <c r="M42" i="23" s="1"/>
  <c r="M36" i="22"/>
  <c r="K48" i="28"/>
  <c r="L12" i="28"/>
  <c r="M46" i="28"/>
  <c r="M45" i="28"/>
  <c r="H31" i="27"/>
  <c r="N29" i="23"/>
  <c r="G13" i="27"/>
  <c r="L99" i="24"/>
  <c r="N30" i="22" s="1"/>
  <c r="L128" i="24"/>
  <c r="L164" i="24" s="1"/>
  <c r="L145" i="24"/>
  <c r="L96" i="24"/>
  <c r="L86" i="24"/>
  <c r="L163" i="24" s="1"/>
  <c r="L80" i="24"/>
  <c r="N18" i="22" s="1"/>
  <c r="L83" i="24"/>
  <c r="L82" i="24" s="1"/>
  <c r="L125" i="24"/>
  <c r="N51" i="22" s="1"/>
  <c r="N14" i="23"/>
  <c r="N20" i="23" s="1"/>
  <c r="N24" i="23" s="1"/>
  <c r="L77" i="24"/>
  <c r="M68" i="24"/>
  <c r="O40" i="23" s="1"/>
  <c r="M45" i="24"/>
  <c r="O27" i="23" s="1"/>
  <c r="O13" i="23"/>
  <c r="M48" i="24"/>
  <c r="O28" i="23" s="1"/>
  <c r="M37" i="24"/>
  <c r="O17" i="23" s="1"/>
  <c r="O18" i="23" s="1"/>
  <c r="N34" i="24"/>
  <c r="N15" i="28" s="1"/>
  <c r="M90" i="22" l="1"/>
  <c r="M44" i="23"/>
  <c r="L162" i="24"/>
  <c r="L161" i="24" s="1"/>
  <c r="N29" i="22"/>
  <c r="N36" i="22" s="1"/>
  <c r="M25" i="22"/>
  <c r="M38" i="22" s="1"/>
  <c r="G15" i="27"/>
  <c r="N19" i="22"/>
  <c r="N52" i="22"/>
  <c r="N60" i="22" s="1"/>
  <c r="N20" i="22"/>
  <c r="N17" i="22"/>
  <c r="L53" i="24" s="1"/>
  <c r="M52" i="24" s="1"/>
  <c r="N66" i="22"/>
  <c r="N72" i="22" s="1"/>
  <c r="K53" i="24"/>
  <c r="L52" i="24" s="1"/>
  <c r="N34" i="23" s="1"/>
  <c r="N36" i="23" s="1"/>
  <c r="L152" i="24"/>
  <c r="L151" i="24" s="1"/>
  <c r="N85" i="22" s="1"/>
  <c r="M95" i="22"/>
  <c r="L42" i="28"/>
  <c r="L18" i="28"/>
  <c r="N45" i="28"/>
  <c r="N16" i="28"/>
  <c r="N46" i="28" s="1"/>
  <c r="N48" i="24"/>
  <c r="P28" i="23" s="1"/>
  <c r="N45" i="24"/>
  <c r="P27" i="23" s="1"/>
  <c r="N37" i="24"/>
  <c r="P17" i="23" s="1"/>
  <c r="P18" i="23" s="1"/>
  <c r="P13" i="23"/>
  <c r="N68" i="24"/>
  <c r="P40" i="23" s="1"/>
  <c r="O34" i="24"/>
  <c r="O15" i="28" s="1"/>
  <c r="O29" i="23"/>
  <c r="I31" i="27"/>
  <c r="M99" i="24"/>
  <c r="M96" i="24"/>
  <c r="M80" i="24"/>
  <c r="O18" i="22" s="1"/>
  <c r="M83" i="24"/>
  <c r="M128" i="24"/>
  <c r="M125" i="24"/>
  <c r="O51" i="22" s="1"/>
  <c r="M145" i="24"/>
  <c r="M86" i="24"/>
  <c r="M163" i="24" s="1"/>
  <c r="M77" i="24"/>
  <c r="O14" i="23"/>
  <c r="O20" i="23" s="1"/>
  <c r="O24" i="23" s="1"/>
  <c r="H12" i="27"/>
  <c r="G5" i="43" s="1"/>
  <c r="N31" i="23"/>
  <c r="G20" i="27" l="1"/>
  <c r="G24" i="27" s="1"/>
  <c r="G28" i="27" s="1"/>
  <c r="F8" i="43" s="1"/>
  <c r="F6" i="43"/>
  <c r="M162" i="24"/>
  <c r="M82" i="24"/>
  <c r="O30" i="22"/>
  <c r="M98" i="24"/>
  <c r="M164" i="24"/>
  <c r="M161" i="24" s="1"/>
  <c r="O29" i="22"/>
  <c r="E13" i="34"/>
  <c r="G34" i="27"/>
  <c r="N25" i="22"/>
  <c r="N38" i="22" s="1"/>
  <c r="H22" i="27"/>
  <c r="O52" i="22"/>
  <c r="O60" i="22" s="1"/>
  <c r="O20" i="22"/>
  <c r="O19" i="22"/>
  <c r="O17" i="22"/>
  <c r="M97" i="22"/>
  <c r="M104" i="22" s="1"/>
  <c r="E22" i="39"/>
  <c r="E20" i="39" s="1"/>
  <c r="E25" i="39" s="1"/>
  <c r="E31" i="39" s="1"/>
  <c r="E33" i="39" s="1"/>
  <c r="E48" i="39"/>
  <c r="E49" i="39" s="1"/>
  <c r="E46" i="39" s="1"/>
  <c r="O66" i="22"/>
  <c r="O72" i="22" s="1"/>
  <c r="N74" i="22"/>
  <c r="N38" i="23"/>
  <c r="N42" i="23" s="1"/>
  <c r="O16" i="28"/>
  <c r="O46" i="28" s="1"/>
  <c r="O45" i="28"/>
  <c r="L48" i="28"/>
  <c r="M12" i="28"/>
  <c r="H13" i="27"/>
  <c r="O31" i="23"/>
  <c r="O38" i="23" s="1"/>
  <c r="O42" i="23" s="1"/>
  <c r="I12" i="27"/>
  <c r="H5" i="43" s="1"/>
  <c r="N99" i="24"/>
  <c r="N96" i="24"/>
  <c r="N145" i="24"/>
  <c r="N86" i="24"/>
  <c r="N163" i="24" s="1"/>
  <c r="N128" i="24"/>
  <c r="N125" i="24"/>
  <c r="P51" i="22" s="1"/>
  <c r="P14" i="23"/>
  <c r="P20" i="23" s="1"/>
  <c r="P24" i="23" s="1"/>
  <c r="N83" i="24"/>
  <c r="N82" i="24" s="1"/>
  <c r="N77" i="24"/>
  <c r="N80" i="24"/>
  <c r="P18" i="22" s="1"/>
  <c r="O48" i="24"/>
  <c r="Q28" i="23" s="1"/>
  <c r="O37" i="24"/>
  <c r="Q17" i="23" s="1"/>
  <c r="Q18" i="23" s="1"/>
  <c r="O68" i="24"/>
  <c r="Q40" i="23" s="1"/>
  <c r="Q13" i="23"/>
  <c r="O45" i="24"/>
  <c r="Q27" i="23" s="1"/>
  <c r="P34" i="24"/>
  <c r="P15" i="28" s="1"/>
  <c r="P29" i="23"/>
  <c r="J31" i="27"/>
  <c r="M53" i="24"/>
  <c r="N52" i="24" s="1"/>
  <c r="P34" i="23" s="1"/>
  <c r="P36" i="23" s="1"/>
  <c r="N90" i="22" l="1"/>
  <c r="N44" i="23"/>
  <c r="O90" i="22"/>
  <c r="O44" i="23"/>
  <c r="P30" i="22"/>
  <c r="N98" i="24"/>
  <c r="E14" i="34"/>
  <c r="I13" i="41"/>
  <c r="N164" i="24"/>
  <c r="N162" i="24"/>
  <c r="E52" i="39"/>
  <c r="E18" i="34" s="1"/>
  <c r="F7" i="43" s="1"/>
  <c r="P29" i="22"/>
  <c r="O25" i="22"/>
  <c r="I22" i="27"/>
  <c r="H15" i="27"/>
  <c r="P52" i="22"/>
  <c r="P60" i="22" s="1"/>
  <c r="P19" i="22"/>
  <c r="P20" i="22"/>
  <c r="F48" i="39"/>
  <c r="F49" i="39" s="1"/>
  <c r="F46" i="39" s="1"/>
  <c r="P17" i="22"/>
  <c r="N53" i="24" s="1"/>
  <c r="O52" i="24" s="1"/>
  <c r="Q34" i="23" s="1"/>
  <c r="Q36" i="23" s="1"/>
  <c r="E34" i="39"/>
  <c r="P66" i="22"/>
  <c r="P72" i="22" s="1"/>
  <c r="O74" i="22"/>
  <c r="N95" i="22"/>
  <c r="M152" i="24"/>
  <c r="M151" i="24" s="1"/>
  <c r="O85" i="22" s="1"/>
  <c r="P16" i="28"/>
  <c r="P46" i="28" s="1"/>
  <c r="P45" i="28"/>
  <c r="M42" i="28"/>
  <c r="M18" i="28"/>
  <c r="O36" i="22"/>
  <c r="P31" i="23"/>
  <c r="P38" i="23" s="1"/>
  <c r="P42" i="23" s="1"/>
  <c r="J12" i="27"/>
  <c r="I5" i="43" s="1"/>
  <c r="Q29" i="23"/>
  <c r="K31" i="27"/>
  <c r="I13" i="27"/>
  <c r="O80" i="24"/>
  <c r="Q18" i="22" s="1"/>
  <c r="O86" i="24"/>
  <c r="O163" i="24" s="1"/>
  <c r="O99" i="24"/>
  <c r="O98" i="24" s="1"/>
  <c r="O145" i="24"/>
  <c r="O128" i="24"/>
  <c r="O77" i="24"/>
  <c r="Q14" i="23"/>
  <c r="Q20" i="23" s="1"/>
  <c r="Q24" i="23" s="1"/>
  <c r="O83" i="24"/>
  <c r="O82" i="24" s="1"/>
  <c r="O96" i="24"/>
  <c r="O125" i="24"/>
  <c r="Q51" i="22" s="1"/>
  <c r="N152" i="24"/>
  <c r="P37" i="24"/>
  <c r="R17" i="23" s="1"/>
  <c r="R18" i="23" s="1"/>
  <c r="P48" i="24"/>
  <c r="R28" i="23" s="1"/>
  <c r="Q34" i="24"/>
  <c r="Q15" i="28" s="1"/>
  <c r="R13" i="23"/>
  <c r="P45" i="24"/>
  <c r="R27" i="23" s="1"/>
  <c r="P68" i="24"/>
  <c r="R40" i="23" s="1"/>
  <c r="P90" i="22" l="1"/>
  <c r="P44" i="23"/>
  <c r="H20" i="27"/>
  <c r="H24" i="27" s="1"/>
  <c r="H28" i="27" s="1"/>
  <c r="G8" i="43" s="1"/>
  <c r="G6" i="43"/>
  <c r="N161" i="24"/>
  <c r="J22" i="27" s="1"/>
  <c r="I14" i="41"/>
  <c r="F36" i="34"/>
  <c r="F38" i="34" s="1"/>
  <c r="I18" i="41"/>
  <c r="Q30" i="22"/>
  <c r="O164" i="24"/>
  <c r="O162" i="24"/>
  <c r="O38" i="22"/>
  <c r="G48" i="39" s="1"/>
  <c r="Q29" i="22"/>
  <c r="P25" i="22"/>
  <c r="H34" i="27"/>
  <c r="I15" i="27"/>
  <c r="Q52" i="22"/>
  <c r="Q60" i="22" s="1"/>
  <c r="Q20" i="22"/>
  <c r="Q19" i="22"/>
  <c r="Q17" i="22"/>
  <c r="O53" i="24" s="1"/>
  <c r="P52" i="24" s="1"/>
  <c r="R34" i="23" s="1"/>
  <c r="R36" i="23" s="1"/>
  <c r="N97" i="22"/>
  <c r="N104" i="22" s="1"/>
  <c r="F22" i="39"/>
  <c r="F20" i="39" s="1"/>
  <c r="F25" i="39" s="1"/>
  <c r="F31" i="39" s="1"/>
  <c r="Q66" i="22"/>
  <c r="Q72" i="22" s="1"/>
  <c r="P74" i="22"/>
  <c r="N151" i="24"/>
  <c r="P85" i="22" s="1"/>
  <c r="O95" i="22"/>
  <c r="Q45" i="28"/>
  <c r="Q16" i="28"/>
  <c r="Q46" i="28" s="1"/>
  <c r="N12" i="28"/>
  <c r="M48" i="28"/>
  <c r="Q45" i="24"/>
  <c r="S27" i="23" s="1"/>
  <c r="Q68" i="24"/>
  <c r="S40" i="23" s="1"/>
  <c r="Q37" i="24"/>
  <c r="S17" i="23" s="1"/>
  <c r="S18" i="23" s="1"/>
  <c r="R34" i="24"/>
  <c r="R15" i="28" s="1"/>
  <c r="Q48" i="24"/>
  <c r="S28" i="23" s="1"/>
  <c r="S13" i="23"/>
  <c r="Q31" i="23"/>
  <c r="Q38" i="23" s="1"/>
  <c r="Q42" i="23" s="1"/>
  <c r="K12" i="27"/>
  <c r="J5" i="43" s="1"/>
  <c r="O152" i="24"/>
  <c r="P36" i="22"/>
  <c r="L31" i="27"/>
  <c r="R29" i="23"/>
  <c r="P86" i="24"/>
  <c r="P163" i="24" s="1"/>
  <c r="R14" i="23"/>
  <c r="R20" i="23" s="1"/>
  <c r="R24" i="23" s="1"/>
  <c r="P145" i="24"/>
  <c r="P99" i="24"/>
  <c r="P98" i="24" s="1"/>
  <c r="P96" i="24"/>
  <c r="P125" i="24"/>
  <c r="R51" i="22" s="1"/>
  <c r="P77" i="24"/>
  <c r="P83" i="24"/>
  <c r="P82" i="24" s="1"/>
  <c r="P80" i="24"/>
  <c r="R18" i="22" s="1"/>
  <c r="P128" i="24"/>
  <c r="J13" i="27"/>
  <c r="F13" i="34" l="1"/>
  <c r="J13" i="41" s="1"/>
  <c r="J14" i="41" s="1"/>
  <c r="Q90" i="22"/>
  <c r="Q44" i="23"/>
  <c r="I20" i="27"/>
  <c r="I24" i="27" s="1"/>
  <c r="I28" i="27" s="1"/>
  <c r="H8" i="43" s="1"/>
  <c r="H6" i="43"/>
  <c r="P38" i="22"/>
  <c r="H48" i="39" s="1"/>
  <c r="H49" i="39" s="1"/>
  <c r="H46" i="39" s="1"/>
  <c r="F33" i="39"/>
  <c r="F52" i="39" s="1"/>
  <c r="F18" i="34" s="1"/>
  <c r="O161" i="24"/>
  <c r="K22" i="27" s="1"/>
  <c r="R30" i="22"/>
  <c r="P164" i="24"/>
  <c r="P162" i="24"/>
  <c r="R29" i="22"/>
  <c r="F14" i="34"/>
  <c r="Q25" i="22"/>
  <c r="J15" i="27"/>
  <c r="R19" i="22"/>
  <c r="R52" i="22"/>
  <c r="R60" i="22" s="1"/>
  <c r="R20" i="22"/>
  <c r="R17" i="22"/>
  <c r="P53" i="24" s="1"/>
  <c r="Q52" i="24" s="1"/>
  <c r="S34" i="23" s="1"/>
  <c r="S36" i="23" s="1"/>
  <c r="O97" i="22"/>
  <c r="O104" i="22" s="1"/>
  <c r="G22" i="39"/>
  <c r="G20" i="39" s="1"/>
  <c r="G25" i="39" s="1"/>
  <c r="G31" i="39" s="1"/>
  <c r="G33" i="39" s="1"/>
  <c r="G49" i="39"/>
  <c r="G46" i="39" s="1"/>
  <c r="R66" i="22"/>
  <c r="R72" i="22" s="1"/>
  <c r="Q74" i="22"/>
  <c r="O151" i="24"/>
  <c r="Q85" i="22" s="1"/>
  <c r="Q36" i="22"/>
  <c r="R45" i="28"/>
  <c r="R16" i="28"/>
  <c r="R46" i="28" s="1"/>
  <c r="N42" i="28"/>
  <c r="N18" i="28"/>
  <c r="R31" i="23"/>
  <c r="R38" i="23" s="1"/>
  <c r="R42" i="23" s="1"/>
  <c r="L12" i="27"/>
  <c r="K5" i="43" s="1"/>
  <c r="K13" i="27"/>
  <c r="K15" i="27" s="1"/>
  <c r="J6" i="43" s="1"/>
  <c r="S29" i="23"/>
  <c r="M31" i="27"/>
  <c r="P152" i="24"/>
  <c r="R48" i="24"/>
  <c r="T28" i="23" s="1"/>
  <c r="R68" i="24"/>
  <c r="T40" i="23" s="1"/>
  <c r="T13" i="23"/>
  <c r="R37" i="24"/>
  <c r="T17" i="23" s="1"/>
  <c r="T18" i="23" s="1"/>
  <c r="R45" i="24"/>
  <c r="T27" i="23" s="1"/>
  <c r="Q99" i="24"/>
  <c r="Q98" i="24" s="1"/>
  <c r="Q128" i="24"/>
  <c r="Q125" i="24"/>
  <c r="S51" i="22" s="1"/>
  <c r="Q96" i="24"/>
  <c r="Q145" i="24"/>
  <c r="Q83" i="24"/>
  <c r="Q82" i="24" s="1"/>
  <c r="Q80" i="24"/>
  <c r="S18" i="22" s="1"/>
  <c r="Q86" i="24"/>
  <c r="Q163" i="24" s="1"/>
  <c r="Q77" i="24"/>
  <c r="S14" i="23"/>
  <c r="S20" i="23" s="1"/>
  <c r="S24" i="23" s="1"/>
  <c r="P95" i="22"/>
  <c r="R90" i="22" l="1"/>
  <c r="R44" i="23"/>
  <c r="G13" i="34"/>
  <c r="G14" i="34" s="1"/>
  <c r="J20" i="27"/>
  <c r="J24" i="27" s="1"/>
  <c r="J28" i="27" s="1"/>
  <c r="I8" i="43" s="1"/>
  <c r="I6" i="43"/>
  <c r="I34" i="27"/>
  <c r="P161" i="24"/>
  <c r="L22" i="27" s="1"/>
  <c r="J18" i="41"/>
  <c r="G7" i="43"/>
  <c r="K13" i="41"/>
  <c r="F34" i="39"/>
  <c r="G36" i="34"/>
  <c r="G38" i="34" s="1"/>
  <c r="S30" i="22"/>
  <c r="Q164" i="24"/>
  <c r="Q162" i="24"/>
  <c r="Q38" i="22"/>
  <c r="I48" i="39" s="1"/>
  <c r="I49" i="39" s="1"/>
  <c r="I46" i="39" s="1"/>
  <c r="G52" i="39"/>
  <c r="G18" i="34" s="1"/>
  <c r="H7" i="43" s="1"/>
  <c r="S29" i="22"/>
  <c r="R25" i="22"/>
  <c r="J34" i="27"/>
  <c r="K20" i="27"/>
  <c r="K24" i="27" s="1"/>
  <c r="K28" i="27" s="1"/>
  <c r="J8" i="43" s="1"/>
  <c r="S20" i="22"/>
  <c r="S19" i="22"/>
  <c r="S52" i="22"/>
  <c r="S60" i="22" s="1"/>
  <c r="S17" i="22"/>
  <c r="G34" i="39"/>
  <c r="P97" i="22"/>
  <c r="P104" i="22" s="1"/>
  <c r="H22" i="39"/>
  <c r="H20" i="39" s="1"/>
  <c r="H25" i="39" s="1"/>
  <c r="H31" i="39" s="1"/>
  <c r="H33" i="39" s="1"/>
  <c r="R74" i="22"/>
  <c r="S66" i="22"/>
  <c r="S72" i="22" s="1"/>
  <c r="P151" i="24"/>
  <c r="R85" i="22" s="1"/>
  <c r="O12" i="28"/>
  <c r="N48" i="28"/>
  <c r="Q95" i="22"/>
  <c r="R96" i="24"/>
  <c r="T29" i="22" s="1"/>
  <c r="R99" i="24"/>
  <c r="R83" i="24"/>
  <c r="R82" i="24" s="1"/>
  <c r="R125" i="24"/>
  <c r="T51" i="22" s="1"/>
  <c r="R77" i="24"/>
  <c r="R145" i="24"/>
  <c r="R128" i="24"/>
  <c r="R164" i="24" s="1"/>
  <c r="R80" i="24"/>
  <c r="T18" i="22" s="1"/>
  <c r="R86" i="24"/>
  <c r="R163" i="24" s="1"/>
  <c r="T14" i="23"/>
  <c r="T20" i="23" s="1"/>
  <c r="T24" i="23" s="1"/>
  <c r="L13" i="27"/>
  <c r="S31" i="23"/>
  <c r="S38" i="23" s="1"/>
  <c r="S42" i="23" s="1"/>
  <c r="M12" i="27"/>
  <c r="L5" i="43" s="1"/>
  <c r="T29" i="23"/>
  <c r="N31" i="27"/>
  <c r="R36" i="22"/>
  <c r="Q152" i="24"/>
  <c r="G15" i="33" l="1"/>
  <c r="G35" i="41" s="1"/>
  <c r="S90" i="22"/>
  <c r="S44" i="23"/>
  <c r="H13" i="34"/>
  <c r="L13" i="41" s="1"/>
  <c r="T30" i="22"/>
  <c r="R98" i="24"/>
  <c r="Q161" i="24"/>
  <c r="M22" i="27" s="1"/>
  <c r="L14" i="41"/>
  <c r="K14" i="41"/>
  <c r="H52" i="39"/>
  <c r="H18" i="34" s="1"/>
  <c r="I7" i="43" s="1"/>
  <c r="H36" i="34"/>
  <c r="H38" i="34" s="1"/>
  <c r="K18" i="41"/>
  <c r="R162" i="24"/>
  <c r="R161" i="24" s="1"/>
  <c r="R38" i="22"/>
  <c r="H14" i="34"/>
  <c r="K34" i="27"/>
  <c r="S25" i="22"/>
  <c r="I13" i="34"/>
  <c r="L15" i="27"/>
  <c r="T20" i="22"/>
  <c r="Q53" i="24"/>
  <c r="R52" i="24" s="1"/>
  <c r="T34" i="23" s="1"/>
  <c r="T36" i="23" s="1"/>
  <c r="T52" i="22"/>
  <c r="T60" i="22" s="1"/>
  <c r="T19" i="22"/>
  <c r="T17" i="22"/>
  <c r="G14" i="33" s="1"/>
  <c r="J48" i="39"/>
  <c r="J49" i="39" s="1"/>
  <c r="J46" i="39" s="1"/>
  <c r="H34" i="39"/>
  <c r="Q97" i="22"/>
  <c r="Q104" i="22" s="1"/>
  <c r="I22" i="39"/>
  <c r="I20" i="39" s="1"/>
  <c r="I25" i="39" s="1"/>
  <c r="I31" i="39" s="1"/>
  <c r="I33" i="39" s="1"/>
  <c r="T66" i="22"/>
  <c r="T72" i="22" s="1"/>
  <c r="S74" i="22"/>
  <c r="Q151" i="24"/>
  <c r="S85" i="22" s="1"/>
  <c r="O42" i="28"/>
  <c r="O18" i="28"/>
  <c r="S36" i="22"/>
  <c r="N12" i="27"/>
  <c r="M5" i="43" s="1"/>
  <c r="T31" i="23"/>
  <c r="M13" i="27"/>
  <c r="M15" i="27" s="1"/>
  <c r="L6" i="43" s="1"/>
  <c r="R95" i="22"/>
  <c r="R152" i="24"/>
  <c r="L20" i="27" l="1"/>
  <c r="L24" i="27" s="1"/>
  <c r="L28" i="27" s="1"/>
  <c r="K8" i="43" s="1"/>
  <c r="K6" i="43"/>
  <c r="I14" i="34"/>
  <c r="M13" i="41"/>
  <c r="M14" i="41" s="1"/>
  <c r="I36" i="34"/>
  <c r="I38" i="34" s="1"/>
  <c r="L18" i="41"/>
  <c r="I52" i="39"/>
  <c r="I18" i="34" s="1"/>
  <c r="J7" i="43" s="1"/>
  <c r="R53" i="24"/>
  <c r="G34" i="41"/>
  <c r="T25" i="22"/>
  <c r="S38" i="22"/>
  <c r="K48" i="39" s="1"/>
  <c r="K49" i="39" s="1"/>
  <c r="K46" i="39" s="1"/>
  <c r="J13" i="34"/>
  <c r="N13" i="41" s="1"/>
  <c r="L34" i="27"/>
  <c r="N22" i="27"/>
  <c r="M20" i="27"/>
  <c r="M24" i="27" s="1"/>
  <c r="M28" i="27" s="1"/>
  <c r="L8" i="43" s="1"/>
  <c r="T38" i="23"/>
  <c r="T42" i="23" s="1"/>
  <c r="R97" i="22"/>
  <c r="R104" i="22" s="1"/>
  <c r="J22" i="39"/>
  <c r="J20" i="39" s="1"/>
  <c r="J25" i="39" s="1"/>
  <c r="J31" i="39" s="1"/>
  <c r="I34" i="39"/>
  <c r="T74" i="22"/>
  <c r="R151" i="24"/>
  <c r="T85" i="22" s="1"/>
  <c r="P12" i="28"/>
  <c r="O48" i="28"/>
  <c r="T36" i="22"/>
  <c r="N13" i="27"/>
  <c r="S95" i="22"/>
  <c r="T90" i="22" l="1"/>
  <c r="T44" i="23"/>
  <c r="N14" i="41"/>
  <c r="J33" i="39"/>
  <c r="J52" i="39" s="1"/>
  <c r="J18" i="34" s="1"/>
  <c r="K7" i="43" s="1"/>
  <c r="J36" i="34"/>
  <c r="J38" i="34" s="1"/>
  <c r="M18" i="41"/>
  <c r="T38" i="22"/>
  <c r="L48" i="39" s="1"/>
  <c r="L49" i="39" s="1"/>
  <c r="L46" i="39" s="1"/>
  <c r="J14" i="34"/>
  <c r="M34" i="27"/>
  <c r="K13" i="34"/>
  <c r="O13" i="41" s="1"/>
  <c r="O14" i="41" s="1"/>
  <c r="N15" i="27"/>
  <c r="J34" i="39"/>
  <c r="S97" i="22"/>
  <c r="S104" i="22" s="1"/>
  <c r="K22" i="39"/>
  <c r="K20" i="39" s="1"/>
  <c r="K25" i="39" s="1"/>
  <c r="K31" i="39" s="1"/>
  <c r="T95" i="22"/>
  <c r="P42" i="28"/>
  <c r="P18" i="28"/>
  <c r="N20" i="27" l="1"/>
  <c r="N24" i="27" s="1"/>
  <c r="M6" i="43"/>
  <c r="N28" i="27"/>
  <c r="M8" i="43" s="1"/>
  <c r="N18" i="41"/>
  <c r="K36" i="34"/>
  <c r="K38" i="34" s="1"/>
  <c r="K33" i="39"/>
  <c r="K52" i="39" s="1"/>
  <c r="K18" i="34" s="1"/>
  <c r="L7" i="43" s="1"/>
  <c r="K14" i="34"/>
  <c r="T97" i="22"/>
  <c r="T104" i="22" s="1"/>
  <c r="L22" i="39"/>
  <c r="L20" i="39" s="1"/>
  <c r="L25" i="39" s="1"/>
  <c r="L31" i="39" s="1"/>
  <c r="P48" i="28"/>
  <c r="Q12" i="28"/>
  <c r="N34" i="27" l="1"/>
  <c r="L13" i="34"/>
  <c r="L36" i="34"/>
  <c r="L38" i="34" s="1"/>
  <c r="O18" i="41"/>
  <c r="K34" i="39"/>
  <c r="L33" i="39"/>
  <c r="Q42" i="28"/>
  <c r="Q18" i="28"/>
  <c r="C16" i="34" l="1"/>
  <c r="P13" i="41"/>
  <c r="L14" i="34"/>
  <c r="L52" i="39"/>
  <c r="L18" i="34" s="1"/>
  <c r="L34" i="39"/>
  <c r="R12" i="28"/>
  <c r="Q48" i="28"/>
  <c r="P14" i="41" l="1"/>
  <c r="H24" i="41"/>
  <c r="M7" i="43"/>
  <c r="P18" i="41"/>
  <c r="R42" i="28"/>
  <c r="R18" i="28"/>
  <c r="R48" i="28" s="1"/>
  <c r="C24" i="34" l="1"/>
  <c r="G24" i="41"/>
  <c r="G25" i="41"/>
  <c r="G26" i="41" s="1"/>
  <c r="C31" i="34" l="1"/>
  <c r="G12" i="33" s="1"/>
  <c r="G27" i="41"/>
  <c r="G31" i="41" s="1"/>
  <c r="G37" i="41" s="1"/>
  <c r="G43" i="41" s="1"/>
  <c r="G17" i="33"/>
  <c r="G21" i="33" l="1"/>
  <c r="G47" i="41"/>
  <c r="G52" i="41" s="1"/>
  <c r="G25" i="33" l="1"/>
  <c r="C30" i="31" s="1"/>
</calcChain>
</file>

<file path=xl/comments1.xml><?xml version="1.0" encoding="utf-8"?>
<comments xmlns="http://schemas.openxmlformats.org/spreadsheetml/2006/main">
  <authors>
    <author>Mónica Orozco</author>
  </authors>
  <commentList>
    <comment ref="C35" authorId="0">
      <text>
        <r>
          <rPr>
            <b/>
            <sz val="8"/>
            <color indexed="81"/>
            <rFont val="Tahoma"/>
            <family val="2"/>
          </rPr>
          <t>Aquintero:</t>
        </r>
        <r>
          <rPr>
            <sz val="8"/>
            <color indexed="81"/>
            <rFont val="Tahoma"/>
            <family val="2"/>
          </rPr>
          <t xml:space="preserve">
Obligaciones financieras: Deudas a los bancos, sector financiero legalmente constituido</t>
        </r>
      </text>
    </comment>
  </commentList>
</comments>
</file>

<file path=xl/comments2.xml><?xml version="1.0" encoding="utf-8"?>
<comments xmlns="http://schemas.openxmlformats.org/spreadsheetml/2006/main">
  <authors>
    <author>Ana María Quintero Moya</author>
  </authors>
  <commentList>
    <comment ref="G22" authorId="0">
      <text>
        <r>
          <rPr>
            <b/>
            <sz val="9"/>
            <color indexed="81"/>
            <rFont val="Tahoma"/>
            <family val="2"/>
          </rPr>
          <t>Ana María Quintero Moya:</t>
        </r>
        <r>
          <rPr>
            <sz val="9"/>
            <color indexed="81"/>
            <rFont val="Tahoma"/>
            <family val="2"/>
          </rPr>
          <t xml:space="preserve">
COMO SE HALLA?</t>
        </r>
      </text>
    </comment>
    <comment ref="F52" authorId="0">
      <text>
        <r>
          <rPr>
            <b/>
            <sz val="9"/>
            <color indexed="81"/>
            <rFont val="Tahoma"/>
            <family val="2"/>
          </rPr>
          <t>Ana María Quintero Moya:</t>
        </r>
        <r>
          <rPr>
            <sz val="9"/>
            <color indexed="81"/>
            <rFont val="Tahoma"/>
            <family val="2"/>
          </rPr>
          <t xml:space="preserve">
La tasa de crecimiento estable esperado (g) no puede ser superior a la tasa de crecimiento esperado de la economía en la que opera la empresa</t>
        </r>
      </text>
    </comment>
  </commentList>
</comments>
</file>

<file path=xl/sharedStrings.xml><?xml version="1.0" encoding="utf-8"?>
<sst xmlns="http://schemas.openxmlformats.org/spreadsheetml/2006/main" count="6284" uniqueCount="1985">
  <si>
    <t>ACTIVO</t>
  </si>
  <si>
    <t>ACTIVO CORRIENTE</t>
  </si>
  <si>
    <t xml:space="preserve">Disponible </t>
  </si>
  <si>
    <t xml:space="preserve">Inversiones temporales </t>
  </si>
  <si>
    <t xml:space="preserve">Deudores </t>
  </si>
  <si>
    <t>Inventario</t>
  </si>
  <si>
    <t xml:space="preserve">Intangibles -derechos </t>
  </si>
  <si>
    <t xml:space="preserve">Diferidos </t>
  </si>
  <si>
    <t xml:space="preserve">Valorizaciones </t>
  </si>
  <si>
    <t>TOTAL ACTIVO CORRIENTE</t>
  </si>
  <si>
    <t>Inversiones Largo Plazo</t>
  </si>
  <si>
    <t xml:space="preserve">Intangibles-derechos </t>
  </si>
  <si>
    <t xml:space="preserve">Propiedad planta y equipo </t>
  </si>
  <si>
    <t xml:space="preserve">TOTAL ACTIVO </t>
  </si>
  <si>
    <t>TOTAL ACTIVO NO CORRIENTE</t>
  </si>
  <si>
    <t xml:space="preserve">Cuentas de orden deudoras </t>
  </si>
  <si>
    <t xml:space="preserve">Cuentas de orden acreedoras por el contrario </t>
  </si>
  <si>
    <t>TOTAL CUENTAS DE ORDEN</t>
  </si>
  <si>
    <t>PASIVO</t>
  </si>
  <si>
    <t>PASIVO CORRIENTE</t>
  </si>
  <si>
    <t>ACTIVO NO CORRIENTE</t>
  </si>
  <si>
    <t>Obligaciones Financieras</t>
  </si>
  <si>
    <t xml:space="preserve">Compañías de _x001F_Financiamiento Ccial </t>
  </si>
  <si>
    <t xml:space="preserve">Proveedores </t>
  </si>
  <si>
    <t>Cuentas por pagar (PC)</t>
  </si>
  <si>
    <t xml:space="preserve">Impuestos gravámenes y tasas </t>
  </si>
  <si>
    <t>Impuesto de Renta y Complementarios</t>
  </si>
  <si>
    <t>Obligaciones Laborales</t>
  </si>
  <si>
    <t xml:space="preserve">Pasivos Estimados y Provisiones </t>
  </si>
  <si>
    <t>Anticipos y avances recibidos (PC)</t>
  </si>
  <si>
    <t>Ingresos recibidos por anticipado</t>
  </si>
  <si>
    <t>TOTAL PASIVO CORRIENTE</t>
  </si>
  <si>
    <t>Compañías de _x001F_Financiamiento ccial</t>
  </si>
  <si>
    <t>Cuentas por pagar (PNC)</t>
  </si>
  <si>
    <t>Pasivos estimados y provisiones</t>
  </si>
  <si>
    <t>Provisión Contingencias</t>
  </si>
  <si>
    <t>Anticipos y avances recibidos (PNC)</t>
  </si>
  <si>
    <t>PASIVO NO CORRIENTE</t>
  </si>
  <si>
    <t>TOTAL PASIVO NO CORRIENTE</t>
  </si>
  <si>
    <t>TOTAL PASIVO</t>
  </si>
  <si>
    <t>Capital Autorizado</t>
  </si>
  <si>
    <t>Capital por Suscribir</t>
  </si>
  <si>
    <t>Capital por Suscrito por Cobrar</t>
  </si>
  <si>
    <t>CAPITAL SUSCRITO Y PAGADO</t>
  </si>
  <si>
    <t>Capital social</t>
  </si>
  <si>
    <t>Reservas</t>
  </si>
  <si>
    <t>Revalorización del patrimonio</t>
  </si>
  <si>
    <t>Resultado por ejercicio por fusión</t>
  </si>
  <si>
    <t>Prima en colocación de acciones</t>
  </si>
  <si>
    <t>Resultados del ejercicio anterior</t>
  </si>
  <si>
    <t>Resultados del ejercicio</t>
  </si>
  <si>
    <t>Patrimonio de consorcios</t>
  </si>
  <si>
    <t>Superávit metodo de participación</t>
  </si>
  <si>
    <t>Superávit por valorización</t>
  </si>
  <si>
    <t>PATRIMONIO</t>
  </si>
  <si>
    <t>TOTAL PATRIMONIO</t>
  </si>
  <si>
    <t>TOTAL PASIVO Y PATRIMONIO</t>
  </si>
  <si>
    <t xml:space="preserve">Cuentas de orden acreedoras </t>
  </si>
  <si>
    <t xml:space="preserve">Cuentas de orden deudoras por el contrario </t>
  </si>
  <si>
    <t>INGRESOS OPERACIONALES</t>
  </si>
  <si>
    <t>Ingresos construcción de obras (Nota 18)</t>
  </si>
  <si>
    <t>TOTAL INGRESOS OPERACIONALES</t>
  </si>
  <si>
    <t>COSTOS OPERACIONALES</t>
  </si>
  <si>
    <t>Costos construcción de obras</t>
  </si>
  <si>
    <t>TOTAL COSTOS OPERACIONALES</t>
  </si>
  <si>
    <t>UTILIDAD BRUTA</t>
  </si>
  <si>
    <t>Gastos de administración (Nota 19)</t>
  </si>
  <si>
    <t>UTILIDAD OPERACIONAL</t>
  </si>
  <si>
    <t>OTROS INGRESOS Y EGRESOS</t>
  </si>
  <si>
    <t>Otros ingresos (Nota 20)</t>
  </si>
  <si>
    <t>Otros egresos (Nota 21)</t>
  </si>
  <si>
    <t>TOTAL OTROS INGRESOS Y EGRESOS NETOS</t>
  </si>
  <si>
    <t>FINANCIERO</t>
  </si>
  <si>
    <t>Ingresos Fi_x001F_nancieros</t>
  </si>
  <si>
    <t>Egresos Fi_x001F_nancieros (Nota 22)</t>
  </si>
  <si>
    <t>TOTAL FINANCIEROS</t>
  </si>
  <si>
    <t>UTILIDAD ANTES DE IMPUESTO</t>
  </si>
  <si>
    <t>Provisión para impuesto de renta (Nota 23)</t>
  </si>
  <si>
    <t>UTILIDAD DEL EJERCICIO</t>
  </si>
  <si>
    <t>UTILIDAD ANTES DE INTERESES E IMPUESTOS</t>
  </si>
  <si>
    <t>Fuentes</t>
  </si>
  <si>
    <t>Utilidad neta del Periodo</t>
  </si>
  <si>
    <t>Mas (menos) partidas que no afectan el Capital de Trabajo</t>
  </si>
  <si>
    <t xml:space="preserve">Depreciación del Período </t>
  </si>
  <si>
    <t>Perdida en Venta de Activos Fijos</t>
  </si>
  <si>
    <t>Perdida en Venta y retiros de bienes</t>
  </si>
  <si>
    <t>Aumento en inversiones</t>
  </si>
  <si>
    <t>Disminución en diferidos</t>
  </si>
  <si>
    <t>Aumento neto en revaloración</t>
  </si>
  <si>
    <t>APLICACIONES</t>
  </si>
  <si>
    <t>Disminución en revalorizacion del patrimonio</t>
  </si>
  <si>
    <t>Disminución Provisión contingencias</t>
  </si>
  <si>
    <t>Disponible</t>
  </si>
  <si>
    <t>Proveedores</t>
  </si>
  <si>
    <t>Cuentas por pagar</t>
  </si>
  <si>
    <t>Depreciaciones</t>
  </si>
  <si>
    <t>Amortizaciones</t>
  </si>
  <si>
    <t>Impuestos</t>
  </si>
  <si>
    <t>NOPLAT NOPAT UONODI</t>
  </si>
  <si>
    <t>ROIC</t>
  </si>
  <si>
    <t>CAPITAL DE TRABAJO GENERADO</t>
  </si>
  <si>
    <t>OTRAS FUENTES POR LA OPERACIÓN</t>
  </si>
  <si>
    <t>Aumento Obligaciones Financiera L.P</t>
  </si>
  <si>
    <t>Aumento deudores largo plazo</t>
  </si>
  <si>
    <t xml:space="preserve">Aumento Neto en Provisión diversa para operaciones </t>
  </si>
  <si>
    <t>Aumento Neto en anticipos y avances recibidos</t>
  </si>
  <si>
    <t>Aumento Capital por pago Suscrito y Pagado</t>
  </si>
  <si>
    <t>TOTAL FUENTES DEL PERÍODO</t>
  </si>
  <si>
    <t>Mas provisión cartera</t>
  </si>
  <si>
    <t>Aumento Neto en Inversiones L.P</t>
  </si>
  <si>
    <t>Aumento en diferidos largo plazo</t>
  </si>
  <si>
    <t>Aumento Neto en Propiedad, Planta y Equipo</t>
  </si>
  <si>
    <t>Disminución Obligaciones Financieras L.P</t>
  </si>
  <si>
    <t>Disminución en CxP L.P</t>
  </si>
  <si>
    <t>TOTAL APLICACIONES DEL PERÍODO</t>
  </si>
  <si>
    <t>TOTAL AUMENTO DEL CAPITAL DE TRABAJO</t>
  </si>
  <si>
    <t>Capital de trabajo diciembre de 2008</t>
  </si>
  <si>
    <t>Capital de trabajo diciembre de 2009</t>
  </si>
  <si>
    <t>Capital de trabajo diciembre de 2010 y 2009</t>
  </si>
  <si>
    <t>Deudores</t>
  </si>
  <si>
    <t>Ventas</t>
  </si>
  <si>
    <t>Costo de Ventas</t>
  </si>
  <si>
    <t>Gastos de Ventas Administracion y Generales</t>
  </si>
  <si>
    <t>CAJA OPERACIONAL EFECTIVA (EBITDA - UAFIRDA)</t>
  </si>
  <si>
    <t>NOPLAT</t>
  </si>
  <si>
    <t>EBIT - UAFIR</t>
  </si>
  <si>
    <t>CUADRO CONTROL POR ACTIVIDAD PROCESOS LICITATORIOS – PROCESOS INVERSION</t>
  </si>
  <si>
    <t>N°</t>
  </si>
  <si>
    <t>PROCESO</t>
  </si>
  <si>
    <t>OBJETO</t>
  </si>
  <si>
    <t>ENTIDAD</t>
  </si>
  <si>
    <t>VALOR  (MM$) </t>
  </si>
  <si>
    <t> % PART CONDOR </t>
  </si>
  <si>
    <t> PREC/LIC </t>
  </si>
  <si>
    <t>OBSERVAC. PLIEGO</t>
  </si>
  <si>
    <t>CIERRE</t>
  </si>
  <si>
    <t>INFO EVAL INICIAL</t>
  </si>
  <si>
    <t>OBS. INFO EVALUACION</t>
  </si>
  <si>
    <t>ADJUD / PRECAL</t>
  </si>
  <si>
    <t>OBSERVACIONES</t>
  </si>
  <si>
    <t>PI-03</t>
  </si>
  <si>
    <t>VJ-VE-IP-001-2013 / VJ-V</t>
  </si>
  <si>
    <t>Concesion 4G Honda PSalgar Girardot</t>
  </si>
  <si>
    <t>ANI</t>
  </si>
  <si>
    <t>LIC</t>
  </si>
  <si>
    <t>PI-06</t>
  </si>
  <si>
    <t>VJ-VE-IP-011-2013 / VJ-V</t>
  </si>
  <si>
    <t>PI-10</t>
  </si>
  <si>
    <t>VJ-VE-IP-006-2013 VJ-VE</t>
  </si>
  <si>
    <t>Concesion AP Magdalena 2</t>
  </si>
  <si>
    <t>Cupo de crédito hasta 05-jun-14</t>
  </si>
  <si>
    <t>PI-11</t>
  </si>
  <si>
    <t>VJ-VE-IP-007-2013 / VJ-V</t>
  </si>
  <si>
    <t>Concesion AP Pacifico 1</t>
  </si>
  <si>
    <t>Cupo de crédito hasta 30-abr-14</t>
  </si>
  <si>
    <t>PI-12</t>
  </si>
  <si>
    <t>VJ-VE-IP-008-2013-VJ-VE-</t>
  </si>
  <si>
    <t>Concesion AP Pacifico 2</t>
  </si>
  <si>
    <t>Cupo de crédito hasta 08-may-14</t>
  </si>
  <si>
    <t>PI-14</t>
  </si>
  <si>
    <t>VJ-VE-IP-014-2013</t>
  </si>
  <si>
    <t>Concesion 4G Dcalzada Pasto – Rumichaca</t>
  </si>
  <si>
    <t>PREC</t>
  </si>
  <si>
    <t>PRECALIFICADOS</t>
  </si>
  <si>
    <t>PI-17</t>
  </si>
  <si>
    <t>VJ-VE-IP-017-2013</t>
  </si>
  <si>
    <t>Concesion 4G Santana – Mocoa</t>
  </si>
  <si>
    <t>PI-18</t>
  </si>
  <si>
    <t>VJ-VE-IP-018-2013</t>
  </si>
  <si>
    <t>Concesion 4G Popayán – Sder Qchao</t>
  </si>
  <si>
    <t>PI-20</t>
  </si>
  <si>
    <t>VJ-VE-IP-020-2013</t>
  </si>
  <si>
    <t>Concesion AP Magdalena 1</t>
  </si>
  <si>
    <t>PI-21</t>
  </si>
  <si>
    <t>VJ-VE-IP-021-2013</t>
  </si>
  <si>
    <t>Concesion AP Autopista al Mar 2</t>
  </si>
  <si>
    <t>VJ-VE-IP-022-2013</t>
  </si>
  <si>
    <t>Concesion AP Autopista al Mar 1</t>
  </si>
  <si>
    <t>EN PRECALIFICACION</t>
  </si>
  <si>
    <t>INFO EVAL FINAL</t>
  </si>
  <si>
    <t>http://www.elcolombiano.com/BancoConocimiento/1/10_firmas_para_la_autopista_al_mar_1/10_firmas_para_la_autopista_al_mar_1.asp</t>
  </si>
  <si>
    <t>http://www.mutuum.co/mercado-accionario/2014/02/24022014-bancolombia-registra-subidas-notables-en-la-bolsa-de-valores</t>
  </si>
  <si>
    <t>baja la acción de El Condor</t>
  </si>
  <si>
    <t>http://www.larepublica.co/finanzas/en-2013-las-acciones-del-sector-constructor-y-energ%C3%A9tico-tendr%C3%ADan-los-mejores-resultados</t>
  </si>
  <si>
    <t>Buenos resultados en el 2013 para el sector de la construcción</t>
  </si>
  <si>
    <t>Precalificados para autopista mar 1</t>
  </si>
  <si>
    <t>http://www.lanacion.com.co/index.php/economica/item/229783-a-licitacion-concesion-neiva-santana</t>
  </si>
  <si>
    <t>licitación  doble calzada neiva santana</t>
  </si>
  <si>
    <t>http://www.larepublica.co/resultados-empresariales/avianca-y-procafecol-mejoran-los-balances-empresariales_118276</t>
  </si>
  <si>
    <t>balances empresariales 2013. El condor aumentó sus ingresos y utilidad neta</t>
  </si>
  <si>
    <t>ESTADO DE CAMBIOS EN LA SITUACIÓN FINANCIERA</t>
  </si>
  <si>
    <t>Superavit Método de Participación (fusión)</t>
  </si>
  <si>
    <t>Perdidas acumuladas trasladadas (fusiíon)</t>
  </si>
  <si>
    <t>Aumento en CXP</t>
  </si>
  <si>
    <t>Disminución en deudores</t>
  </si>
  <si>
    <t>Aumento Neto  contingencias</t>
  </si>
  <si>
    <t>Patrimonio de los consorcios</t>
  </si>
  <si>
    <t>Aumento impuestos gravamenes y tasas</t>
  </si>
  <si>
    <t>Aumento Neto deudores largo plazo</t>
  </si>
  <si>
    <t>Aumento-disminución en propiedad planta y equipo</t>
  </si>
  <si>
    <t>Aumento neto en variaciones patrimoniales</t>
  </si>
  <si>
    <t>Aumento-disminución prima en colocación de acciones</t>
  </si>
  <si>
    <t>Aumento-disminución deudores</t>
  </si>
  <si>
    <t>Aumento-disminución impuestos gravamenes y tasas</t>
  </si>
  <si>
    <t>Aumento-disminución neto contingencias</t>
  </si>
  <si>
    <t>Aumento disminución patrimonio de los consorcios</t>
  </si>
  <si>
    <t>Aumento-disminución anticipos y avances recibidos</t>
  </si>
  <si>
    <t>Aumento-disminución Dividendos Decretados y pagados</t>
  </si>
  <si>
    <t>PRUEBA</t>
  </si>
  <si>
    <t>Valores expresados en miles de pesos</t>
  </si>
  <si>
    <t>Aumento- disminución Obligaciones Financiera L.P</t>
  </si>
  <si>
    <t>prueba</t>
  </si>
  <si>
    <t>(=) Utilidad Operativa</t>
  </si>
  <si>
    <t>(-) Impuestos</t>
  </si>
  <si>
    <t>(=) UTILIDAD OPERACIONAL DESPUES DE IMPUESTOS -UODI</t>
  </si>
  <si>
    <t>(+) Depreciaciones</t>
  </si>
  <si>
    <t>(+) Amortizaciones</t>
  </si>
  <si>
    <t>(=) FLUJO DE CAJA BRUTO -GIF-NOPLAT</t>
  </si>
  <si>
    <t>(-) Incremento del KTNO</t>
  </si>
  <si>
    <t>(=) EGO</t>
  </si>
  <si>
    <t>(-) Reposición de Activos Fijos</t>
  </si>
  <si>
    <t>(=) FLUJO DE CAJA LIBRE</t>
  </si>
  <si>
    <t>FLUJO DE CAJA LIBRE HISTÓRICO</t>
  </si>
  <si>
    <t>ENDEUDAMIENTO - CALIDAD DE LA ESTRUCTURA FINANCIERA</t>
  </si>
  <si>
    <t>INDICADOR</t>
  </si>
  <si>
    <t>FORMULA</t>
  </si>
  <si>
    <t>INTERPRETACIÓN</t>
  </si>
  <si>
    <t>TENDENCIA</t>
  </si>
  <si>
    <t>% ENDEUDAMIENTO</t>
  </si>
  <si>
    <t>PASIVO TOTAL / ACTIVO TOTAL</t>
  </si>
  <si>
    <t>Por cada $100 en activos cuantos corresponden al pasivo</t>
  </si>
  <si>
    <t>% CONCENTRACIÓN DEL PASIVO</t>
  </si>
  <si>
    <t>PASIVO CTE / PASIVO TOTAL</t>
  </si>
  <si>
    <t>Que % del pasivo total esta concentrado en el corriente. Si este indicador sube el KTN baja</t>
  </si>
  <si>
    <t>Posición de endeudamiento</t>
  </si>
  <si>
    <t>SOLVENCIA FINANCIERA</t>
  </si>
  <si>
    <t xml:space="preserve">ACTIVOS TOTAL / PASIVO </t>
  </si>
  <si>
    <t xml:space="preserve">Por cada $ de pasivo total cuantos $ tengo en los activos para soportarlo </t>
  </si>
  <si>
    <t>COBERTURA DE GASTOS FINANCIERA</t>
  </si>
  <si>
    <t>UAII / GASTOS FINANCIEROS</t>
  </si>
  <si>
    <t>Por cada $ de gastos financieros cuantos $ genera de utilidad operativa para cubrirlo</t>
  </si>
  <si>
    <t>AUMENTAR</t>
  </si>
  <si>
    <t>% DE IMPACTO CARGA FINANCIERA</t>
  </si>
  <si>
    <t>GASTOS FINANCIEROS / VENTAS</t>
  </si>
  <si>
    <t>Por cada $100 en ventas cuantos $ se van para pagar los gastos financieros</t>
  </si>
  <si>
    <t>DISMINUIR</t>
  </si>
  <si>
    <t>Impacto del endeudamiento en la operación - estructura operativa</t>
  </si>
  <si>
    <t>% GASTOS FINANCIEROS A EBITDA</t>
  </si>
  <si>
    <t>GASTOS FINANCIEROS / EBITDA</t>
  </si>
  <si>
    <t>Por cada $100 generados de EBITDA cuantos $ se van para pagar los gastos financieros. Que tanto se consume el ebitda los gastos financieros</t>
  </si>
  <si>
    <t>RELACIÓN OBLIGACIONES TOTALES A EBITDA</t>
  </si>
  <si>
    <t>OBLIGACIONES FINANCIERAS TOTALES / EBITDA</t>
  </si>
  <si>
    <t>Tiempo (años) que se demora la empresa para pagar las obligaciones financieras por medio del EBITDA. Cuando este indicador llega a 4 la empresa esta muy mal, tiene un problema estructural y necesita tomar acciones rápidamente</t>
  </si>
  <si>
    <t>Relación entre las obligaciones financieras con la capacidad de generación recursos</t>
  </si>
  <si>
    <t>APALANCAMIENTO FINANCIERO</t>
  </si>
  <si>
    <t>PASIVO TOTAL / PATRIMONIO</t>
  </si>
  <si>
    <t xml:space="preserve">Por cada $ de patrimonio cuanto se tiene de pasivo. Como se esta financiando la empresa, ¿Pasivo? O ¿Patrimonio? </t>
  </si>
  <si>
    <t>EQUILIBRIO 1</t>
  </si>
  <si>
    <t>Como se quiere financiar la empresa</t>
  </si>
  <si>
    <t>http://www.larepublica.co/finanzas-personales/nutresa-eeb-e-isagen-anuncian-distribuci%C3%B3n-de-dividendos_119211</t>
  </si>
  <si>
    <t>Dn de dividendos para el 2014</t>
  </si>
  <si>
    <t>ANÁLISIS VERTICAL BALANCE GENERAL</t>
  </si>
  <si>
    <t>ANÁLISIS HORIZONTAL BALANCE GENERAL</t>
  </si>
  <si>
    <t>COMPOSICION ACTIVO</t>
  </si>
  <si>
    <t>TOTAL ACTIVO</t>
  </si>
  <si>
    <t>COMPOSICION PASIVO Y PATRIMONIO</t>
  </si>
  <si>
    <t>2008-2009</t>
  </si>
  <si>
    <t>2009-2010</t>
  </si>
  <si>
    <t>2010-2011</t>
  </si>
  <si>
    <t>2011-2012</t>
  </si>
  <si>
    <t xml:space="preserve">ACTIVO </t>
  </si>
  <si>
    <t>COMPOSICION PASIVO</t>
  </si>
  <si>
    <t>Terrenos</t>
  </si>
  <si>
    <t>Construcciones y edificaciones</t>
  </si>
  <si>
    <t>Maquinaria y Equipo</t>
  </si>
  <si>
    <t>Equipos de Oficina</t>
  </si>
  <si>
    <t>Equipos de Computación y Comunicación</t>
  </si>
  <si>
    <t>Equipo de Transporte</t>
  </si>
  <si>
    <t>Equipo de Transporte-Aéreo</t>
  </si>
  <si>
    <t>Propiedad Planta y Equipo en tránsito</t>
  </si>
  <si>
    <t>SUBTOTAL</t>
  </si>
  <si>
    <t>Activos más ajustes</t>
  </si>
  <si>
    <t>Depreciación ajustada</t>
  </si>
  <si>
    <t>SUBTOTAL DEPRECIACIÓN</t>
  </si>
  <si>
    <t>Vías de comunicación</t>
  </si>
  <si>
    <t>Canteras</t>
  </si>
  <si>
    <t>Propiedad Planta y Equipo consorcios</t>
  </si>
  <si>
    <t>Ajuste por inflación depreciación</t>
  </si>
  <si>
    <t>Amortización acumulada</t>
  </si>
  <si>
    <t>Depreciaciones-consorcios</t>
  </si>
  <si>
    <t>TOTAL PROPIEDAD PLANTA Y EQUIPO</t>
  </si>
  <si>
    <t>ANÁLISIS VERTICAL ESTADO DE RESULTADOS</t>
  </si>
  <si>
    <t>ANÁLISIS HORIZONTAL ESTADO DE RESULTADOS</t>
  </si>
  <si>
    <t>UTILIDAD  NETA POR ACCIÓN</t>
  </si>
  <si>
    <t>#ACCIONES</t>
  </si>
  <si>
    <t>Utilidad-Pérdida  Método de participación Inv. Permanentes</t>
  </si>
  <si>
    <t>Utilidad-Pérdida  en Venta de Inversiones</t>
  </si>
  <si>
    <t>Dividendos en acciones</t>
  </si>
  <si>
    <t>Provisiones en acciones</t>
  </si>
  <si>
    <t>PROPIEDAD PLANTA Y EQUIPO (NOTA No. 7 ( 6 en 2013)</t>
  </si>
  <si>
    <t>2012-2013</t>
  </si>
  <si>
    <t>ANÁLISIS DE LIQUIDEZ</t>
  </si>
  <si>
    <t>RAZÓN CORRIENTE</t>
  </si>
  <si>
    <t>ACTIVO CTE / PASIVO CTE</t>
  </si>
  <si>
    <t>PRUEBA ÁCIDA</t>
  </si>
  <si>
    <t>(ACTIVO CTE - INVENTARIO) / PASIVO CTE</t>
  </si>
  <si>
    <t>EFICIENCIA DEL ACT CTE</t>
  </si>
  <si>
    <t>VENTAS / ACT CTE</t>
  </si>
  <si>
    <t>EFICIENCIA DEL ACT FIJO</t>
  </si>
  <si>
    <t>VENTAS / ACT FIJO</t>
  </si>
  <si>
    <t>EFICIENCIA DEL ACT OPERATIVO</t>
  </si>
  <si>
    <t>VENTAS / ACT OPERATIVO</t>
  </si>
  <si>
    <t>DÍAS DE ROTACIÓN CARTERA</t>
  </si>
  <si>
    <t>(CARTERA PROMEDIO/VENTAS) * 365</t>
  </si>
  <si>
    <t>DÍAS DE ROTACIÓN INVENTARIO</t>
  </si>
  <si>
    <t>(INV PROMEDIO/COSTOS DE VENTA) * 365</t>
  </si>
  <si>
    <t>DÍAS DE ROTACIÓN PROVEEDORES</t>
  </si>
  <si>
    <t>(PROVEEDOR PROMEDIO/COMPRAS) * 365</t>
  </si>
  <si>
    <t>CICLO OPERACIONAL</t>
  </si>
  <si>
    <t xml:space="preserve">Por cada $ del pasivo corriente, cuantos $ hay en el activo corriente para responder por el. Si este indicador es muy alto, refleja una buena liquidez de la empresa, pero puede estar generando mala rentabilidad ya que esta liquidez se obtendría a costo de mantener más activos corrientes de los necesarios, puesto que mientras mayor es el volumen de activos utilizados para generar el mismo volumen de operación, menor es la rentabilidad.
Es un indicador poco confiable para la medición de la liquidez, ya que es estático y porque no contempla que tan "sanos" son los activos, como complemento de este indicador se utilizan por ejemplo los de rotación. </t>
  </si>
  <si>
    <t>Por cada $ del pasivo corriente, cuantos $ hay en el activo corriente para responder por el, pero sin los inventarios porque son los menos líquidos</t>
  </si>
  <si>
    <t>Por cada $ invertido en el activo corriente, cuantos se obtienen en ventas</t>
  </si>
  <si>
    <t>Por cada $ invertido en el activo fijo, cuantos se obtienen en ventas</t>
  </si>
  <si>
    <t>El activo operativo es la suma del fijo y el corriente. Las ventas de una empresa son adecuada si son mayores a los activos promedio utilizados para generarlas, ventas/promedio de activos &gt; 1</t>
  </si>
  <si>
    <t>Tiempo que se esta demorando el pago de cartera, desde el día de la venta hasta que me pagan</t>
  </si>
  <si>
    <t>DISMINUIR/AJUSTE A LA POLÍTICA</t>
  </si>
  <si>
    <t>Tiempo que se esta demorando el inventario, desde el día que lo hago hasta la venta. El promedio sale de sumar el inventario inicial y el final y dividirlo entre 2</t>
  </si>
  <si>
    <t>Tiempo que se esta demorando el pago a proveedores</t>
  </si>
  <si>
    <t>AUMENTAR/AJUSTE A LA POLÍTICA</t>
  </si>
  <si>
    <t>Expresión en días del KTNO, cuantos días debo financiar. Puntal no dice nada, pero si se ve creciendo periódicamente es malo</t>
  </si>
  <si>
    <t>Capital de trabajo diciembre de 2011 y 2010</t>
  </si>
  <si>
    <t>Capital de trabajo diciembre de 2012 y 2011</t>
  </si>
  <si>
    <t>aumento-disminución del capital de trabajo</t>
  </si>
  <si>
    <t>Capital de trabajo diciembre de 2013 y 2012</t>
  </si>
  <si>
    <t>%ROE</t>
  </si>
  <si>
    <t>UAI/PATRIMONIO</t>
  </si>
  <si>
    <t>Retorno sobre patrimonio</t>
  </si>
  <si>
    <t>CRECIENTE</t>
  </si>
  <si>
    <t>%ROI</t>
  </si>
  <si>
    <t>UAII/ACTIVOS OPERATIVOS</t>
  </si>
  <si>
    <t>Rentabilidad sobre la inversión en activos operativos. Es el producto entre la eficiencia operativa * margen operativo</t>
  </si>
  <si>
    <t>MARGEN BRUTO</t>
  </si>
  <si>
    <t>UTILIDAD BRUTA/VENTAS NETAS</t>
  </si>
  <si>
    <t>Por cada $100 de ventas cuanta utilidad queda luego de atender los costos. Una disminución progresiva puede ser por: aumento de costos, disminución de ventas o problemas en asignación de costos unitarios. Cuando una empresa decide trabajar con margenes brutos muy bajitos, la unica forma de sostener la estrategia son altos volumentes de ventas.</t>
  </si>
  <si>
    <t>MARGEN OPERATIVO</t>
  </si>
  <si>
    <t>EFICIENCIA ADMINISTRATIVA</t>
  </si>
  <si>
    <t>GASTOS ADMÓN./VENTAS NETAS</t>
  </si>
  <si>
    <t>Por cada $100 de ventas cuanto se gasta en administración</t>
  </si>
  <si>
    <t>DECRECIENTE</t>
  </si>
  <si>
    <t>MARGEN ANTES DE IMPUESTOS</t>
  </si>
  <si>
    <t>UAI / VENTAS NETAS</t>
  </si>
  <si>
    <t>MARGEN NETO</t>
  </si>
  <si>
    <t>UTILIDAD NETA/VENTAS NETAS</t>
  </si>
  <si>
    <t>UAII - (- DEPRECIACIÓN + AMORTIZACIÓN)</t>
  </si>
  <si>
    <t>Verdadera caja operativa. Son los ingresos operativos del negocio antes de las desiciones financieras (intereses), tributarias (impo renta) y contables (depreciación y amortizaciones).
El EBITDA tiene 5 compromisos: pagar impuestos, atender requerimientos de KTN, atender activos fijos, servicio a deuda (intereses y capital) y servicio a los socios</t>
  </si>
  <si>
    <t>MARGEN EBITDA</t>
  </si>
  <si>
    <t>PDC (PALANCA DE CRECIMIENTO)</t>
  </si>
  <si>
    <t>EBITDA / KTNO</t>
  </si>
  <si>
    <t>Por cada $ de KTNO cuanto EBITDA genero, relación entre los recursos que estoy demandando (KTNO) y los que estoy generando (EBITDA)</t>
  </si>
  <si>
    <t>RENTABILIDAD</t>
  </si>
  <si>
    <r>
      <t xml:space="preserve">ventas
</t>
    </r>
    <r>
      <rPr>
        <u/>
        <sz val="10"/>
        <rFont val="Arial"/>
        <family val="2"/>
      </rPr>
      <t>- costos y gastos en efectivo</t>
    </r>
    <r>
      <rPr>
        <sz val="11"/>
        <color theme="1"/>
        <rFont val="Calibri"/>
        <family val="2"/>
        <scheme val="minor"/>
      </rPr>
      <t xml:space="preserve">
EBITDA
</t>
    </r>
    <r>
      <rPr>
        <u/>
        <sz val="10"/>
        <rFont val="Arial"/>
        <family val="2"/>
      </rPr>
      <t>- depreciaciones y amortizaciones</t>
    </r>
    <r>
      <rPr>
        <sz val="11"/>
        <color theme="1"/>
        <rFont val="Calibri"/>
        <family val="2"/>
        <scheme val="minor"/>
      </rPr>
      <t xml:space="preserve">
UAII</t>
    </r>
  </si>
  <si>
    <r>
      <t>MARGEN EBITDA (veces)</t>
    </r>
    <r>
      <rPr>
        <sz val="11"/>
        <color theme="1"/>
        <rFont val="Calibri"/>
        <family val="2"/>
        <scheme val="minor"/>
      </rPr>
      <t xml:space="preserve">
PRODUCTIVIDAD KTNO</t>
    </r>
  </si>
  <si>
    <t>http://www.elcondor.com/inversionistas/wp-content/uploads/sites/2/2014/02/parcheos-puntual-25-feb.pdf</t>
  </si>
  <si>
    <t>Celebración contrato por $8,098 mill Plazo 8 meses %Participacion 55%</t>
  </si>
  <si>
    <t>http://www.elcondor.com/inversionistas/wp-content/uploads/sites/2/2014/01/fondo-adaptaci%C3%B3n-publica-27-de-enero.pdf</t>
  </si>
  <si>
    <t>Adjudicación contrato con el Fondo de Adaptación por $39,534 mill plazo 18 meses</t>
  </si>
  <si>
    <t>http://www.elcondor.com/inversionistas/wp-content/uploads/sites/2/2014/01/Decisiones-Relevantes-de-Junta-Directiva-27-de-enero.pdf</t>
  </si>
  <si>
    <t xml:space="preserve">Modificación de la estructura organizacional creación de un nuevo cargo de nivel estratégico denominado Gerencia de Nuevos Negocios. </t>
  </si>
  <si>
    <t>http://www.elcondor.com/inversionistas/wp-content/uploads/sites/2/2014/01/Oficinas.pdf</t>
  </si>
  <si>
    <t>Autorización adquicision inmueble por $7,500 millones</t>
  </si>
  <si>
    <t>http://www.elcondor.com/inversionistas/wp-content/uploads/sites/2/2014/03/Decisiones-de-Junta-28-febrero.pdf</t>
  </si>
  <si>
    <t>Decision junta Valor Total dividendos  y adquisición de maquinaria por $18,000 millones</t>
  </si>
  <si>
    <t>http://www.elcondor.com/inversionistas/wp-content/uploads/sites/2/2014/03/Hoja-Resumen-4T2013.pdf</t>
  </si>
  <si>
    <t>Resumen ejecutivo resultados 2013</t>
  </si>
  <si>
    <t>http://www.elcondor.com/inversionistas/wp-content/uploads/sites/2/2014/03/Info-relevante-DIVIDENDOS.pdf</t>
  </si>
  <si>
    <t>Propuesta distribucion de utilidades 1) $36,570 mill para reserva futuras inversiones 2) Reserva Responsabilidad social $280 mill y 3) Dn neto efectivo $18,954 millones</t>
  </si>
  <si>
    <t>http://www.elcondor.com/inversionistas/wp-content/uploads/sites/2/2014/03/Info-relevante-reforma.pdf</t>
  </si>
  <si>
    <t>Proposición reforma estatuitaria (cambiar el capital autorizado)</t>
  </si>
  <si>
    <t>VARIACION 2012-2013</t>
  </si>
  <si>
    <t>SUPUESTOS DE PROYECCIÓN</t>
  </si>
  <si>
    <t>SUPUESTOS MACROECONOMICOS</t>
  </si>
  <si>
    <t>Precios al consumidor (IPC)</t>
  </si>
  <si>
    <t>Precios al Productor (IPP)</t>
  </si>
  <si>
    <t>PIB (variación anual)</t>
  </si>
  <si>
    <t>Devaluación (fin de año)</t>
  </si>
  <si>
    <t>Devaluación (promedio anual)</t>
  </si>
  <si>
    <t>Precio del dólar ($. fin de año)</t>
  </si>
  <si>
    <t>Precio del dólar ($. promedio anual)</t>
  </si>
  <si>
    <t>Tasa de interés (DTF E.A. fin de año)</t>
  </si>
  <si>
    <t>Tasa de interés (DTF promedio anual)</t>
  </si>
  <si>
    <t>Fed Funds Rate (fin de año)</t>
  </si>
  <si>
    <t>Euro (US$/€)</t>
  </si>
  <si>
    <t>Precios al consumidor (IPC) (EE.UU)</t>
  </si>
  <si>
    <t>SUPUESTOS ESTADOS DE RESULTADOS</t>
  </si>
  <si>
    <t>Ventas netas</t>
  </si>
  <si>
    <t>Incremento Ventas Netas</t>
  </si>
  <si>
    <t xml:space="preserve">Costo de Ventas </t>
  </si>
  <si>
    <t>Costo de Ventas/Ventas Netas</t>
  </si>
  <si>
    <t>Gastos de Administración</t>
  </si>
  <si>
    <t>Gastos Generales y de Administración</t>
  </si>
  <si>
    <t>Incremento Gastos de Administración</t>
  </si>
  <si>
    <t>Canon Leasing Operativo</t>
  </si>
  <si>
    <t>Ingresos Financieros</t>
  </si>
  <si>
    <t>Disponible e Inversiones Temporales</t>
  </si>
  <si>
    <t>Rendimiento Promedio Anual</t>
  </si>
  <si>
    <t>Egresos Financieros</t>
  </si>
  <si>
    <t>Otros Egresos/Ventas</t>
  </si>
  <si>
    <t>Otros Ingresos/Ventas</t>
  </si>
  <si>
    <t xml:space="preserve">Otros Ingresos </t>
  </si>
  <si>
    <t>A. DEUDA ACTUAL LARGO PLAZO (Incluye Leasing Financiero)</t>
  </si>
  <si>
    <t>Deuda Actual Largo Plazo en Pesos</t>
  </si>
  <si>
    <t>Saldo en MM Pesos</t>
  </si>
  <si>
    <t>Amortización en MM Pesos</t>
  </si>
  <si>
    <t>Tasa de interes promedio anual (E.A)</t>
  </si>
  <si>
    <t>Tasa de Interés (T.A)</t>
  </si>
  <si>
    <t>Tasa de referencia DTF (N.A.T.A)</t>
  </si>
  <si>
    <t>Spread (N.A.T.A)</t>
  </si>
  <si>
    <t>Intereses Pagados en MM Pesos</t>
  </si>
  <si>
    <t>Provisión para impuestos de Renta</t>
  </si>
  <si>
    <t>Impuestos/Ventas</t>
  </si>
  <si>
    <t>SUPUESTOS BALANCE</t>
  </si>
  <si>
    <t>ACTIVOS</t>
  </si>
  <si>
    <t>ACTIVOS CORRIENTES</t>
  </si>
  <si>
    <t>Días de Ventas Netas</t>
  </si>
  <si>
    <t>Inventarios</t>
  </si>
  <si>
    <t>Días de Costo de Ventas</t>
  </si>
  <si>
    <t>AXI</t>
  </si>
  <si>
    <t>Pagos x Anticipado</t>
  </si>
  <si>
    <t>Otros Activos Corrientes</t>
  </si>
  <si>
    <t>FLUJO DE CAJA LIBRE PROYECTADO</t>
  </si>
  <si>
    <t>Inversiones Temporales</t>
  </si>
  <si>
    <t>ACTIVOS NO CORRIENTE</t>
  </si>
  <si>
    <t>Propiedad Planta y Equipo</t>
  </si>
  <si>
    <t>Maquinaria</t>
  </si>
  <si>
    <t>Edificio</t>
  </si>
  <si>
    <t>Valorizaciones</t>
  </si>
  <si>
    <t>Incremento en Valorizaciones</t>
  </si>
  <si>
    <t>Intangibles - derechos</t>
  </si>
  <si>
    <t>Incremento Intangibles - derechos</t>
  </si>
  <si>
    <t>PASIVOS</t>
  </si>
  <si>
    <t>PASIVOS CORRIENTES</t>
  </si>
  <si>
    <t>Incremento en Obligaciones Laborales</t>
  </si>
  <si>
    <t>Incremento en pasivos estimados y provisiones</t>
  </si>
  <si>
    <t>PASIVOS NO CORRIENTES</t>
  </si>
  <si>
    <t>(-) Cancelacion o terminación de contratos</t>
  </si>
  <si>
    <t>(-) Ajustes Backlog a dic 2013</t>
  </si>
  <si>
    <t>(-) Ingresos Operacionales a dic 2013</t>
  </si>
  <si>
    <t>(-) Otros Ingresos Netos de Construcción a dic 2013</t>
  </si>
  <si>
    <t>(+) Nuevos contratos a dic 2013</t>
  </si>
  <si>
    <t>Backlog historico</t>
  </si>
  <si>
    <t>Variacion absoluta</t>
  </si>
  <si>
    <t>Variacion porcentual</t>
  </si>
  <si>
    <t>TOTAL</t>
  </si>
  <si>
    <t>PROYECCION ADJUDICACION NUEVOS CONTRATOS</t>
  </si>
  <si>
    <t>PRESENTACION LICITACIONES</t>
  </si>
  <si>
    <t>% ÉXITO</t>
  </si>
  <si>
    <t>$ ADJUDICADO</t>
  </si>
  <si>
    <t>Noticias</t>
  </si>
  <si>
    <t>Suspendida</t>
  </si>
  <si>
    <t>Concesion 4GCorredor C/gena B/quilla</t>
  </si>
  <si>
    <t> LIC</t>
  </si>
  <si>
    <t>13/jun10:00</t>
  </si>
  <si>
    <t>Cupo de credito hasta12-jun-14</t>
  </si>
  <si>
    <t>TOTAL PRIMER PAQUETE</t>
  </si>
  <si>
    <t>Valor para el condor</t>
  </si>
  <si>
    <t>SEGUNDO PAQUETE</t>
  </si>
  <si>
    <t>TOTAL VALOR PARA EL CONDOR</t>
  </si>
  <si>
    <t xml:space="preserve">TOTAL 1 Y 2 </t>
  </si>
  <si>
    <t>COMPONENTES DEL WACC</t>
  </si>
  <si>
    <t>Tasa libre de Riesgo</t>
  </si>
  <si>
    <t>Riesgo País</t>
  </si>
  <si>
    <t>Prima de Mercado</t>
  </si>
  <si>
    <t>Beta</t>
  </si>
  <si>
    <t>Costo del patrimonio (USD)</t>
  </si>
  <si>
    <t>Devaluación</t>
  </si>
  <si>
    <t>Costo del patrimonio (COP)</t>
  </si>
  <si>
    <t>Costo de la Deuda</t>
  </si>
  <si>
    <t>Tasa de Impuestos</t>
  </si>
  <si>
    <t>WACC</t>
  </si>
  <si>
    <t>Fecha</t>
  </si>
  <si>
    <t>Noticia e Informacion Relevante</t>
  </si>
  <si>
    <t>Link</t>
  </si>
  <si>
    <t>Aprobacion asamblea de accionistas</t>
  </si>
  <si>
    <t>http://www.elcondor.com/inversionistas/wp-content/uploads/sites/2/2014/03/iNFO-DECISIONES.pdf</t>
  </si>
  <si>
    <t>MÚLTIPLOS COMPARABLES (cifras en MM COP)</t>
  </si>
  <si>
    <t>EV/EBITDA</t>
  </si>
  <si>
    <t>BETAS POR SECTOR PARA MERCADOS EMERGENTES</t>
  </si>
  <si>
    <t>FUENTE: DAMODARAN ON LINE - http://pages.stern.nyu.edu/~adamodar/New_Home_Page/datafile/Betas.html</t>
  </si>
  <si>
    <t>Sector</t>
  </si>
  <si>
    <t>Beta Desapalancado</t>
  </si>
  <si>
    <t>Advertising</t>
  </si>
  <si>
    <t>Aerospace/Defense</t>
  </si>
  <si>
    <t>Air Transport</t>
  </si>
  <si>
    <t>Apparel</t>
  </si>
  <si>
    <t>Auto &amp; Truck</t>
  </si>
  <si>
    <t>Auto Parts</t>
  </si>
  <si>
    <t>Bank</t>
  </si>
  <si>
    <t>Banks (Regional)</t>
  </si>
  <si>
    <t xml:space="preserve">Beverage </t>
  </si>
  <si>
    <t>Beverage (Alcoholic)</t>
  </si>
  <si>
    <t>Biotechnology</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</si>
  <si>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</si>
  <si>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</si>
  <si>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</si>
  <si>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</si>
  <si>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</si>
  <si>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</si>
  <si>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</si>
  <si>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</si>
  <si>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</si>
  <si>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</si>
  <si>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 Software</t>
  </si>
  <si>
    <t>Computers/Peripherals</t>
  </si>
  <si>
    <t>Construction</t>
  </si>
  <si>
    <t>Diversified</t>
  </si>
  <si>
    <t>Educational Services</t>
  </si>
  <si>
    <t>Electrical Equipment</t>
  </si>
  <si>
    <t>Electronics</t>
  </si>
  <si>
    <t>Electronics (Consumer &amp; Office)</t>
  </si>
  <si>
    <t>Engineering</t>
  </si>
  <si>
    <t>Entertainment</t>
  </si>
  <si>
    <t>Environmental &amp; Waste Services</t>
  </si>
  <si>
    <t>Farming/Agriculture</t>
  </si>
  <si>
    <t>Financial Svcs.</t>
  </si>
  <si>
    <t>Financial Svcs. (Non-bank &amp; Insurance)</t>
  </si>
  <si>
    <t>Food Processing</t>
  </si>
  <si>
    <t>Food Wholesalers</t>
  </si>
  <si>
    <t>Furn/Home Furnishings</t>
  </si>
  <si>
    <t>Healthcare Equipment</t>
  </si>
  <si>
    <t>Healthcare Facilities</t>
  </si>
  <si>
    <t>Healthcare Products</t>
  </si>
  <si>
    <t>Healthcare Services</t>
  </si>
  <si>
    <t>Heathcare Information and Technology</t>
  </si>
  <si>
    <t>Heavy Construction</t>
  </si>
  <si>
    <t>Homebuilding</t>
  </si>
  <si>
    <t>Hotel/Gaming</t>
  </si>
  <si>
    <t>Household Products</t>
  </si>
  <si>
    <t>Information Services</t>
  </si>
  <si>
    <t>Insurance (General)</t>
  </si>
  <si>
    <t>Insurance (Life)</t>
  </si>
  <si>
    <t>Insurance (Prop/Cas.)</t>
  </si>
  <si>
    <t>Internet software and services</t>
  </si>
  <si>
    <t>Investment Co.</t>
  </si>
  <si>
    <t>Machinery</t>
  </si>
  <si>
    <t>Metals &amp; Mining</t>
  </si>
  <si>
    <t>Office Equipment &amp; Services</t>
  </si>
  <si>
    <t>Oil/Gas (Integrated)</t>
  </si>
  <si>
    <t>Oil/Gas (Production and Exploration)</t>
  </si>
  <si>
    <t>Oil/Gas Distribution</t>
  </si>
  <si>
    <t>Oilfield Svcs/Equip.</t>
  </si>
  <si>
    <t>Packaging &amp; Container</t>
  </si>
  <si>
    <t>Paper/Forest Products</t>
  </si>
  <si>
    <t>Pharma &amp; Drugs</t>
  </si>
  <si>
    <t>Power</t>
  </si>
  <si>
    <t>Precious Metals</t>
  </si>
  <si>
    <t>Publshing &amp; Newspapers</t>
  </si>
  <si>
    <t>R.E.I.T.</t>
  </si>
  <si>
    <t>Railroad</t>
  </si>
  <si>
    <t>Real Estate (Development)</t>
  </si>
  <si>
    <t>Real Estate (General/Diversified)</t>
  </si>
  <si>
    <t>Real Estate (Operations &amp; Services)</t>
  </si>
  <si>
    <t>Recreation</t>
  </si>
  <si>
    <t>Reinsurance</t>
  </si>
  <si>
    <t>Restaurant</t>
  </si>
  <si>
    <t>Retail (Automotive)</t>
  </si>
  <si>
    <t>Retail (Building Supply)</t>
  </si>
  <si>
    <t>Retail (Distributors)</t>
  </si>
  <si>
    <t>Retail (General)</t>
  </si>
  <si>
    <t>Retail (Grocery and Food)</t>
  </si>
  <si>
    <t>Retail (Internet)</t>
  </si>
  <si>
    <t>Retail (Special Lines)</t>
  </si>
  <si>
    <t>Rubber&amp; Tires</t>
  </si>
  <si>
    <t>Semiconductor</t>
  </si>
  <si>
    <t>Semiconductor Equip</t>
  </si>
  <si>
    <t>Shipbuilding &amp; Marine</t>
  </si>
  <si>
    <t>Shoe</t>
  </si>
  <si>
    <t>Steel</t>
  </si>
  <si>
    <t>Telecom (Wireless)</t>
  </si>
  <si>
    <t>Telecom. Equipment</t>
  </si>
  <si>
    <t>Telecom. Services</t>
  </si>
  <si>
    <t>Thrift</t>
  </si>
  <si>
    <t>Tobacco</t>
  </si>
  <si>
    <t>Transportation</t>
  </si>
  <si>
    <t>Trucking</t>
  </si>
  <si>
    <t>Utility (General)</t>
  </si>
  <si>
    <t>Utility (Water)</t>
  </si>
  <si>
    <t>Total Market</t>
  </si>
  <si>
    <t>Incremento de reservas</t>
  </si>
  <si>
    <t>% Utilidad</t>
  </si>
  <si>
    <t>Depreciación</t>
  </si>
  <si>
    <t>%</t>
  </si>
  <si>
    <t>KTNO</t>
  </si>
  <si>
    <t>Incremento en KTNO</t>
  </si>
  <si>
    <t>Reposición Activos Fijos</t>
  </si>
  <si>
    <t>http://www.elcondor.com/wp-content/uploads/2013/12/iNFOcr%C3%A9dito.pdf</t>
  </si>
  <si>
    <t>Aprobación de la junta directiva para credito por $30,000 millones</t>
  </si>
  <si>
    <t>http://www.elcondor.com/inversionistas/wp-content/uploads/sites/2/2014/05/Cambios-en-la-composicion-accionaria-del-emisor-1.pdf</t>
  </si>
  <si>
    <t>Cambio composición accionaria. INVESTARCO SAS 7,02% DE LAS ACCIONES</t>
  </si>
  <si>
    <t>Cambio composición accionaria. TOPLUM SAS 5,23% DE LAS ACCIONES</t>
  </si>
  <si>
    <t>http://www.elcondor.com/inversionistas/wp-content/uploads/sites/2/2014/05/Cambios-en-la-composicion-accionaria-del-emisor.pdf</t>
  </si>
  <si>
    <t>(-) Intereses de obligaciones financieras</t>
  </si>
  <si>
    <t>(+)Resultado no operacional neto</t>
  </si>
  <si>
    <t>(-)Impuesto de renta no operativo</t>
  </si>
  <si>
    <t>(=) FLUJO DE CAJA DEL ACCIONISTA</t>
  </si>
  <si>
    <t>Inflación Colombia</t>
  </si>
  <si>
    <t>Dev/Rev</t>
  </si>
  <si>
    <t>Tasa de colocación Colombia</t>
  </si>
  <si>
    <t>COSTO PROMEDIO PONDERADO DE CAPITAL - WACC</t>
  </si>
  <si>
    <t>FCL Operacional</t>
  </si>
  <si>
    <t xml:space="preserve">Crecimiento del FCL </t>
  </si>
  <si>
    <t>Wacc para cada periodo</t>
  </si>
  <si>
    <t>Wacc ponderado</t>
  </si>
  <si>
    <t>VPN del FCL @ WACC  Ponderado</t>
  </si>
  <si>
    <t>Valor Terminal (WACC Ponderado)</t>
  </si>
  <si>
    <t>VPN del Valor Terminal @ WACC Ponderado</t>
  </si>
  <si>
    <t>Valor de la Operación @ WACC Ponderado</t>
  </si>
  <si>
    <t>Valor de la Empresa @ WACC Ponderado</t>
  </si>
  <si>
    <t>Inversión</t>
  </si>
  <si>
    <t>Rendimiento de la Inversión</t>
  </si>
  <si>
    <t>Recuperación de Inversión</t>
  </si>
  <si>
    <t>Flujo Neto Esperado</t>
  </si>
  <si>
    <t>CRECIMIENTO PONDERADO FCL</t>
  </si>
  <si>
    <t>WACC PONDERADO</t>
  </si>
  <si>
    <t>Pasivos financieros (2023)</t>
  </si>
  <si>
    <t>VALORACIÓN PATRIMONIAL</t>
  </si>
  <si>
    <t>(+) Disponible e inversiones temporales</t>
  </si>
  <si>
    <t>(+) Inversiones permanentes</t>
  </si>
  <si>
    <t>VALOR TOTAL DE LA EMPRESA</t>
  </si>
  <si>
    <t>(-) Valor del deuda</t>
  </si>
  <si>
    <t>VALOR DE LA OPERACIÓN</t>
  </si>
  <si>
    <t>PRECIO DE LA ACCIÓN</t>
  </si>
  <si>
    <t>Acciones en circulación (en miles)</t>
  </si>
  <si>
    <t>BACKLOG -SALDO OBRAS CONTRATADAS Y POR EJECUTAR (cifras en Miles)</t>
  </si>
  <si>
    <t xml:space="preserve">Otros Egresos </t>
  </si>
  <si>
    <t>Total Backlog AÑO ANTERIOR</t>
  </si>
  <si>
    <t>Total Backlog  AÑO</t>
  </si>
  <si>
    <t>NA</t>
  </si>
  <si>
    <t>2012-2018</t>
  </si>
  <si>
    <t>2012-2019</t>
  </si>
  <si>
    <t>2012-2020</t>
  </si>
  <si>
    <t>2012-2021</t>
  </si>
  <si>
    <t>2012-2022</t>
  </si>
  <si>
    <t>2012-2023</t>
  </si>
  <si>
    <t>2013-2014</t>
  </si>
  <si>
    <t>2014-2015</t>
  </si>
  <si>
    <t>2015-2016</t>
  </si>
  <si>
    <t>2016-2017</t>
  </si>
  <si>
    <t>Date updated:</t>
  </si>
  <si>
    <t>Aswath Damodaran</t>
  </si>
  <si>
    <t>http://www.damodaran.com</t>
  </si>
  <si>
    <t>Industry Name</t>
  </si>
  <si>
    <t>Number of firms</t>
  </si>
  <si>
    <t xml:space="preserve">Beta </t>
  </si>
  <si>
    <t>D/E Ratio</t>
  </si>
  <si>
    <t>Tax rate</t>
  </si>
  <si>
    <t>Unlevered beta</t>
  </si>
  <si>
    <t>Cash/Firm value</t>
  </si>
  <si>
    <t>Unlevered beta corrected for cash</t>
  </si>
  <si>
    <t>2014E</t>
  </si>
  <si>
    <t>2015E</t>
  </si>
  <si>
    <t>2016E</t>
  </si>
  <si>
    <t>2017E</t>
  </si>
  <si>
    <t>2018E</t>
  </si>
  <si>
    <t>2019E</t>
  </si>
  <si>
    <t>2020E</t>
  </si>
  <si>
    <t>2021E</t>
  </si>
  <si>
    <t>2022E</t>
  </si>
  <si>
    <t>2023E</t>
  </si>
  <si>
    <t>COSTO DEL PATRIMONIO</t>
  </si>
  <si>
    <t>(+) Yield Bonos EE.UU. a 10 años</t>
  </si>
  <si>
    <t>(+) Spread Bonos República Colombia</t>
  </si>
  <si>
    <t>(=) Tasa Libre de Riesgo (en USD)</t>
  </si>
  <si>
    <t>Beta Desapalancado Sector</t>
  </si>
  <si>
    <t>Deuda Financiera/Patrimonio</t>
  </si>
  <si>
    <t>Tasa Impositiva</t>
  </si>
  <si>
    <t>(+) Beta Apalancado EMPRESA X</t>
  </si>
  <si>
    <t>(=) Prima Inversión EMPRESA X</t>
  </si>
  <si>
    <t>(=) Costo de Patrimonio (Nominal en USD)</t>
  </si>
  <si>
    <t>(+) Devaluación (Diferencial Inflación COP/USA)</t>
  </si>
  <si>
    <t>(=) Costo de Patrimonio (Nominal en Pesos)</t>
  </si>
  <si>
    <t>(=) Costo de Patrimonio (Real en Pesos)</t>
  </si>
  <si>
    <t>COSTO DEUDA</t>
  </si>
  <si>
    <t>Costo de Mercado Deuda en Pesos (E.A.)</t>
  </si>
  <si>
    <t>Tasa de referencia (EA)</t>
  </si>
  <si>
    <t>Spread (EA)</t>
  </si>
  <si>
    <t>Beneficio Tributario</t>
  </si>
  <si>
    <t>ESTRUCTURA DE CAPITAL</t>
  </si>
  <si>
    <t>Patrimonio</t>
  </si>
  <si>
    <t>COSTO PROMEDIO PONDERADO DE CAPITAL-WACC (Nominal en Pesos)</t>
  </si>
  <si>
    <t>Pasivo</t>
  </si>
  <si>
    <t xml:space="preserve">  Cambio en CxC</t>
  </si>
  <si>
    <t xml:space="preserve">  Cambio en Inventario</t>
  </si>
  <si>
    <t xml:space="preserve">  Cambio en CxP (Proveedores)</t>
  </si>
  <si>
    <t xml:space="preserve">                     </t>
  </si>
  <si>
    <t>(+) Prima de la compañía</t>
  </si>
  <si>
    <t xml:space="preserve">(X) Prima Mercado </t>
  </si>
  <si>
    <t>Costo Promedio Deuda en Pesos</t>
  </si>
  <si>
    <t>Inflación EEUU</t>
  </si>
  <si>
    <t>Tasa de colocación EEUU</t>
  </si>
  <si>
    <t xml:space="preserve">VALOR DE LA ACCIÓN (COP) </t>
  </si>
  <si>
    <t>VALOR DE LA EMPRESA</t>
  </si>
  <si>
    <t>SENSIBILIDAD A LA TASA DE PERPETUIDAD</t>
  </si>
  <si>
    <t>Tasa crecimiento</t>
  </si>
  <si>
    <t>Año</t>
  </si>
  <si>
    <t>PIB Total</t>
  </si>
  <si>
    <t>Construcción</t>
  </si>
  <si>
    <t>Obras Ing Civil</t>
  </si>
  <si>
    <t>EBITDA</t>
  </si>
  <si>
    <t>EBITDA / VENTAS NETAS</t>
  </si>
  <si>
    <t>TASA DE CRECIMIENTO (2023)</t>
  </si>
  <si>
    <t>Tasa de crecimiento (g)</t>
  </si>
  <si>
    <t>Fuente: DANE</t>
  </si>
  <si>
    <t>BALANCE GENERAL HISTÓRICO</t>
  </si>
  <si>
    <t>BALANCE GENERAL PROYECTADO</t>
  </si>
  <si>
    <t>ESTADO DE RESULTADOS HISTÓRICO</t>
  </si>
  <si>
    <t>ESTADO DE RESULTADOS PROYECTADO</t>
  </si>
  <si>
    <t>P/E</t>
  </si>
  <si>
    <t>P/FCF</t>
  </si>
  <si>
    <t>UODI</t>
  </si>
  <si>
    <t>FCL</t>
  </si>
  <si>
    <t>COLOMBIA</t>
  </si>
  <si>
    <t>CONDOR</t>
  </si>
  <si>
    <t>MÉXICO</t>
  </si>
  <si>
    <t>GRUPO MEXICANO DE DESARROLLO S.A</t>
  </si>
  <si>
    <t>ODINSA</t>
  </si>
  <si>
    <t>CHILE</t>
  </si>
  <si>
    <t>BESALCO</t>
  </si>
  <si>
    <t>USA</t>
  </si>
  <si>
    <t>TUTOR PERINI CORPORATION</t>
  </si>
  <si>
    <t>ICA, S.A.B de C.V.</t>
  </si>
  <si>
    <t>GRANITE CONSTRUCTION INCORPORATED</t>
  </si>
  <si>
    <t>BRASIL</t>
  </si>
  <si>
    <t>MILLS ESTRUCTURAS Y SERVICIOS DE INGENIERIA S.A</t>
  </si>
  <si>
    <t>PERÚ</t>
  </si>
  <si>
    <t>GRAÑA Y MONTERO S.A</t>
  </si>
  <si>
    <t>Capitalización Bursatil</t>
  </si>
  <si>
    <t xml:space="preserve">País </t>
  </si>
  <si>
    <t xml:space="preserve">Empresa </t>
  </si>
  <si>
    <t>1000 empresas más grandes por ingresos operacionales del Sector Real</t>
  </si>
  <si>
    <t>Principales Cuentas expresadas en miles de pesos (Años 2013 y 2012)</t>
  </si>
  <si>
    <r>
      <rPr>
        <b/>
        <u/>
        <sz val="11"/>
        <color theme="3"/>
        <rFont val="Calibri"/>
        <family val="2"/>
        <scheme val="minor"/>
      </rPr>
      <t>Nota:</t>
    </r>
    <r>
      <rPr>
        <b/>
        <sz val="11"/>
        <color theme="3"/>
        <rFont val="Calibri"/>
        <family val="2"/>
        <scheme val="minor"/>
      </rPr>
      <t xml:space="preserve"> Contiene la información de CGN, Superintendencias (Financiera, Salud, Servicios Públicos, Vigilancia, Economia Solidaria  y Subsidio)</t>
    </r>
  </si>
  <si>
    <t>PUESTO</t>
  </si>
  <si>
    <t>NIT</t>
  </si>
  <si>
    <t>RAZONSOCIAL</t>
  </si>
  <si>
    <t>REGION</t>
  </si>
  <si>
    <t>CIIU</t>
  </si>
  <si>
    <t>MACROSECTOR</t>
  </si>
  <si>
    <t>41_ingresos_operacionales_2013</t>
  </si>
  <si>
    <t>59_ganancias_y_perdidas_2013</t>
  </si>
  <si>
    <t>total_activo_2013</t>
  </si>
  <si>
    <t>total_pasivo_2013</t>
  </si>
  <si>
    <t>total_patrimonio_2013</t>
  </si>
  <si>
    <t>41_ingresos_operacionales_2012</t>
  </si>
  <si>
    <t>59_ganancias_y_perdidas_2012</t>
  </si>
  <si>
    <t>total_activo_2012</t>
  </si>
  <si>
    <t>total_pasivo_2012</t>
  </si>
  <si>
    <t>total_patrimonio_2012</t>
  </si>
  <si>
    <t>Ecopetrol</t>
  </si>
  <si>
    <t>CENTRAL</t>
  </si>
  <si>
    <t>NO DISPONIBLE</t>
  </si>
  <si>
    <t>MINERO</t>
  </si>
  <si>
    <t>ORGANIZACIÃ“N TERPEL S.A.</t>
  </si>
  <si>
    <t>ALMACENES EXITO S A</t>
  </si>
  <si>
    <t>EJE CAFETERO</t>
  </si>
  <si>
    <t>COMERCIO</t>
  </si>
  <si>
    <t>COMUNICACION CELULAR S A  COMCEL S A</t>
  </si>
  <si>
    <t>SERVICIOS</t>
  </si>
  <si>
    <t>REFINERIA DE CARTAGENA S.A.</t>
  </si>
  <si>
    <t>CARIBE E INSULAR</t>
  </si>
  <si>
    <t>D2321</t>
  </si>
  <si>
    <t>META PETROLEUM CORP SUCURSAL COLOMBIA</t>
  </si>
  <si>
    <t>C1110</t>
  </si>
  <si>
    <t>EXXONMOBIL DE COLOMBIA S.A.</t>
  </si>
  <si>
    <t>G5151</t>
  </si>
  <si>
    <t>Empresas Públicas de Medellín ESP</t>
  </si>
  <si>
    <t>TELMEX COLOMBIA S.A.</t>
  </si>
  <si>
    <t>G5190</t>
  </si>
  <si>
    <t>AEROVIAS DEL CONTINENTE AMERICANO S.A. - AVIANCA S.A.</t>
  </si>
  <si>
    <t>BAVARIA S A</t>
  </si>
  <si>
    <t>MANUFACTURA</t>
  </si>
  <si>
    <t>COLOMBIA TELECOMUNICACIONES S.A. E.S.P.</t>
  </si>
  <si>
    <t>I6421</t>
  </si>
  <si>
    <t>CHEVRON PETROLEUM COMPANY</t>
  </si>
  <si>
    <t>CENCOSUD COLOMBIA S.A.</t>
  </si>
  <si>
    <t>G5219</t>
  </si>
  <si>
    <t>SUPERTIENDAS Y DROGUERIAS OLIMPICA S.A.</t>
  </si>
  <si>
    <t>G5211</t>
  </si>
  <si>
    <t>DRUMMOND LTD</t>
  </si>
  <si>
    <t>C1010</t>
  </si>
  <si>
    <t>NUEVA EMPRESA PROMOTORA DE SALUD S.A.</t>
  </si>
  <si>
    <t>CODENSA S.A. ESP</t>
  </si>
  <si>
    <t>COLOMBIANA DE COMERCIO S.A.</t>
  </si>
  <si>
    <t>HOCOL S.A.</t>
  </si>
  <si>
    <t>CARBONES DEL CERREJON LIMITED</t>
  </si>
  <si>
    <t>C.I. PRODECO S.A</t>
  </si>
  <si>
    <t>SALUDCOOP E.P.S.</t>
  </si>
  <si>
    <t>ELECTRIFICADORA DEL CARIBE S.A. E.S.P.</t>
  </si>
  <si>
    <t>SODIMAC COLOMBIA S A</t>
  </si>
  <si>
    <t>G5249</t>
  </si>
  <si>
    <t>INVERSIONES MUNDIAL</t>
  </si>
  <si>
    <t>GENERAL MOTORS-COLMOTORES S A</t>
  </si>
  <si>
    <t>D3410</t>
  </si>
  <si>
    <t>CAJA COLOMBIANA DE SUBSIDIO FAMILIAR COLSUBSIDIO</t>
  </si>
  <si>
    <t>EMGESA S.A. E.S.P.</t>
  </si>
  <si>
    <t>OLEODUCTO CENTRAL S.A.</t>
  </si>
  <si>
    <t>I6050</t>
  </si>
  <si>
    <t>SOCIEDAD DE FABRICACION DE AUTOMOTORES S A SOFASA</t>
  </si>
  <si>
    <t>COOMEVA ENTIDAD PROMOTORA DE SALUD S.A. COOMEVA EP</t>
  </si>
  <si>
    <t>PACIFICO E INSULAR</t>
  </si>
  <si>
    <t>BIOCOMBUSTIBLES S.A.</t>
  </si>
  <si>
    <t>EQUION  ENERGIA LIMITED</t>
  </si>
  <si>
    <t>Isagen SA ESP</t>
  </si>
  <si>
    <t>CAJA DE COMPENSACION FAMILIAR COMPENSAR</t>
  </si>
  <si>
    <t>SAMSUNG ELECTRONICS COLOMBIA S.A.</t>
  </si>
  <si>
    <t>G5134</t>
  </si>
  <si>
    <t>PETROMINERALES COLOMBIA LTD SUCURSAL COLOMBIA</t>
  </si>
  <si>
    <t>CEMENTOS ARGOS S.A</t>
  </si>
  <si>
    <t>CERREJON ZONA NORTE S A</t>
  </si>
  <si>
    <t>INDUSTRIA NACIONAL DE GASEOSAS S A</t>
  </si>
  <si>
    <t>D1594</t>
  </si>
  <si>
    <t>PACIFIC STRATUS ENERGY COLOMBIA CORP PACIFIC STATUS ENERGY COLOMBIA.</t>
  </si>
  <si>
    <t>COOPERATIVA LECHERA COLANTA LTDA</t>
  </si>
  <si>
    <t xml:space="preserve">GRUPO AVAL ACCIONES Y VALORES S A                      </t>
  </si>
  <si>
    <t>CEMEX COLOMBIA S.A.</t>
  </si>
  <si>
    <t>EMPRESAS MUNICIPALES DE CALI E.I.C.E E.S.P</t>
  </si>
  <si>
    <t>COLOMBIA MOVIL S A   E S P</t>
  </si>
  <si>
    <t>I6120</t>
  </si>
  <si>
    <t>Empresa de acueducto y alcantarillado de Bta</t>
  </si>
  <si>
    <t>POLIPROPILENO DEL CARIBE S.A.</t>
  </si>
  <si>
    <t>D2413</t>
  </si>
  <si>
    <t>ALPINA PRODUCTOS ALIMENTICIOS S A</t>
  </si>
  <si>
    <t>AMOV COLOMBIA S.A.</t>
  </si>
  <si>
    <t>J6719</t>
  </si>
  <si>
    <t>INTERCONEXION ELECTRICA S.A. E.S.P.</t>
  </si>
  <si>
    <t>Empresa de telecomunicaciones de Bta SA ESP</t>
  </si>
  <si>
    <t>GAS NATURAL S.A. E.S..P</t>
  </si>
  <si>
    <t>GENERADORA Y COMERCIALIZADORA DE ENERGIA DEL CARIBE S.A E.S.P</t>
  </si>
  <si>
    <t>OCCIDENTAL ANDINA LLC</t>
  </si>
  <si>
    <t>SALUD TOTAL S.A. ENTIDAD PROMOTORA DE SALUD</t>
  </si>
  <si>
    <t>ALMACENES LA 14 S.A.</t>
  </si>
  <si>
    <t>MANSAROVAR ENERGY COLOMBIA LTD</t>
  </si>
  <si>
    <t>EMPRESA DE ENERGÍA DEL PACÍFICO S.A. E.S.P.</t>
  </si>
  <si>
    <t xml:space="preserve">GENERAL DE EQUIPOS DE COLOMBIA S A </t>
  </si>
  <si>
    <t>G5170</t>
  </si>
  <si>
    <t>LG ELECTRONICS COLOMBIA LTDA</t>
  </si>
  <si>
    <t>SCHLUMBERGER SURENCO S A</t>
  </si>
  <si>
    <t>C1120</t>
  </si>
  <si>
    <t>FALABELLA DE COLOMBIA S.A.</t>
  </si>
  <si>
    <t>G5233</t>
  </si>
  <si>
    <t xml:space="preserve">CERROMATOSO SA                                                                                      </t>
  </si>
  <si>
    <t>D2732</t>
  </si>
  <si>
    <t>TEPMA B.V.</t>
  </si>
  <si>
    <t>NESTLE DE COLOMBIA S A</t>
  </si>
  <si>
    <t>D1530</t>
  </si>
  <si>
    <t>CEPSA COLOMBIA S A</t>
  </si>
  <si>
    <t>ALIMENTOS CÁRNICOS S.A.S.</t>
  </si>
  <si>
    <t>D1511</t>
  </si>
  <si>
    <t>CAJA DE COMPENSACIÓN FAMILIAR - CAFAM</t>
  </si>
  <si>
    <t>COLOMBINA S A</t>
  </si>
  <si>
    <t>SOLLA S.A.</t>
  </si>
  <si>
    <t>D1543</t>
  </si>
  <si>
    <t>COOPERATIVA NACIONAL DE DROGUISTAS DETALLISTAS</t>
  </si>
  <si>
    <t>TECNOQUIMICAS S. A.</t>
  </si>
  <si>
    <t>G5135</t>
  </si>
  <si>
    <t>PETROBRAS COLOMBIA LIMITED</t>
  </si>
  <si>
    <t>SANITAS  S.A. E.P.S.</t>
  </si>
  <si>
    <t>FAMISANAR  LTDA.  CAFAM - COLSUBSIDIO E.P.S.</t>
  </si>
  <si>
    <t>UNILEVER ANDINA COLOMBIA LIMITADA</t>
  </si>
  <si>
    <t>D2424</t>
  </si>
  <si>
    <t xml:space="preserve">COLGATE PALMOLIVE COMPA¥IA                                                                          </t>
  </si>
  <si>
    <t>BELSTAR S.A.</t>
  </si>
  <si>
    <t>CONTEGRAL S.A.</t>
  </si>
  <si>
    <t>BAYER S A</t>
  </si>
  <si>
    <t>D2421</t>
  </si>
  <si>
    <t>CAJA DE COMPENSACION FAMILIAR DE ANTIOQUIA - COMFAMA</t>
  </si>
  <si>
    <t>CBI COLOMBIANA S.A.</t>
  </si>
  <si>
    <t>F4530</t>
  </si>
  <si>
    <t>CONSTRUCCIÓN</t>
  </si>
  <si>
    <t>AES CHIVOR &amp; CIA SCA ESP</t>
  </si>
  <si>
    <t>METROKIA S.A</t>
  </si>
  <si>
    <t>G5011</t>
  </si>
  <si>
    <t>C.I. J.GUTIERREZ Y CIA S.A.</t>
  </si>
  <si>
    <t>C.I TRENACO COLOMBIA S.A.S</t>
  </si>
  <si>
    <t>DISTRACOM Y CIA. LTDA.</t>
  </si>
  <si>
    <t>G5051</t>
  </si>
  <si>
    <t>GASEOSAS POSADA TOBON S A</t>
  </si>
  <si>
    <t>AUDIFARMA S.A.</t>
  </si>
  <si>
    <t>MEXICHEM RESINAS COLOMBIA S A.S</t>
  </si>
  <si>
    <t xml:space="preserve">AUTOTECNICA COLOMBIANA S.A.                                                                         </t>
  </si>
  <si>
    <t>D3591</t>
  </si>
  <si>
    <t>TRANSPORTADORA DE GAS INTERNACIONAL S.A. E.S.P.</t>
  </si>
  <si>
    <t>ORIENTAL</t>
  </si>
  <si>
    <t>ASOCIACIÓN MUTUAL EMPRESA SOLIDARIA DE SALUD EMSSANAR ESS</t>
  </si>
  <si>
    <t>CONCRETOS ARGOS S.A.</t>
  </si>
  <si>
    <t>D2695</t>
  </si>
  <si>
    <t>GRUPO DE INVERSIONES SURAMERICANA S.A.</t>
  </si>
  <si>
    <t>COOPERATIVA MULTIACTIVA DE EMPLEADOS DE DISTRUIDORES DE DROGAS COPSERVIR LTD</t>
  </si>
  <si>
    <t>COMPAÑIA COLOMBIANA DE CERAMICA S.A. COLCERAMICA S.A</t>
  </si>
  <si>
    <t>OCCIDENTAL DE COLOMBIA  LLC</t>
  </si>
  <si>
    <t>PROCTER &amp; GAMBLE COLOMBIA LTDA</t>
  </si>
  <si>
    <t>HALLIBURTON LATIN AMERICA S A LLC.</t>
  </si>
  <si>
    <t>PETROBRAS COLOMBIA COMBUSTIBLES S.A.</t>
  </si>
  <si>
    <t>D2322</t>
  </si>
  <si>
    <t>CARBONE RODRIGUEZ Y CIA S.C.A.</t>
  </si>
  <si>
    <t>QUALA S.A.</t>
  </si>
  <si>
    <t>D1589</t>
  </si>
  <si>
    <t>DISTRIBUIDORA NISSAN S A</t>
  </si>
  <si>
    <t xml:space="preserve">JOHNSON &amp; JOHNSON DE COLOMBIA S.A.                                                                  </t>
  </si>
  <si>
    <t>HEWLETT PACKARD COLOMBIA LTDA</t>
  </si>
  <si>
    <t>G5163</t>
  </si>
  <si>
    <t>ZONA FRANCA CELSIA S.A. E.S.P.</t>
  </si>
  <si>
    <t>COOPERATIVA EMPRESA SOLIDARIA DE SALUD Y DESARROLLO INTEGRAL “COOSALUD E.S.S.”</t>
  </si>
  <si>
    <t>HYUNDAI COLOMBIA AUTOMOTRIZ S A</t>
  </si>
  <si>
    <t>PAREX RESOURCES COLOMBIA LTD SUCURSAL</t>
  </si>
  <si>
    <t xml:space="preserve">PRODUCTOS FAMILIA S A                                  </t>
  </si>
  <si>
    <t>DIACO S. A.</t>
  </si>
  <si>
    <t>D2710</t>
  </si>
  <si>
    <t>AVON COLOMBIA LTDA</t>
  </si>
  <si>
    <t>COLOMBIANA KIMBERLY COLPAPEL S. A.</t>
  </si>
  <si>
    <t>D2109</t>
  </si>
  <si>
    <t>COMERCIALIZADORA GIRALDO Y GOMEZ Y CIA S.A.</t>
  </si>
  <si>
    <t>CONALVIAS S A.S</t>
  </si>
  <si>
    <t xml:space="preserve">WEATHERFORD COLOMBIA LIMITED                                          </t>
  </si>
  <si>
    <t>COLSANITAS S.A. COMPAÑÍA DE MEDICINA PREPAGADA</t>
  </si>
  <si>
    <t>CELSIA S.A. E.S.P.</t>
  </si>
  <si>
    <t>GASES DE OCCIDENTE S. A. EMPRESA DE SERVICIOS PUBLICOS</t>
  </si>
  <si>
    <t>FORD MOTOR DE COLOMBIA SUCURSAL</t>
  </si>
  <si>
    <t>ELECTRIFICADORA DE SANTANDER S.A. E.S.P.</t>
  </si>
  <si>
    <t xml:space="preserve">GASES DEL CARIBE S.A. EMPRESA DE SERVICIOS PUBLICOS </t>
  </si>
  <si>
    <t>CERVECERIA UNION S.A</t>
  </si>
  <si>
    <t>D1591</t>
  </si>
  <si>
    <t>CARTON DE COLOMBIA S A</t>
  </si>
  <si>
    <t>FABRICA DE CALCETINES CRYSTAL S A</t>
  </si>
  <si>
    <t>D1810</t>
  </si>
  <si>
    <t>ENERGIA EMPRESARIAL DE LA COSTA S.A. E.S.P.</t>
  </si>
  <si>
    <t>EMERALD ENERGY PLC SUCURSAL COLOMBIA</t>
  </si>
  <si>
    <t xml:space="preserve">PETROLIFERA PETROLEUM COLOMBIA LIMITED                                          </t>
  </si>
  <si>
    <t>CAJA DE COMPENSACION FAMILIAR DEL VALLE DEL CAUCA - COMFAMILIAR ANDI - COMFANDI</t>
  </si>
  <si>
    <t>PROMIGAS S.A. E.S.P.</t>
  </si>
  <si>
    <t>GRAN TIERRA ENERGY COLOMBIA LTD</t>
  </si>
  <si>
    <t>CAJA DE COMPENSACION FAMILIAR COMFENALCO ANTIOQUIA</t>
  </si>
  <si>
    <t>YANBAL DE COLOMBIA S A</t>
  </si>
  <si>
    <t>HOLCIM  (COLOMBIA) S.A.</t>
  </si>
  <si>
    <t>D2694</t>
  </si>
  <si>
    <t>CERVECERIA DEL VALLE S. A.</t>
  </si>
  <si>
    <t>CARACOL TELEVISION S A</t>
  </si>
  <si>
    <t>IBM DE COLOMBIA &amp; CIA S.C.A.</t>
  </si>
  <si>
    <t>K7210</t>
  </si>
  <si>
    <t>FERRASA S A S</t>
  </si>
  <si>
    <t>G5141</t>
  </si>
  <si>
    <t>INGENIO DEL CAUCA S A</t>
  </si>
  <si>
    <t>D1571</t>
  </si>
  <si>
    <t>SIEMENS S.A.</t>
  </si>
  <si>
    <t>D3190</t>
  </si>
  <si>
    <t>DIRECTV COLOMBIA LTDA</t>
  </si>
  <si>
    <t>I6425</t>
  </si>
  <si>
    <t>AVIDESA MAC POLLO S.A.</t>
  </si>
  <si>
    <t>A0123</t>
  </si>
  <si>
    <t>AGROPECUARIO</t>
  </si>
  <si>
    <t>FARMASANITAS S.A.S.</t>
  </si>
  <si>
    <t>MONOMEROS COLOMBO VENEZOLANOS S A EMA</t>
  </si>
  <si>
    <t>D2412</t>
  </si>
  <si>
    <t>C.I METALES HERMANOS S.A</t>
  </si>
  <si>
    <t>PEPSICO ALIMENTOS COLOMBIA LTDA</t>
  </si>
  <si>
    <t>DIANA CORPORACION S A</t>
  </si>
  <si>
    <t>D1541</t>
  </si>
  <si>
    <t>PFIZER S.A.S.</t>
  </si>
  <si>
    <t>PRODUCTOS NATURALES DE LA SABANA S.A. ALQUERIA</t>
  </si>
  <si>
    <t>PRODUCTOS ROCHE S A</t>
  </si>
  <si>
    <t>CABLES DE ENERGIA Y DE TELECOMUNICACIONES S.A.</t>
  </si>
  <si>
    <t>D2899</t>
  </si>
  <si>
    <t>GRUPO C &amp; C ENERGIA (BARBADOS) SUCURSAL COLOMBIA</t>
  </si>
  <si>
    <t>RIOPAILA INDUSTRIAL S.A.</t>
  </si>
  <si>
    <t>MOLINOS ROA S A</t>
  </si>
  <si>
    <t>ABONOS COLOMBIANOS S.A.</t>
  </si>
  <si>
    <t>FABRICA NACIONAL DE AUTOPARTES S.A.</t>
  </si>
  <si>
    <t>SERVICIO OCCIDENTAL DE SALUD  S.A. - S.O.S.  EPS</t>
  </si>
  <si>
    <t>BAKER HUGHES DE COLOMBIA</t>
  </si>
  <si>
    <t>RCN TELEVISION S A</t>
  </si>
  <si>
    <t>CONSTRUCTORA CONCONCRETO S.A.EN ACUERDO DE REESTRUCTURACION</t>
  </si>
  <si>
    <t>ALTIPAL BOGOTA LTDA</t>
  </si>
  <si>
    <t>INDUSTRIA COLOMBIANA DE MOTOCICLETAS YAMAHA S A</t>
  </si>
  <si>
    <t>INDUSTRIAS HACEB S.A.</t>
  </si>
  <si>
    <t>D2930</t>
  </si>
  <si>
    <t>INDUSTRIA COLOMBIANA DE CAFE S A S</t>
  </si>
  <si>
    <t>D1563</t>
  </si>
  <si>
    <t>DISTRIBUIDORA TOYOTA SAS.</t>
  </si>
  <si>
    <t>ACERIAS PAZ DE RIO S A EN EJECUCION DE ACUERDO DE REESTRUCTURACION</t>
  </si>
  <si>
    <t>FUNDICION RAMIREZ ZONA FRANCA SAS</t>
  </si>
  <si>
    <t>D2721</t>
  </si>
  <si>
    <t>SUCESORES DE JOSE JESUS RESTREPO Y CIA S.A</t>
  </si>
  <si>
    <t>INGENIERIA SERVICIOS MONTAJES Y CONSTRUCCION DE OLEODUCTOS DE COLOMBIA S A</t>
  </si>
  <si>
    <t>ASOCIACIÓN MUTUAL SER EMPRESA SOLIDARIA DE SALUD ESS</t>
  </si>
  <si>
    <t>SURA ASSET MANAGEMENT</t>
  </si>
  <si>
    <t>LABORATORIOS BAXTER S.A. (SUCURSAL DE SOCIEDAD EXTRANJERA)</t>
  </si>
  <si>
    <t>D2423</t>
  </si>
  <si>
    <t>DAIMLER COLOMBIA S A</t>
  </si>
  <si>
    <t>CONSORCIO MINERO UNIDO S.A.</t>
  </si>
  <si>
    <t>TOYOTA DE COLOMBIA S.A</t>
  </si>
  <si>
    <t>GYJ FERRETERIAS S.A.</t>
  </si>
  <si>
    <t>COMPAÑIA NACIONAL DE CHOCOLATES S.A.S.</t>
  </si>
  <si>
    <t>D1581</t>
  </si>
  <si>
    <t>COMPAÑIA DE GALLETAS NOEL S A S</t>
  </si>
  <si>
    <t>HARINERA DEL VALLE S.A.</t>
  </si>
  <si>
    <t xml:space="preserve">CRISTALERIA PELDAR S.A                                                                              </t>
  </si>
  <si>
    <t>D2610</t>
  </si>
  <si>
    <t>SOCIEDADES BOLIVAR S. A.</t>
  </si>
  <si>
    <t>CSS CONSTRUCTORES S.A.</t>
  </si>
  <si>
    <t>AJECOLOMBIA S.A.</t>
  </si>
  <si>
    <t>NEW GRANADA ENERGY CORPORATION SUCURSAL COLOMBIANA</t>
  </si>
  <si>
    <t>MANUFACTURAS ELIOT S.A.</t>
  </si>
  <si>
    <t>D1750</t>
  </si>
  <si>
    <t>GESTION ENERGETICA S.A. ESP</t>
  </si>
  <si>
    <t>CASA EDITORIAL EL TIEMPO S.A.</t>
  </si>
  <si>
    <t>K7430</t>
  </si>
  <si>
    <t xml:space="preserve">SURTIDORA DE GAS DEL CARIBE S.A. EMPRESA DE SERVICIOS PUBLICOS </t>
  </si>
  <si>
    <t>INGRDION COLOMBIA S.A.</t>
  </si>
  <si>
    <t>D1542</t>
  </si>
  <si>
    <t>OLEODUCTO DE LOS LLANOS ORIENTALES S.A.</t>
  </si>
  <si>
    <t>ALIMENTOS FINCA S A</t>
  </si>
  <si>
    <t>GRUPO ARGOS S.A.</t>
  </si>
  <si>
    <t>COMERCIALIZACIÓN INTERNACIONAL ANTIOQUEÑA DE EXPORTACIONES S.A.S.</t>
  </si>
  <si>
    <t>CENTRALES ELECTRICAS DEL NORTE DE SANTANDER S.A. ESP</t>
  </si>
  <si>
    <t>COMERCIALIZADORA COLOMBIANA DE CARBONES Y COQUES S A</t>
  </si>
  <si>
    <t>D2310</t>
  </si>
  <si>
    <t>PANAMERICANA LIBRERIA Y PAPELERIA S A</t>
  </si>
  <si>
    <t>G5244</t>
  </si>
  <si>
    <t>LOUIS DREYFUS COMMODITIES COLOMBIA LTDA.</t>
  </si>
  <si>
    <t>G5126</t>
  </si>
  <si>
    <t>COOPERATIVA EPSIFARMA</t>
  </si>
  <si>
    <t>INGENIO PROVIDENCIA S.A.</t>
  </si>
  <si>
    <t xml:space="preserve">ETICOS SERRANO GOMEZ LTDA                                                                           </t>
  </si>
  <si>
    <t>G5231</t>
  </si>
  <si>
    <t>CENTRAL HIDROELECTRICA DE CALDAS S.A. E.S.P.</t>
  </si>
  <si>
    <t>SANOFI - AVENTIS PHARMA S A</t>
  </si>
  <si>
    <t>EMPRESA DE TRANSPORTE DEL TERCER MILENIO (TRANSMILENIO)</t>
  </si>
  <si>
    <t>GASEOSAS LUX S A</t>
  </si>
  <si>
    <t>COMERCIAL INTERNACIONAL DE EQUIPOS Y MAQUINARIA S A.S.</t>
  </si>
  <si>
    <t>SODEXHO  S.A.</t>
  </si>
  <si>
    <t>H5529</t>
  </si>
  <si>
    <t>CAJA DE COMPENSACIÓN FAMILIAR DEL HUILA</t>
  </si>
  <si>
    <t>COMPAÑÍA ENERGÉTICA DEL TOLIMA S.A E.S.P</t>
  </si>
  <si>
    <t>INDUSTRIA MILITAR-INDUMIL</t>
  </si>
  <si>
    <t>TELMEX TELECOMUNICACIONES S A E S P</t>
  </si>
  <si>
    <t>COOMEVA MEDICINA PREPAGADA S.A.</t>
  </si>
  <si>
    <t>STUDIO F INTERNATIONAL FASHION CORPORATION S.A</t>
  </si>
  <si>
    <t>LABORATORIO FRANCO COLOMBIANO LAFRANCOL S.A</t>
  </si>
  <si>
    <t>MANUELITA S A</t>
  </si>
  <si>
    <t>NOVARTIS DE COLOMBIA S A</t>
  </si>
  <si>
    <t>COMERCIALIZADORA INTERNACIONAL DE METALES PRECIOSOS DE COLOMBIA S.A.</t>
  </si>
  <si>
    <t>C1339</t>
  </si>
  <si>
    <t xml:space="preserve">CARVAJAL PULPA Y PAPEL S.A.                                                               </t>
  </si>
  <si>
    <t>D2101</t>
  </si>
  <si>
    <t>MECANICOS ASOCIADOS S A</t>
  </si>
  <si>
    <t>RAVENBIRD S.A.S.</t>
  </si>
  <si>
    <t>J6599</t>
  </si>
  <si>
    <t>ACEITES Y GRASAS VEGETALES S.A  ACEGRASAS</t>
  </si>
  <si>
    <t>D1522</t>
  </si>
  <si>
    <t>ITALCOL DE OCCIDENTE S A</t>
  </si>
  <si>
    <t>G5121</t>
  </si>
  <si>
    <t>ABBOTT LABORATORIES DE COLOMBIA S A</t>
  </si>
  <si>
    <t>ACERIAS DE COLOMBIA  ACESCO S A S</t>
  </si>
  <si>
    <t>D2892</t>
  </si>
  <si>
    <t>PROCAPS S.A.</t>
  </si>
  <si>
    <t>EFICACIA S.A.</t>
  </si>
  <si>
    <t>K7499</t>
  </si>
  <si>
    <t xml:space="preserve">FABRICA DE HILADOS Y TEJIDOS DEL HATO S A FABRICATO EN </t>
  </si>
  <si>
    <t>CAJA DE COMPENSACION FAMILIAR COMFENALCO VALLE</t>
  </si>
  <si>
    <t>COMPAÑIA COLOMBIANA DE TABACO S A</t>
  </si>
  <si>
    <t>D1600</t>
  </si>
  <si>
    <t>DOW AGROSCIENCES DE COLOMBIA S.A.</t>
  </si>
  <si>
    <t>DETERGENTES S A</t>
  </si>
  <si>
    <t>COMERCIALIZADORA ARTURO CALLE SAS</t>
  </si>
  <si>
    <t>G5232</t>
  </si>
  <si>
    <t>CASA TORO AUTOMOTRIZ S.A.</t>
  </si>
  <si>
    <t>COMPAÑIA COLOMBIANA AUTOMOTRIZ S A</t>
  </si>
  <si>
    <t>SONY COLOMBIA S.A.</t>
  </si>
  <si>
    <t>MEXICHEM COLOMBIA SAS</t>
  </si>
  <si>
    <t>D2529</t>
  </si>
  <si>
    <t>COLMEDICA MEDICINA PREPAGADA S A</t>
  </si>
  <si>
    <t>ALFAGRES S A</t>
  </si>
  <si>
    <t>D2693</t>
  </si>
  <si>
    <t>C. I.RACAFE &amp; CIA. S.C.A.</t>
  </si>
  <si>
    <t>M P S MAYORISTA DE COLOMBIA S A</t>
  </si>
  <si>
    <t>G5164</t>
  </si>
  <si>
    <t>ACTIVOS S.A.</t>
  </si>
  <si>
    <t>K7491</t>
  </si>
  <si>
    <t>GRUPO NUTRESA S.A</t>
  </si>
  <si>
    <t>MAYAGUEZ S A</t>
  </si>
  <si>
    <t>COMPAÑIA GLOBAL DE PINTURAS S.A.</t>
  </si>
  <si>
    <t>D2422</t>
  </si>
  <si>
    <t>ALMACENES FLAMINGO S A</t>
  </si>
  <si>
    <t>POLLOS EL BUCANERO S.A.</t>
  </si>
  <si>
    <t>CONSTRUCTORA DE INFRAESTRUCTURA VIAL S.A.S.</t>
  </si>
  <si>
    <t>BIMBO DE COLOMBIA S A</t>
  </si>
  <si>
    <t>D1582</t>
  </si>
  <si>
    <t>ACCION S.A.</t>
  </si>
  <si>
    <t>K7414</t>
  </si>
  <si>
    <t>CRUZ  BLANCA  EPS S.A.</t>
  </si>
  <si>
    <t>BIOFILM S.A.</t>
  </si>
  <si>
    <t>D2521</t>
  </si>
  <si>
    <t>KUEHNE &amp; NAGEL S.A.S.</t>
  </si>
  <si>
    <t>I6390</t>
  </si>
  <si>
    <t>ORACLE COLOMBIA LIMITADA</t>
  </si>
  <si>
    <t>COMERCIALIZADORA INTERNACIONAL COLOMBIAN NATURAL RESOURCES I S.A.S.</t>
  </si>
  <si>
    <t>GLAXOSMITHKLINE COLOMBIA S A</t>
  </si>
  <si>
    <t>BRINSA S A</t>
  </si>
  <si>
    <t>D2429</t>
  </si>
  <si>
    <t>SOCIEDAD DE ACUEDUCTO ALCANTARILLADO Y ASEO DE BARRANQUILLA S.A. E.S.P.</t>
  </si>
  <si>
    <t>BRITISH AMERICAN TOBACCO COLOMBIA S.A.S</t>
  </si>
  <si>
    <t>GRUPO ICT II SAS</t>
  </si>
  <si>
    <t>HIDROCARBUROS DEL CASANARE S.A.</t>
  </si>
  <si>
    <t>MEALS MERCADEO DE ALIMENTOS DE COLOMBIA S.A. S.</t>
  </si>
  <si>
    <t>EMPRESA DE ENERGIA DE BOYACA S.A. ESP</t>
  </si>
  <si>
    <t>TENARIS GLOBAL SERVICES (PANAMA) SUCURSAL COLOMBIA</t>
  </si>
  <si>
    <t>GASEOSAS COLOMBIANAS S A</t>
  </si>
  <si>
    <t>AUTOGERMANA S.A.</t>
  </si>
  <si>
    <t>ADIDAS COLOMBIA LIMITADA</t>
  </si>
  <si>
    <t>G5133</t>
  </si>
  <si>
    <t>MOLINO FLORHUILA S A</t>
  </si>
  <si>
    <t xml:space="preserve">FAMILIA DEL PACIFICO S.A.S                                 </t>
  </si>
  <si>
    <t>INDEPENDENCE DRILLING S.A.</t>
  </si>
  <si>
    <t>HUAWEI TECHNOLOGIES COLOMBIA S.A.S</t>
  </si>
  <si>
    <t>CADBURY ADAMS COLOMBIA S.A.</t>
  </si>
  <si>
    <t>VALE COAL COLOMBIA LIMITED</t>
  </si>
  <si>
    <t>ZONA FRANCA ARGOS S.A.S</t>
  </si>
  <si>
    <t>SICIM COLOMBIA SUCURSAL DE SICIM S.P.A.</t>
  </si>
  <si>
    <t>COMERCIAL NUTRESA S.A.S</t>
  </si>
  <si>
    <t>ELECTRIFICADORA DEL HUILA S.A. E.S.P.</t>
  </si>
  <si>
    <t>INGENIERIA CONSTRUCCIONES Y EQUIPOS CONEQUIPOS ING. LTDA</t>
  </si>
  <si>
    <t>CARBONES DE LA JAGUA S A</t>
  </si>
  <si>
    <t>COMERCIALIZADORA INTERNACIONAL BANACOL S A</t>
  </si>
  <si>
    <t>COEXITO S.A.</t>
  </si>
  <si>
    <t>G5030</t>
  </si>
  <si>
    <t>PERENCO COLOMBIA LIMITED</t>
  </si>
  <si>
    <t>PRACO DIDACOL S AS</t>
  </si>
  <si>
    <t>ZEUSS PETROLEUM S A</t>
  </si>
  <si>
    <t>GENERARCO S.A. E.S.P.</t>
  </si>
  <si>
    <t xml:space="preserve">ARQUITECTOS E INGENIEROS ASOCIADOS S.A.                                                             </t>
  </si>
  <si>
    <t>BASF QUIMICA COLOMBIANA S A</t>
  </si>
  <si>
    <t>G5153</t>
  </si>
  <si>
    <t>CAJA DE COMPENSACIÓN FAMILIAR DE CORDOBA - COMFACOR</t>
  </si>
  <si>
    <t>CARCAFE LTDA C.I.</t>
  </si>
  <si>
    <t>D3699</t>
  </si>
  <si>
    <t>AVIDESA DE OCCIDENTE S.A.</t>
  </si>
  <si>
    <t>OLEODUCTO DE COLOMBIA S.A.</t>
  </si>
  <si>
    <t>VAS COLOMBIA S.A.</t>
  </si>
  <si>
    <t>PRICESMART DE COLOMBIA S.A.S</t>
  </si>
  <si>
    <t>MONTAJES JM LTDA</t>
  </si>
  <si>
    <t>LLANOS ORIENTALES</t>
  </si>
  <si>
    <t>SURAMERICANA      S A</t>
  </si>
  <si>
    <t>SOCIEDAD DE COMERCIALIZACION INTERNACIONAL LEONISA S.A.</t>
  </si>
  <si>
    <t xml:space="preserve">ADMINEGOCIOS &amp; CIA S C A  </t>
  </si>
  <si>
    <t>C.I. DE METALES PRECIOSOS Y METALES COMUNES INVERSIONES GENERA</t>
  </si>
  <si>
    <t>ASSENDA  S. A. S.</t>
  </si>
  <si>
    <t>D2220</t>
  </si>
  <si>
    <t>GASEOSAS HIPINTO S.A.S.</t>
  </si>
  <si>
    <t>COOPERATIVA NACIONAL CAFETERA</t>
  </si>
  <si>
    <t>ACEITES MANUELITA S.A.</t>
  </si>
  <si>
    <t>SAP COLOMBIA SAS</t>
  </si>
  <si>
    <t>G5161</t>
  </si>
  <si>
    <t>CONTINENTAL AUTOMOTORA S A</t>
  </si>
  <si>
    <t>ALIANSALUD EPS S.A.</t>
  </si>
  <si>
    <t>SIDERURGICA NACIONAL SIDENAL S.A.</t>
  </si>
  <si>
    <t>INDUSTRIA COLOMBIANA DE LLANTAS S A</t>
  </si>
  <si>
    <t>COMPAÑIA NACIONAL DE LEVADURAS LEVAPAN S A</t>
  </si>
  <si>
    <t>C I METAL COMERCIO SAS</t>
  </si>
  <si>
    <t>G5155</t>
  </si>
  <si>
    <t>EMPRESA URRA S.A. E.S.P.</t>
  </si>
  <si>
    <t>ALCANOS DE COLOMBIA S.A. E.S.P.</t>
  </si>
  <si>
    <t>ASEA BROWN BOVERI LTDA</t>
  </si>
  <si>
    <t>D3110</t>
  </si>
  <si>
    <t>HENKEL COLOMBIANA S. A. S.</t>
  </si>
  <si>
    <t>GOODYEAR DE COLOMBIA S A</t>
  </si>
  <si>
    <t>D2511</t>
  </si>
  <si>
    <t>NALSANI  S.A.</t>
  </si>
  <si>
    <t>G5239</t>
  </si>
  <si>
    <t>BIO D S.A.</t>
  </si>
  <si>
    <t>MERCK SHARP &amp; DOHME COLOMBIA S A S</t>
  </si>
  <si>
    <t>CONSTRUCCIONES EL CONDOR S.A</t>
  </si>
  <si>
    <t>MINCIVIL S.A.</t>
  </si>
  <si>
    <t>BRENNTAG COLOMBIA S. A.</t>
  </si>
  <si>
    <t>C I ACEPALMA S A</t>
  </si>
  <si>
    <t>ELECTRIFICADORA DEL META S.A. E.S.P.</t>
  </si>
  <si>
    <t>AMERICAS STYRENICS  DE COLOMBIA LTDA</t>
  </si>
  <si>
    <t>SUCROAL S.A</t>
  </si>
  <si>
    <t>C I VANOIL S.A.</t>
  </si>
  <si>
    <t>SUZUKI MOTOR DE COLOMBIA S.A.</t>
  </si>
  <si>
    <t>GNE SOLUCIONES S.A S</t>
  </si>
  <si>
    <t>COMPAÑIA DE COSMETICOS VOTRE PASSION S.A.</t>
  </si>
  <si>
    <t>G5131</t>
  </si>
  <si>
    <t xml:space="preserve">EFIGAS GAS NATURAL S.A E.S.P </t>
  </si>
  <si>
    <t>ECODIESEL COLOMBIA S.A</t>
  </si>
  <si>
    <t>GROUP SEB COLOMBIA SA</t>
  </si>
  <si>
    <t>MERCK S.A.</t>
  </si>
  <si>
    <t>EMPRESA DE ENERGIA DE CUNDINAMARCA S.A. ESP</t>
  </si>
  <si>
    <t>CHANEME COMERCIAL S.A.</t>
  </si>
  <si>
    <t>KOBA COLOMBIA S.A.S</t>
  </si>
  <si>
    <t>G5229</t>
  </si>
  <si>
    <t>VALORES Y CONTRATOS S.A. VALORCON S.A.</t>
  </si>
  <si>
    <t>PRODUCTORA DE CABLES  S A</t>
  </si>
  <si>
    <t>BP SANTIAGO OIL COMPANY</t>
  </si>
  <si>
    <t>AUTONIZA S.A.</t>
  </si>
  <si>
    <t>V D EL MUNDO A SUS PIES S.A.</t>
  </si>
  <si>
    <t>G5234</t>
  </si>
  <si>
    <t>SIKA COLOMBIA S A</t>
  </si>
  <si>
    <t>RTMX LTDA</t>
  </si>
  <si>
    <t>D3430</t>
  </si>
  <si>
    <t>MINEROS S.A.</t>
  </si>
  <si>
    <t>NEXSYS DE COLOMBIA S.A.</t>
  </si>
  <si>
    <t>SAN ANTONIO INTERNACIONAL SUCURSAL COLOMBIA</t>
  </si>
  <si>
    <t>EMPRESA DE TRANSPORTE MASIVO DEL VALLE DE ABURRA (METRO DE MEDELLIN)</t>
  </si>
  <si>
    <t>CACHARRERIA  MUNDIAL S.A.S.</t>
  </si>
  <si>
    <t>CONSTRUCTORA NORBERTO ODEBRECHT S A</t>
  </si>
  <si>
    <t>I.R.C.C. LIMITADA INDUSTRIA DE RESTAURANTES CASUALES  LTDA</t>
  </si>
  <si>
    <t>H5521</t>
  </si>
  <si>
    <t>AMERISUR   EXPLORACION COLOMBIA</t>
  </si>
  <si>
    <t>PAPELES NACIONALES S A</t>
  </si>
  <si>
    <t>VETRA E Y P SAS</t>
  </si>
  <si>
    <t>GENFAR S.A.</t>
  </si>
  <si>
    <t>MULTIDIMENSIONALES S.A.</t>
  </si>
  <si>
    <t>CENTRALES ELECTRICAS DE NARIÑO S.A. E.S.P.</t>
  </si>
  <si>
    <t xml:space="preserve">COMPAÑIA SURAMERICANA DE ARRENDAMIENTO OPERATIVO S A   </t>
  </si>
  <si>
    <t>SOCIEDAD EXPORTADORA DE CAFE DE LAS COOPERATIVAS DE CAFICULTORES S.A.</t>
  </si>
  <si>
    <t>MONTAJES MORELCO LIMITADA</t>
  </si>
  <si>
    <t>M.J S.A.</t>
  </si>
  <si>
    <t>SHELL COLOMBIA S A</t>
  </si>
  <si>
    <t>COMPAÑIA ENERGETICA DE OCCIDENTE S.A.S.  ESP.</t>
  </si>
  <si>
    <t>ORGANIZACION SOLARTE Y CIA. S.C.A.</t>
  </si>
  <si>
    <t>HINO MOTORS MANUFACTURING COLOMBIA S.A.</t>
  </si>
  <si>
    <t>ENKA DE COLOMBIA S A EN ACUERDO DE REESTRUCTURACION</t>
  </si>
  <si>
    <t>PANASONIC DE COLOMBIA S.A.</t>
  </si>
  <si>
    <t>TERMOTECNICA COINDUSTRIAL S A</t>
  </si>
  <si>
    <t>PORSCHE COLOMBIA SAS</t>
  </si>
  <si>
    <t>MAC - JOHNSON CONTROLS COLOMBIA S.A.SS</t>
  </si>
  <si>
    <t>D3140</t>
  </si>
  <si>
    <t>3M COLOMBIA S A</t>
  </si>
  <si>
    <t>JOHN RESTREPO A Y CIA S.A.</t>
  </si>
  <si>
    <t>DOW QUIMICA DE COLOMBIA S A</t>
  </si>
  <si>
    <t>CAJA DE COMPENSACIÓN FAMILIAR - CAJACOPI ATLANTICO</t>
  </si>
  <si>
    <t>PIMPOLLO SAS</t>
  </si>
  <si>
    <t>JANSSEN CILAG S.A.</t>
  </si>
  <si>
    <t>ALIMENTOS POLAR COLOMBIA S.A S</t>
  </si>
  <si>
    <t>ALANGE ENERGY CORP SUCURSAL COLOMBIA</t>
  </si>
  <si>
    <t>DELL COLOMBIA INC</t>
  </si>
  <si>
    <t>G5243</t>
  </si>
  <si>
    <t>COMERCIALIZADORA INTERNACIONAL  MILPA S. A..</t>
  </si>
  <si>
    <t>LINDE COLOMBIA  S. A.</t>
  </si>
  <si>
    <t>D2411</t>
  </si>
  <si>
    <t>COMBUSTIBLES DE COLOMBIA S.A.</t>
  </si>
  <si>
    <t>GRASAS Y ACEITES VEGETALES S.A.</t>
  </si>
  <si>
    <t>ACTIUNIDOS S A</t>
  </si>
  <si>
    <t>CANACOL ENERGY COLOMBIA S A</t>
  </si>
  <si>
    <t>SYNGENTA S A</t>
  </si>
  <si>
    <t>NOVAVENTA S A S</t>
  </si>
  <si>
    <t>COMPASS GROUP SERVICES COLOMBIA S A</t>
  </si>
  <si>
    <t>H5523</t>
  </si>
  <si>
    <t>BIOCOMBUSTIBLES SOSTENIBLES DEL CARIBE S.A.</t>
  </si>
  <si>
    <t>NOKIASIEMENS NETWORKS COLOMBIA LTDA</t>
  </si>
  <si>
    <t>G5169</t>
  </si>
  <si>
    <t>PARMALAT COLOMBIA LTDA</t>
  </si>
  <si>
    <t>SEGURIDAD ATLAS LTDA</t>
  </si>
  <si>
    <t>SCHNEIDER ELECTRIC DE COLOMBIA S.A.</t>
  </si>
  <si>
    <t>GRASAS S.A</t>
  </si>
  <si>
    <t>ALMACENES MAXIMO S.A</t>
  </si>
  <si>
    <t>COCA COLA SERVICIOS DE COLOMBIA S A</t>
  </si>
  <si>
    <t>OLEOFLORES LIMITADA</t>
  </si>
  <si>
    <t>DERCO COLOMBIA S.A.S.</t>
  </si>
  <si>
    <t>INTERNACIONAL DE VEHICULOS LTDA.</t>
  </si>
  <si>
    <t>DIAGEO COLOMBIA S A</t>
  </si>
  <si>
    <t>G5127</t>
  </si>
  <si>
    <t>COOPERATIVA DE CAFICULTORES DEL HUILA LTDA</t>
  </si>
  <si>
    <t>PETROSANTANDER (COLOMBIA) INC</t>
  </si>
  <si>
    <t>IMPRESISTEM S A</t>
  </si>
  <si>
    <t>KENWORTH DE LA MONTAÑA S. A. S.</t>
  </si>
  <si>
    <t>INPROICO S. A.</t>
  </si>
  <si>
    <t>PROMOTORA DE ENERGIA ELECTRICA DE CARTAGENA Y COMPANIA SOCIEDAD EN COMANDITA POR ACCIONES-EMPRESA DE SERVICIOS PUBLICOS</t>
  </si>
  <si>
    <t>TECNOSUR S.A.</t>
  </si>
  <si>
    <t>AVICOLA EL MADRONO S A</t>
  </si>
  <si>
    <t>C.I. GOLDEX S.A.</t>
  </si>
  <si>
    <t>PETROWORKS S.A.S.</t>
  </si>
  <si>
    <t>LATINOAMERICANA DE CONSTRUCCIONES S.A.</t>
  </si>
  <si>
    <t>COMPAÑIA MANUFACTURERA MANISOL S A</t>
  </si>
  <si>
    <t>D1929</t>
  </si>
  <si>
    <t>ANHIDRIDOS Y DERIVADOS DE COLOMBIA S A</t>
  </si>
  <si>
    <t>TRANSELCA S.A. E.S.P.</t>
  </si>
  <si>
    <t>COLOMBIAN COMMODITY GROUP CI SAS</t>
  </si>
  <si>
    <t>SIDERURGICA DE CALDAS S.A.S</t>
  </si>
  <si>
    <t>MASERING SAS</t>
  </si>
  <si>
    <t>CONSTRUCTORA CAPITAL MEDELLIN S.A.S.</t>
  </si>
  <si>
    <t>F4521</t>
  </si>
  <si>
    <t>C I TECNICAS BALTIME DE COLOMBIA S A</t>
  </si>
  <si>
    <t>SP INGENIEROS S.A.S.</t>
  </si>
  <si>
    <t>CARVAJAL EDUCACION SAS</t>
  </si>
  <si>
    <t>ELECTRICAS DE MEDELLIN S.A</t>
  </si>
  <si>
    <t>URBANIZADORA MARIN VALENCIA S.A.</t>
  </si>
  <si>
    <t>THE ELITE FLOWER SAS  CI</t>
  </si>
  <si>
    <t>G5123</t>
  </si>
  <si>
    <t>PRODUCTOS RAMO S A</t>
  </si>
  <si>
    <t>C I YUMBO S A</t>
  </si>
  <si>
    <t>SKBERGE COLOMBIA SAS</t>
  </si>
  <si>
    <t>ARCOS DORADOS COLOMBIA  S A</t>
  </si>
  <si>
    <t xml:space="preserve">SERVICIOS POSTALES NACIONALES S.A. </t>
  </si>
  <si>
    <t>TUBOS DEL CARIBE LTDA</t>
  </si>
  <si>
    <t>PAPELES DEL CAUCA S A</t>
  </si>
  <si>
    <t>AGOFER S. A.S.</t>
  </si>
  <si>
    <t>VIGILANCIA Y SEGURIDAD LIMITADA</t>
  </si>
  <si>
    <t>PEPSI COLA COLOMBIA LTDA</t>
  </si>
  <si>
    <t>CONSTRUCTORA CAPITAL BOGOTA S A S</t>
  </si>
  <si>
    <t xml:space="preserve">INGENIO LA CABANA S A                                  </t>
  </si>
  <si>
    <t>MULTIENLACE S A</t>
  </si>
  <si>
    <t xml:space="preserve">SUMINISTROS DE COLOMBIA S.A.                           </t>
  </si>
  <si>
    <t>ENERGIA SOCIAL DE LA COSTA S.A. ESP</t>
  </si>
  <si>
    <t>ORGANIZACION DE INGENIERIA INTERNACIONAL S.A.</t>
  </si>
  <si>
    <t>Brinks de Colombia S.A.</t>
  </si>
  <si>
    <t>SIDERURGICA DEL OCCIDENTE S.A.</t>
  </si>
  <si>
    <t>CONSTRUCCIONES MARVAL S.A.</t>
  </si>
  <si>
    <t>INGENIERIA DE VIAS S. A.</t>
  </si>
  <si>
    <t>LEVEL 3 COLOMBIA S A.</t>
  </si>
  <si>
    <t>I6429</t>
  </si>
  <si>
    <t>COENERSA S.A. E.S.P.</t>
  </si>
  <si>
    <t>CARACOL PRIMERA CADENA RADIAL COLOMBIANA S A</t>
  </si>
  <si>
    <t>O9213</t>
  </si>
  <si>
    <t>CINE COLOMBIA S. A.</t>
  </si>
  <si>
    <t>G5224</t>
  </si>
  <si>
    <t>COCTEMAR</t>
  </si>
  <si>
    <t>CHALLENGER  S A</t>
  </si>
  <si>
    <t>COMPAÑIA COLOMBIANA DE TEJIDOS S A EN ACUERDO DE REESTR</t>
  </si>
  <si>
    <t>S K N CARIBECAFE  LTDA</t>
  </si>
  <si>
    <t>D1561</t>
  </si>
  <si>
    <t>KMA CONSTRUCCIONES S A</t>
  </si>
  <si>
    <t>F4549</t>
  </si>
  <si>
    <t>CREPES Y WAFFLES S.A</t>
  </si>
  <si>
    <t>YARA COLOMBIA S A S.</t>
  </si>
  <si>
    <t>INTERASEO S.A  E.S.P</t>
  </si>
  <si>
    <t xml:space="preserve">CONMIL S.A.S.                                                                                         </t>
  </si>
  <si>
    <t>SOBERANA S.A.S.</t>
  </si>
  <si>
    <t>G5125</t>
  </si>
  <si>
    <t>ERICSSON DE COLOMBIA S A</t>
  </si>
  <si>
    <t>K7492</t>
  </si>
  <si>
    <t>INGENIO RISARALDA S.A</t>
  </si>
  <si>
    <t>INDICOMERSOCIOS S.A.</t>
  </si>
  <si>
    <t>SED INTERNATIONAL DE COLOMBIA SAS</t>
  </si>
  <si>
    <t>DISTRIBUIDORA DE PAPELES S A DISPAPELES</t>
  </si>
  <si>
    <t>G5137</t>
  </si>
  <si>
    <t>TELEPERFORMANCE COLOMBIA SAS</t>
  </si>
  <si>
    <t>COLOMBINA DEL CAUCA S.A.</t>
  </si>
  <si>
    <t>CASALIMPIA S.A.</t>
  </si>
  <si>
    <t>K7493</t>
  </si>
  <si>
    <t>EXTRAS S.A.</t>
  </si>
  <si>
    <t>PAVIMENTOS COLOMBIA S.AS</t>
  </si>
  <si>
    <t>FABRICA DE GRASAS Y PRODUCTOS QUIMICOS LTDA</t>
  </si>
  <si>
    <t>INCUBADORA SANTANDER S.A.</t>
  </si>
  <si>
    <t>SAINC INGENIEROS CONSTRUCTORES S.A.</t>
  </si>
  <si>
    <t>ALMACENES CORONA S A</t>
  </si>
  <si>
    <t>G5241</t>
  </si>
  <si>
    <t>ADECCO COLOMBIA S.A.</t>
  </si>
  <si>
    <t>CUEROS VELEZ S.A.</t>
  </si>
  <si>
    <t>D1921</t>
  </si>
  <si>
    <t>MERCADO ZAPATOCA LTDA.</t>
  </si>
  <si>
    <t>FLEXO SPRING S. A. S.</t>
  </si>
  <si>
    <t>C.I. EMPRESA COLOMBIANA DE SERVICIOS PETROLERO S.A.</t>
  </si>
  <si>
    <t>P A S H S.AS.</t>
  </si>
  <si>
    <t>PEPSICO ALIMENTOS ZF LTDA</t>
  </si>
  <si>
    <t>OUTSPAN COLOMBIA S.AS. CI</t>
  </si>
  <si>
    <t>PIONEER DE COLOMBIA SDAD LTDA.</t>
  </si>
  <si>
    <t xml:space="preserve">ALIMENTOS CONCENTRADOS DEL CARIBE S.A.                                                              </t>
  </si>
  <si>
    <t>COMPAÑIA DE INVERSIONES TEXTILES DE MODA</t>
  </si>
  <si>
    <t>CARTONES AMERICA S A</t>
  </si>
  <si>
    <t>D2102</t>
  </si>
  <si>
    <t>CONINSA  RAMON H. S.A.</t>
  </si>
  <si>
    <t>RECKITT BENCKISER COLOMBIA S.A.</t>
  </si>
  <si>
    <t>PRODUCTION TESTING SERVICES COLOMBIA LTDA P.T.S. COLOMBIA LTDA</t>
  </si>
  <si>
    <t>MARVAL S.A.</t>
  </si>
  <si>
    <t>H A BICICLETAS S.A.</t>
  </si>
  <si>
    <t>AGUAS DE CARTAGENA S.A.  E.S.P.</t>
  </si>
  <si>
    <t>PROCOPAL S.A.</t>
  </si>
  <si>
    <t>CASA MOTOR S A</t>
  </si>
  <si>
    <t>AUTOMOTORA NACIONAL S A</t>
  </si>
  <si>
    <t>CAJA DE COMPENSACION FAMILIAR DE CARTAGENA - COMFAMILIAR</t>
  </si>
  <si>
    <t>MAKRO COMPUTO S A</t>
  </si>
  <si>
    <t>MEYAN S.A.</t>
  </si>
  <si>
    <t>CLARIANT COLOMBIA S.A.</t>
  </si>
  <si>
    <t>ABBVIE SAS</t>
  </si>
  <si>
    <t>SCHRADER CAMARGO INGENIEROS ASOCIADOS S A</t>
  </si>
  <si>
    <t>CONSTRUCTORA  COLPATRIA S.A</t>
  </si>
  <si>
    <t xml:space="preserve">HOTELES ESTELAR S.A.                                                                                </t>
  </si>
  <si>
    <t>H5511</t>
  </si>
  <si>
    <t>ALIMENTOS BALANCEADOS TEQUENDAMA S.A.</t>
  </si>
  <si>
    <t>MADECENTRO COLOMBIA S.A.</t>
  </si>
  <si>
    <t>CONTAC CENTER AMERICAS S. A.</t>
  </si>
  <si>
    <t>DISTRIBUIDORA DE TEXTILES Y CONFECCIONES S A</t>
  </si>
  <si>
    <t>FRISBY S.A.</t>
  </si>
  <si>
    <t>COOPERATIVA DE PRODUCTORES DE LECHE DEL ATLANTICO LTDA.</t>
  </si>
  <si>
    <t>EL ZUQUE S.A.</t>
  </si>
  <si>
    <t>COMERCIALIZADORA INTERNACIONAL BANANEROS UNIDOS DE SANTA MARTA S.A.</t>
  </si>
  <si>
    <t>DIMANTEC LTDA.</t>
  </si>
  <si>
    <t>MELEXA S.A.</t>
  </si>
  <si>
    <t>INVERSIONES EURO S.A.</t>
  </si>
  <si>
    <t>DISTRIBUIDORA DE ABONOS S.A</t>
  </si>
  <si>
    <t>ZULUAGA &amp; SOTO SAS</t>
  </si>
  <si>
    <t>SOUTHEAST INVESTMENT CORPORATION</t>
  </si>
  <si>
    <t>DUFLO LTDA "SERVICIOS PETROLEROS"</t>
  </si>
  <si>
    <t>H5512</t>
  </si>
  <si>
    <t>COOPERATIVA DE TRABAJO ASOCIADO TALENTUM</t>
  </si>
  <si>
    <t>PROFICOL ANDINA B V  SUCURSAL COLOMBIA</t>
  </si>
  <si>
    <t>EDATEL S.A. EPS</t>
  </si>
  <si>
    <t>EXPERIAN COMPUTEC SAS</t>
  </si>
  <si>
    <t>K7240</t>
  </si>
  <si>
    <t>EMPRESA DE ENERGÍA DE PEREIRA S.A. E.S.P.</t>
  </si>
  <si>
    <t>COOPERATIVA DE CAFICULTORES DE ANDES LTDA</t>
  </si>
  <si>
    <t>PRODUCTOS ALIMENTICIOS DORIA S A S</t>
  </si>
  <si>
    <t>D1583</t>
  </si>
  <si>
    <t>RADIO CADENA NACIONAL S.A.</t>
  </si>
  <si>
    <t>LA RIVIERA S. A. S</t>
  </si>
  <si>
    <t>MERCANTIL COLPATRIA S.A.</t>
  </si>
  <si>
    <t>HMV INGENIEROS LTDA</t>
  </si>
  <si>
    <t>K7421</t>
  </si>
  <si>
    <t xml:space="preserve">Cafesalud Medicina Prepagada S  A  </t>
  </si>
  <si>
    <t>OFD COMERCIAL S.A.S.</t>
  </si>
  <si>
    <t>G5124</t>
  </si>
  <si>
    <t>BOEHRINGER INGELHEIM S A</t>
  </si>
  <si>
    <t>FORTOX S.A.</t>
  </si>
  <si>
    <t>ORBITEL S.A.</t>
  </si>
  <si>
    <t>COMERCIALIZADORA INTERNACIONAL TEQUENDAMA S.A.S.</t>
  </si>
  <si>
    <t>SEGURIDAD Y VIGILANCIA COLOMBIANA SEVICOL LTDA</t>
  </si>
  <si>
    <t>COOPERATIVA CONSUMO</t>
  </si>
  <si>
    <t>WOOD GROUP COLOMBIA S.A.</t>
  </si>
  <si>
    <t>IMPREGILO COLOMBIA SAS</t>
  </si>
  <si>
    <t>BIOTOSCANA FARMA S..A</t>
  </si>
  <si>
    <t>VENTAS Y MARCAS SAS</t>
  </si>
  <si>
    <t>ACCIONES Y SERVICIOS S.A.</t>
  </si>
  <si>
    <t>PRODUCTOS QUIMICOS PANAMERICANOS S.A.</t>
  </si>
  <si>
    <t>MOTORES DEL VALLE  MOTOVALLE LTDA</t>
  </si>
  <si>
    <t>ALDIA S.A.</t>
  </si>
  <si>
    <t>CAROLINA CORPORACION S.A.S</t>
  </si>
  <si>
    <t>HLF COLOMBIA LTDA</t>
  </si>
  <si>
    <t>REPRESENTACIONES CONTINENTAL S.A.</t>
  </si>
  <si>
    <t>G4S SECURE SOLUTIONS COLOMBIA S.A</t>
  </si>
  <si>
    <t>YOKOMOTOR S.A.</t>
  </si>
  <si>
    <t>COMPAÑIA INDUSTRIAL DE PRODUCTOS AGROPECUARIOS CIPA S A</t>
  </si>
  <si>
    <t>PHILIPS COLOMBIANA  S.A.S.</t>
  </si>
  <si>
    <t>SERVICIO AEREO A TERRITORIOS NACIONALES (SATENA)</t>
  </si>
  <si>
    <t>SOLARTE NACIONAL DE COSTRUCCIONES S A S</t>
  </si>
  <si>
    <t>DISTRIBUIDORA COLOMBINA LTDA.</t>
  </si>
  <si>
    <t>P V C GERFOR S A</t>
  </si>
  <si>
    <t>LABORATORIOS LA SANTE  S.A.</t>
  </si>
  <si>
    <t>TECNICONTROL S.A.</t>
  </si>
  <si>
    <t>AMWAY COLOMBIA</t>
  </si>
  <si>
    <t>MEICO S.A.</t>
  </si>
  <si>
    <t>PGI COLOMBIA LTDA</t>
  </si>
  <si>
    <t>D2430</t>
  </si>
  <si>
    <t>NEC DE COLOMBIA S.A.</t>
  </si>
  <si>
    <t>G5269</t>
  </si>
  <si>
    <t>HELMERICH &amp; PAYNE COLOMBIA DRILLING CO</t>
  </si>
  <si>
    <t>DISTRIBUIDORA PASTEUR S.A.</t>
  </si>
  <si>
    <t>GTECH COLOMBIA LTDA</t>
  </si>
  <si>
    <t>I6422</t>
  </si>
  <si>
    <t>ENTIDAD COOPERATIVA SOLIDARIA DE SALUD ECOOPSOS ESS EPS-S</t>
  </si>
  <si>
    <t>FRESKALECHE S.A.</t>
  </si>
  <si>
    <t>INGENIO PICHICHI S.A.</t>
  </si>
  <si>
    <t>CARBONES COLOMBIANOS DEL CERREJON S.A.</t>
  </si>
  <si>
    <t>COMERCIALIZADORA CFC S A</t>
  </si>
  <si>
    <t>LEGRAND COLOMBIA S.A.</t>
  </si>
  <si>
    <t>ALIMENTOS FRIKO S.A</t>
  </si>
  <si>
    <t>FUREL S.A.</t>
  </si>
  <si>
    <t>F4542</t>
  </si>
  <si>
    <t>SU OPORTUNO SERVICIO LTDA.</t>
  </si>
  <si>
    <t>FARMATODO COLOMBIA S. A.</t>
  </si>
  <si>
    <t>RODRIGUEZ FRANCO Y CIA S C S ORGANIZACION NACIONAL DE COMERCIO ONLY</t>
  </si>
  <si>
    <t>C.I. HERMECO S.A.</t>
  </si>
  <si>
    <t>PROTELA S A</t>
  </si>
  <si>
    <t>D1720</t>
  </si>
  <si>
    <t>OXIGENOS DE COLOMBIA LTDA.</t>
  </si>
  <si>
    <t>Vigilantes Maritima Comercial Ltda.</t>
  </si>
  <si>
    <t>COMFAMILIAR RISARALDA</t>
  </si>
  <si>
    <t>ALAMBRES Y MALLAS S.A.</t>
  </si>
  <si>
    <t>D2811</t>
  </si>
  <si>
    <t>G5237</t>
  </si>
  <si>
    <t>DEPOSITO PRINCIPAL DE DROGAS LTDA</t>
  </si>
  <si>
    <t>COOPERATIVA COMERCIALIZADORA DE BIENES AGROPECUARIOS</t>
  </si>
  <si>
    <t>CAJA DE COMPENSACION FAMILIAR DE NARIÑO</t>
  </si>
  <si>
    <t>CARVAJAL INFORMACIÓN S A S</t>
  </si>
  <si>
    <t>C.I.  BIOCOSTA S.A.</t>
  </si>
  <si>
    <t>QUIMPAC DE COLOMBIA S.A.</t>
  </si>
  <si>
    <t>CARVAJAL PULPA Y PAPEL S.A.S</t>
  </si>
  <si>
    <t>NALCO DE COLOMBIA  LIMITADA</t>
  </si>
  <si>
    <t>COMPAÑIA INTERNACIONAL DE ALIMENTOS S A.S</t>
  </si>
  <si>
    <t>PROMOTORA MEDICA LAS AMERICAS S A</t>
  </si>
  <si>
    <t>TORRECAFE AGUILA ROJA &amp; CIA. S.A.</t>
  </si>
  <si>
    <t>EMPRESA DE ENERGIA DEL  QUINDIO S.A.E.S.P.</t>
  </si>
  <si>
    <t>PREPARACIONES DE BELLEZA S.A.</t>
  </si>
  <si>
    <t>CARBOQUIMICA S A S</t>
  </si>
  <si>
    <t>ALUMINIO NACIONAL S.A.</t>
  </si>
  <si>
    <t>COMESTIBLES ALDOR S.A.</t>
  </si>
  <si>
    <t>GASES INDUSTRIALES DE COLOMBIA S.A.</t>
  </si>
  <si>
    <t xml:space="preserve">CORPORACION DE ACERO CORPACERO S.A.                                                                 </t>
  </si>
  <si>
    <t>MANUFACTURAS Y PROCESOS INDUSTRIALES LTDA</t>
  </si>
  <si>
    <t>AMALFI S A</t>
  </si>
  <si>
    <t>CAJA DE COMPENSACIÓN FAMILIAR DE CALDAS</t>
  </si>
  <si>
    <t>CAJA DE COMPENSACION FAMILIAR DE BOYACA</t>
  </si>
  <si>
    <t>CAJA DE COMPENSACION FAMILIAR DE SANTANDER - COMFENALCO</t>
  </si>
  <si>
    <t>POLLOS SAVICOL S. A.</t>
  </si>
  <si>
    <t>EMPRESAS VARIAS DE MEDELLIN  E.S. P.</t>
  </si>
  <si>
    <t>INPROQUIM S.A</t>
  </si>
  <si>
    <t>EVE DISTRIBUCIONES S.A.S</t>
  </si>
  <si>
    <t>CONTINENTE S A</t>
  </si>
  <si>
    <t>JORGE CORTES MORA Y CIA S A S</t>
  </si>
  <si>
    <t>POLLO FIESTA S A EN CONCORDATO</t>
  </si>
  <si>
    <t>CARVAJAL EMPAQUES S.A.</t>
  </si>
  <si>
    <t>DISTRIBUCIONES PASTOR JULIO DELGADO Y CIA. LIMITADA</t>
  </si>
  <si>
    <t>INDUSTRIAL FARMACEUTICA UNION DE VERTICES DE TECNOFARMA S.A.</t>
  </si>
  <si>
    <t>POLLO ANDINO  S.A.</t>
  </si>
  <si>
    <t>COOPERATIVA DE AHORRO Y CREDITO DE SANTANDER LIMITADA</t>
  </si>
  <si>
    <t>AUTOMOTORES COMERCIALES AUTOCOM S.A.</t>
  </si>
  <si>
    <t>NESTLE PURINA PET CARE DE COLOMBIANA S A</t>
  </si>
  <si>
    <t>MERCADEO Y MODA S.A.S</t>
  </si>
  <si>
    <t>ALGARRA S A</t>
  </si>
  <si>
    <t>COMPAÑIA CAFETERA LA MESETA S.A.</t>
  </si>
  <si>
    <t>JGB S.A.</t>
  </si>
  <si>
    <t>COMERCIALIZADORA FLORALIA S.A.</t>
  </si>
  <si>
    <t>MORENO VARGAS SA</t>
  </si>
  <si>
    <t xml:space="preserve">TABLEMAC S.A. EN ACUERDO DE REESTRUCTURACION           </t>
  </si>
  <si>
    <t>MARKETING PERSONAL S.A</t>
  </si>
  <si>
    <t>POLUX SUMINISTROS S AS</t>
  </si>
  <si>
    <t>PLASTILENE S A</t>
  </si>
  <si>
    <t>H B ESTRUCTURAS METALICAS S A</t>
  </si>
  <si>
    <t>COMERTEX S.A.</t>
  </si>
  <si>
    <t>DRUMMOND COAL MINING L.L.C.</t>
  </si>
  <si>
    <t>COMPAÑIA COMERCIAL E INDUSTRIAL LA SABANA AVESCO S A</t>
  </si>
  <si>
    <t>COLOMBIANA DE TEMPORALES SOCIEDAD ANONIMA - COLTEMPORA S.A.</t>
  </si>
  <si>
    <t>O9309</t>
  </si>
  <si>
    <t>PREMEX S.A.</t>
  </si>
  <si>
    <t>NEXANS COLOMBIA S.A.</t>
  </si>
  <si>
    <t>D2731</t>
  </si>
  <si>
    <t>ELI LILLY INTERAMERICA INC</t>
  </si>
  <si>
    <t>SOCINEG S.A.</t>
  </si>
  <si>
    <t>COMERCIALIZADORA INTERNACIONAL DE LLANTAS S.A.</t>
  </si>
  <si>
    <t>COLOMBIT S A</t>
  </si>
  <si>
    <t>PROQUINAL S A</t>
  </si>
  <si>
    <t>D1749</t>
  </si>
  <si>
    <t>AZUL K S A</t>
  </si>
  <si>
    <t>TINTAS S.A.</t>
  </si>
  <si>
    <t>CRISTAR S.A.S</t>
  </si>
  <si>
    <t>BREASCOL S.A</t>
  </si>
  <si>
    <t>COUNTRY MOTORS S.A.</t>
  </si>
  <si>
    <t>AGROINDUSTRIAS DEL CAUCA</t>
  </si>
  <si>
    <t>CI GRODCO S EN CA INGENIEROS CIVILES</t>
  </si>
  <si>
    <t>PROMOTORA DE CAFE COLOMBIA S. A.</t>
  </si>
  <si>
    <t>LADRILLERA SANTA FE S A</t>
  </si>
  <si>
    <t>ENERGIZAR S.A.</t>
  </si>
  <si>
    <t>FEDCO S.A                                                                                          </t>
  </si>
  <si>
    <t>WHIRLPOOL COLOMBIA S.A.S.</t>
  </si>
  <si>
    <t>AUTO STOK S A</t>
  </si>
  <si>
    <t>ALSTOM POWER COLOMBIA S.A</t>
  </si>
  <si>
    <t>PAPELES Y CARTONES S.A</t>
  </si>
  <si>
    <t>COOPERATIVA MEDICA DEL VALLE Y DE PROFESIONALES DE COLOMBIA</t>
  </si>
  <si>
    <t>EDUARDO LONDONO E HIJOS SUCESORES S A</t>
  </si>
  <si>
    <t>PLASTICOS RIMAX SAS</t>
  </si>
  <si>
    <t>CASA BRITANICA S.A</t>
  </si>
  <si>
    <t>CAJA DE COMPENSACION FAMILIAR DE BOLIVAR - CARTAGENA</t>
  </si>
  <si>
    <t>ORGANIZACION CARDENAS S.A.</t>
  </si>
  <si>
    <t>AMAREY NOVA MEDICAL S.A.                                                                           </t>
  </si>
  <si>
    <t>C I FLORES IPANEMA LTDA</t>
  </si>
  <si>
    <t>A0112</t>
  </si>
  <si>
    <t>CAJA SANTANDEREANA DE SUBSIDIO FAMILIAR - CAJASAN</t>
  </si>
  <si>
    <t>GRUPO ALIMENTARIO DEL ATLANTICO S A</t>
  </si>
  <si>
    <t>D1512</t>
  </si>
  <si>
    <t>MECANELECTRO S.A.                                                     </t>
  </si>
  <si>
    <t>ELECTROJAPONESA S.A.</t>
  </si>
  <si>
    <t>INDUSTRIAS CANNON DE COLOMBIA S.A.</t>
  </si>
  <si>
    <t>D1741</t>
  </si>
  <si>
    <t>JOHN URIBE E HIJOS S.A.</t>
  </si>
  <si>
    <t>AVANTEL S.A.S.</t>
  </si>
  <si>
    <t>FRIOMIX DEL CAUCA S.A.</t>
  </si>
  <si>
    <t>HOTELES DECAMERON COLOMBIA S.A.</t>
  </si>
  <si>
    <t>CAMAGUEY S.A.</t>
  </si>
  <si>
    <t>DISTRIBUCIONES AXA S.A.</t>
  </si>
  <si>
    <t>FERRETERIA MULTIALAMBRES LTDA</t>
  </si>
  <si>
    <t>MANPOWER DE COLOMBIA LTDA</t>
  </si>
  <si>
    <t>DISTRIBUCIONES HERNANDEZ GOMEZ LTDA</t>
  </si>
  <si>
    <t>COMPAÑIA DE EMPAQUES S A</t>
  </si>
  <si>
    <t>PRODUCTORA DE ALAMBRES COLOMBIANOS PROALCO S A S</t>
  </si>
  <si>
    <t>DISTRIBUIDORA DE VINOS Y LICORES S A</t>
  </si>
  <si>
    <t>SOCIEDAD DE INVERSIONES EN ENERGIA S A</t>
  </si>
  <si>
    <t>MEDTRONIC LATIN AMERICA INC. SUCURSAL COLOMBIA</t>
  </si>
  <si>
    <t>G5136</t>
  </si>
  <si>
    <t>ZONA FRANCA INDUSTRIAL DE BIENES Y SERVICIOS DE BARRANQUILLA S.A.</t>
  </si>
  <si>
    <t>F4512</t>
  </si>
  <si>
    <t>COMEXTUN  LIMITADA</t>
  </si>
  <si>
    <t>B0502</t>
  </si>
  <si>
    <t>ORICA COLOMBIA S.A.S</t>
  </si>
  <si>
    <t>ADECCO SERVICIOS COLOMBIA S.A.</t>
  </si>
  <si>
    <t>P9500</t>
  </si>
  <si>
    <t>LOREAL COLOMBIA S.A.                                                                               </t>
  </si>
  <si>
    <t>HOJALATA Y LAMINADOS S.A.</t>
  </si>
  <si>
    <t>COMPAÑIA IBEROAMERICANA DE PLASTICOS S A</t>
  </si>
  <si>
    <t>MISION TEMPORAL LTDA.</t>
  </si>
  <si>
    <t>SOLUCIONES INMEDIATAS S.A.</t>
  </si>
  <si>
    <t>GAS NATURAL DEL ORIENTE SA ESP</t>
  </si>
  <si>
    <t>EFICIENCIA Y SERVICIOS S.A</t>
  </si>
  <si>
    <t>PANAMERICANA FORMAS E IMPRESOS S A</t>
  </si>
  <si>
    <t>IMPORTACIONES Y REPRESENTACIONES INDUSTRIALES  DE COLOMBIA SA</t>
  </si>
  <si>
    <t>AGROPECUARIA ALIAR S.A.</t>
  </si>
  <si>
    <t>A0125</t>
  </si>
  <si>
    <t>PRODUCTORA DE TEXTILES DE TOCANCIPA S.A.</t>
  </si>
  <si>
    <t>PROCESADORA DE LECHES S A</t>
  </si>
  <si>
    <t>COOPERATIVA DE CAFICULTORES DEL CAUCA LIMITADA</t>
  </si>
  <si>
    <t>COMPA¥IA DE SERVICIOS Y ADMINISTRACION S A SERDAN</t>
  </si>
  <si>
    <t>ALIMENTOS DEL VALLE S A</t>
  </si>
  <si>
    <t>SYNTHES COLOMBIA S.A.S</t>
  </si>
  <si>
    <t>DECORCERAMICA S.A.S.</t>
  </si>
  <si>
    <t>EL ARROZAL Y CIA S EN C</t>
  </si>
  <si>
    <t>CONSTRUVIAS DE COLOMBIA S.A.</t>
  </si>
  <si>
    <t>MELCO DE COLOMBIA LTDA</t>
  </si>
  <si>
    <t>COMFAMILIAR ATLANTICO</t>
  </si>
  <si>
    <t xml:space="preserve">COMERCIALIZADORA INTERNACIONAL SANTANDEREANA DE ACEITES S.A.S                                     </t>
  </si>
  <si>
    <t>CONSTRUCTORA ARIGUANI SAS</t>
  </si>
  <si>
    <t>EPSON COLOMBIA LTDA</t>
  </si>
  <si>
    <t>INTERQUIM S.A</t>
  </si>
  <si>
    <t>TERMOEMCALI  I  S.A. E.S.P.</t>
  </si>
  <si>
    <t>ATENTO COLOMBIA S.A.</t>
  </si>
  <si>
    <t>MOLINOS DEL ATLANTICO S. A.</t>
  </si>
  <si>
    <t>COMERCIALIZADORA INTERNACIONAL JEANS S.A.</t>
  </si>
  <si>
    <t>ERAZO VALENCIA  S A</t>
  </si>
  <si>
    <t xml:space="preserve">EMPRESA DE ENERGIA DE CASANARE SA ESP </t>
  </si>
  <si>
    <t>LISTOS S.A.S.</t>
  </si>
  <si>
    <t xml:space="preserve">NUBIOLA COLOMBIA PIGMENTOS S.A.                                                                     </t>
  </si>
  <si>
    <t>KIA PLAZA S.A.</t>
  </si>
  <si>
    <t>CAJA DE COMPENSACIÓN FAMILIAR DE LA GUAJIRA</t>
  </si>
  <si>
    <t>GE OIL &amp; GAS ESP COLOMBIA SAS</t>
  </si>
  <si>
    <t>COOPERATIVA DE CAFICULTORES DE ANTIOQUIA</t>
  </si>
  <si>
    <t>COOPERATIVA MULTIACTIVA  DE  LOS  TRABAJADORES  DE SANTANDER</t>
  </si>
  <si>
    <t>CYRGO S.A</t>
  </si>
  <si>
    <t>COMERCIALIZADORA NACIONAL COOPERATIVA</t>
  </si>
  <si>
    <t>AGROINDUSTRIALES DEL TOLIMA S.A.</t>
  </si>
  <si>
    <t>CONGELADOS AGRICOLAS S.A. - CONGELAGRO S.A.</t>
  </si>
  <si>
    <t>ALICO S.A</t>
  </si>
  <si>
    <t>TECNOMOVIL S.A.</t>
  </si>
  <si>
    <t>C &amp; C ENERGIA LLANOS LTD SUCURSAL COLOMBIA</t>
  </si>
  <si>
    <t>PROCESOS Y DISEÑOS ENERGETICOS S.A</t>
  </si>
  <si>
    <t>MANPOWER PROFESSIONAL LTDA</t>
  </si>
  <si>
    <t>EXPOGANADOS INTERNACIONAL S A S</t>
  </si>
  <si>
    <t>INVEQUIMICA S.A.-INVESA</t>
  </si>
  <si>
    <t>ALMOTORES S.A.</t>
  </si>
  <si>
    <t>GAS NATURAL CUNDIBOYACENSE SA ESP</t>
  </si>
  <si>
    <t>CELTA S A S</t>
  </si>
  <si>
    <t>CAMPESA S.A.</t>
  </si>
  <si>
    <t>CHILCO DISTRIBUIDORA DE GAS Y ENERGIA SAS ESP</t>
  </si>
  <si>
    <t>INVERSORA ANAGRAMA INVERANAGRAMA  SAS</t>
  </si>
  <si>
    <t>INVERSIONES FINANCIERAS BOLIVAR SAS</t>
  </si>
  <si>
    <t>ALIANZA MAYORISTA S.A.</t>
  </si>
  <si>
    <t>C.I. FARMACAPSULAS S.A.</t>
  </si>
  <si>
    <t>TERMOBARRANQUILLA S.A. E.S.P.</t>
  </si>
  <si>
    <t>DISTRIBUIDORA RAYCO S.A.</t>
  </si>
  <si>
    <t>G5235</t>
  </si>
  <si>
    <t>CARVAJAL ESPACIOS S.A.S</t>
  </si>
  <si>
    <t>G5162</t>
  </si>
  <si>
    <t>RUQUIM S.A.S</t>
  </si>
  <si>
    <t>INTCOMEX COLOMBIA LTDA.</t>
  </si>
  <si>
    <t>SI S.A.</t>
  </si>
  <si>
    <t>ORGANIZACION SERVICIOS Y ASESORIAS S.A.S.-</t>
  </si>
  <si>
    <t>PETREX S.A. SUCURSAL COLOMBIA</t>
  </si>
  <si>
    <t>ATIEMPO S.A.S</t>
  </si>
  <si>
    <t>CABOT COLOMBIANA S.A.                                                                              </t>
  </si>
  <si>
    <t>BLACK Y DECKER DE COLOMBIA S.A.</t>
  </si>
  <si>
    <t>CERAMICA ITALIA S.A</t>
  </si>
  <si>
    <t>ANTIOQUENA DE PORCINOS LTDA</t>
  </si>
  <si>
    <t>AMINVERSIONES S.A.</t>
  </si>
  <si>
    <t>C.I. GIRALDO &amp; DUQUE LTDA</t>
  </si>
  <si>
    <t>COMERCIALIZADORA INTERNACIONAL CONSULTORES MINEROS SAS</t>
  </si>
  <si>
    <t>CREDIVALORES-CREDISERVICIOS S.A.S</t>
  </si>
  <si>
    <t>ARAUCO COLOMBIA S A</t>
  </si>
  <si>
    <t>IMOCOM S A</t>
  </si>
  <si>
    <t>CONQUIMICA S.A.</t>
  </si>
  <si>
    <t>BRIDGESTONE DE COLOMBIANA S.A.S</t>
  </si>
  <si>
    <t>ESTYMA ESTUDIOS Y MANEJOS S.A                                        </t>
  </si>
  <si>
    <t>INDRA SISTEMAS S A  SUCURSAL COLOMBIA</t>
  </si>
  <si>
    <t>COLVISEG, COLOMBIANA DE VIGILANCIA Y SEGURIDAD LTDA.</t>
  </si>
  <si>
    <t>COOPERATIVA DE HOSPITALES DE ANTIOQUIA</t>
  </si>
  <si>
    <t>CONTROLES EMPRESARIALES LTDA</t>
  </si>
  <si>
    <t>C &amp; F INTERNATIONAL S.A.S</t>
  </si>
  <si>
    <t>CANAL DIGITAL S.A.</t>
  </si>
  <si>
    <t>GASES DEL LLANO S.A EMPRESA DE SERVICIOS PUBLICOS</t>
  </si>
  <si>
    <t>TUSCANY SOUTHAMERICA LTD</t>
  </si>
  <si>
    <t>COMPAÑIA COMERCIAL UNIVERSAL S.A</t>
  </si>
  <si>
    <t>CLINICA DE MARLY S A</t>
  </si>
  <si>
    <t>COMPAóIA AUTOMOTRIZ DIESEL S.A. CODIESEL S.A.</t>
  </si>
  <si>
    <t>PROYECTOS DE INFRAESTRUCTURA S.A.</t>
  </si>
  <si>
    <t>COMERCIALIZADORA DEL CAFE S.A.S. E.S.P.</t>
  </si>
  <si>
    <t>A LAUMAYER Y COMPAÑIA EXPORTADORES DE CAFE S.A.</t>
  </si>
  <si>
    <t>LOCERIA COLOMBIANA S A</t>
  </si>
  <si>
    <t>COMESTIBLES RICOS  SOCIEDAD ANONIMA</t>
  </si>
  <si>
    <t>Compañía Transportadora de Valores Prosegur de Colombia S.A.</t>
  </si>
  <si>
    <t>LABORATORIOS BIOPAS S.A.</t>
  </si>
  <si>
    <t>ACUEDUCTO METROPOLITANO DE BUCARAMANGA S. A. E.S.P.</t>
  </si>
  <si>
    <t>COOPERATIVA DE CAFICULTORES DE SALGAR LTDA.</t>
  </si>
  <si>
    <t>FORSA S A</t>
  </si>
  <si>
    <t>S C JOHNSON Y SON COLOMBIANA S A</t>
  </si>
  <si>
    <t>COMERCIALIZADORA BALDINI S.A.</t>
  </si>
  <si>
    <t>CONFIPETROL S.A.</t>
  </si>
  <si>
    <t>VALOREM S.A.</t>
  </si>
  <si>
    <t>CUSEZAR S A</t>
  </si>
  <si>
    <t>COL  WAGEN S.A</t>
  </si>
  <si>
    <t>VENUS COLOMBIANA S A</t>
  </si>
  <si>
    <t>D1922</t>
  </si>
  <si>
    <t>CROWN COLOMBIANA S.A.</t>
  </si>
  <si>
    <t>COOPERATIVA CENTRAL DE CAFICULTORES DEL HUILA LTDA.</t>
  </si>
  <si>
    <t>HONOR SERVICIOS DE SEGURIDAD LTDA.</t>
  </si>
  <si>
    <t>COMERCIALIZADORA HOMAZ S.A.S.</t>
  </si>
  <si>
    <t>BRISTOL MYERS SQUIBB DE COLOMBIA S.A.</t>
  </si>
  <si>
    <t>COMERCIALIZADORA LA BONANZA S.A.S</t>
  </si>
  <si>
    <t>DISTRIBUIDORA NACIONAL COOPERATIVA MULTIACTIVA</t>
  </si>
  <si>
    <t>PHARMETIQUE S.A.</t>
  </si>
  <si>
    <t>VITROFARMA S.A.</t>
  </si>
  <si>
    <t>MOTORES Y MAQUINAS S A</t>
  </si>
  <si>
    <t>TELECENTER PANAMERICANA LTDA</t>
  </si>
  <si>
    <t>COOPERATIVA DE TRABAJO ASOCIADO SERVICOPAVA</t>
  </si>
  <si>
    <t>BRANCH OF MICROSOFT COLOMBIA INC</t>
  </si>
  <si>
    <t>K7220</t>
  </si>
  <si>
    <t>VEHICULOS DE LA COSTA S.A.S                                                                         </t>
  </si>
  <si>
    <t>C.I. CARBOCOQUE S.A.</t>
  </si>
  <si>
    <t>COOPERATIVA MULTIACTIVA DE DETALLISTAS DE COLOMBIA</t>
  </si>
  <si>
    <t>EFECTIVO LTDA</t>
  </si>
  <si>
    <t>TERMOCANDELARIA SOCIEDAD EN COMANDITA POR ACCIONES EMPRESA DE SERVICIOS PUBLICOS</t>
  </si>
  <si>
    <t>GENERAL MEDICA DE COLOMBIA S. A.</t>
  </si>
  <si>
    <t>CASA DE LA VALVULA LTDA</t>
  </si>
  <si>
    <t>FIRMENICH S A</t>
  </si>
  <si>
    <t>CENTRAL DE HIERROS LTDA</t>
  </si>
  <si>
    <t>RODRIGUEZ Y LONDO¥O S.A.</t>
  </si>
  <si>
    <t>CENTRO AUTOMOTOR DIESEL S A</t>
  </si>
  <si>
    <t>TALENTUM TEMPORAL SAS</t>
  </si>
  <si>
    <t>NATIONAL OILWELL VARCO  DE COLOMBIA</t>
  </si>
  <si>
    <t>OFIXPRES S.A.S</t>
  </si>
  <si>
    <t>IDECAMPO S.A.S.</t>
  </si>
  <si>
    <t>SCANDINAVIA PHARMA LTDA.</t>
  </si>
  <si>
    <t>VILLEGAS Y CIA S C S</t>
  </si>
  <si>
    <t>AYURA MOTOR S A</t>
  </si>
  <si>
    <t>INDRA COLOMBIA LTDA</t>
  </si>
  <si>
    <t>OIL BUSINESS SERVICES LTDA</t>
  </si>
  <si>
    <t>K7121</t>
  </si>
  <si>
    <t>CONSTRUCTORA CARLOS COLLINS S.A.</t>
  </si>
  <si>
    <t>RESTCAFE OMA S A S</t>
  </si>
  <si>
    <t>COMESTIBLES DAN S.A</t>
  </si>
  <si>
    <t>CAJA DE COMPENSACION FAMILIAR DE FENALCO-SECCIONAL QUINDIO</t>
  </si>
  <si>
    <t>BELLEZA EXPRESS S.A.</t>
  </si>
  <si>
    <t>COMFACHOCO</t>
  </si>
  <si>
    <t>TETRA PAK LTDA</t>
  </si>
  <si>
    <t>INFRAESTRUCTURA CELULAR COLOMBIANA SA ESP</t>
  </si>
  <si>
    <t>DAR AYUDA TEMPORAL S.A.</t>
  </si>
  <si>
    <t>ALCATEL  LUCENT DE COLOMBIA S.A.</t>
  </si>
  <si>
    <t>SOCIEDAD DE INVERSIONES DE LA COSTA PACIFICA S.A.</t>
  </si>
  <si>
    <t>BUSCAR DE COLOMBIA S.A</t>
  </si>
  <si>
    <t>D3420</t>
  </si>
  <si>
    <t>OCUPAR TEMPORALES S.A</t>
  </si>
  <si>
    <t>MINIPAK S A S</t>
  </si>
  <si>
    <t>A.C.I. PROYECTOS S.A.</t>
  </si>
  <si>
    <t>AGROEXPORT DE COLOMBIA S A S</t>
  </si>
  <si>
    <t>EMPRESAS LA POLAR SAS</t>
  </si>
  <si>
    <t>HL COMBUSTIBLES SA</t>
  </si>
  <si>
    <t>RAYOVAC - VARTA S.A.</t>
  </si>
  <si>
    <t>SURTIFAMILIAR SA</t>
  </si>
  <si>
    <t>JARAMILLO MORA S.A.</t>
  </si>
  <si>
    <t>SANFORD COLOMBIA  S A</t>
  </si>
  <si>
    <t>I SHOP COLOMBIA SAS</t>
  </si>
  <si>
    <t>IPG MEDIABRANDS S.A</t>
  </si>
  <si>
    <t>AGROINDUSTRIAL MOLINO SONORA A.P. S.A.S.</t>
  </si>
  <si>
    <t>AUTOTROPICAL S.A</t>
  </si>
  <si>
    <t>LABORATORIOS SYNTHESIS  SAS</t>
  </si>
  <si>
    <t>CARVAJAL SOLUCIONES DE COMUNICACION S.A.S.</t>
  </si>
  <si>
    <t>Empresa de energia de Bta SA ESP</t>
  </si>
  <si>
    <t>PROMOTORA MONTECARLO VIAS S A</t>
  </si>
  <si>
    <t>MINAS PAZ DEL RIO S.A.</t>
  </si>
  <si>
    <t>C1490</t>
  </si>
  <si>
    <t>BECTON DICKINSON DE COLOMBIA LTDA</t>
  </si>
  <si>
    <t>TRANSGAS DE OCCIDENTE S.A.</t>
  </si>
  <si>
    <t>COMERCIALIZADORA  MERCALDAS S.A.</t>
  </si>
  <si>
    <t>AMTEX S.A.</t>
  </si>
  <si>
    <t>AUTOPACIFICO S.A</t>
  </si>
  <si>
    <t>EL COLOMBIANO S.A Y CIA. S.C.A</t>
  </si>
  <si>
    <t>D2212</t>
  </si>
  <si>
    <t>CORPORACION DE FERIAS Y EXPOSICIONES S A</t>
  </si>
  <si>
    <t>NUTRIENTES AVICOLAS S.A.</t>
  </si>
  <si>
    <t>ETERNIT COLOMBIANA S.A.</t>
  </si>
  <si>
    <t>CROYDON COLOMBIA S.A.</t>
  </si>
  <si>
    <t>RENDIFIN S.A.</t>
  </si>
  <si>
    <t>FLAMINGO OIL  S A</t>
  </si>
  <si>
    <t>EMPRESA DE TELECOMUNICACIONES DE PEREIRA S.A.</t>
  </si>
  <si>
    <t>ABASTECEMOS DE OCCIDENTE S A</t>
  </si>
  <si>
    <t>CONSTRUCCIONES CIVILES S A</t>
  </si>
  <si>
    <t>EVEREADY DE COLOMBIA S.A.</t>
  </si>
  <si>
    <t>ARME S.A.</t>
  </si>
  <si>
    <t>TIEMPOS S. A.</t>
  </si>
  <si>
    <t>ARQUITECTURA Y CONCRETO S A</t>
  </si>
  <si>
    <t>F4559</t>
  </si>
  <si>
    <t>HUMBERTO QUINTERO O Y CIA SCA</t>
  </si>
  <si>
    <t>ACAO INFORMATICA BRASIL LTDA SUCURSAL COLOMBIA</t>
  </si>
  <si>
    <t>P P G INDUSTRIES COLOMBIA LTDA</t>
  </si>
  <si>
    <t>G5142</t>
  </si>
  <si>
    <t>JIRO S.A</t>
  </si>
  <si>
    <t>A B S RED ASSIST COMPAÑIA DE ASISTENCIA MUNDIAL  S.A</t>
  </si>
  <si>
    <t>AC NIELSEN DE COLOMBIA LTDA</t>
  </si>
  <si>
    <t>K7320</t>
  </si>
  <si>
    <t>JANNA MOTORS S.A.</t>
  </si>
  <si>
    <t>IVAN BOTERO GOMEZ S.A.</t>
  </si>
  <si>
    <t>LUKOIL OVERSEAS COLOMBIA LTD</t>
  </si>
  <si>
    <t>H L INGENIEROS S A</t>
  </si>
  <si>
    <t>AMARILO S.A.S</t>
  </si>
  <si>
    <t>COMFAORIENTE</t>
  </si>
  <si>
    <t>VEHICULOS DEL CAMINO LIMITADA</t>
  </si>
  <si>
    <t>DHL  GLOBAL FORWARDING (COLOMBIA) LTDA.</t>
  </si>
  <si>
    <t>I6111</t>
  </si>
  <si>
    <t>INDUSTRIA DE ALIMENTOS ZENU S.A.S.</t>
  </si>
  <si>
    <t>O- TEK INTERNACIONAL S.A.</t>
  </si>
  <si>
    <t>MERCAMIO S.A.</t>
  </si>
  <si>
    <t>INDUSTRIAS SPRING S A</t>
  </si>
  <si>
    <t>D3614</t>
  </si>
  <si>
    <t>CARLOS SARMIENTO L.&amp; CIA. INGENIO SANCARLOS S.A.</t>
  </si>
  <si>
    <t>ESTUDIO DE MODA S.A.</t>
  </si>
  <si>
    <t>SOLDADURAS WEST ARCO LIMITADA</t>
  </si>
  <si>
    <t>LANDERS Y CIA S A</t>
  </si>
  <si>
    <t>NUTRICION DE PLANTAS S.A.</t>
  </si>
  <si>
    <t>INGENIEROS CONSULTORES CIVILES Y ELECTRICOS S A</t>
  </si>
  <si>
    <t>SOLETANCHE BACHY CIMAS S A</t>
  </si>
  <si>
    <t>KIMBERLY  CLARK ANTIOQUIA GLOBAL LTDA</t>
  </si>
  <si>
    <t>TCS SOLUTION CENTER SUCURSAL COLOMBIA</t>
  </si>
  <si>
    <t>COOPERATIVA DE CAFICULTORES DE MANIZALES</t>
  </si>
  <si>
    <t>EXTRACTORA CENTRAL S.A.</t>
  </si>
  <si>
    <t>VALLECILLA B VALLECILLA M &amp; CIA S.C.A. CARVAL DE COLOMBIA</t>
  </si>
  <si>
    <t>ELECTROLUX S.A.</t>
  </si>
  <si>
    <t>QUAD GRAPHICS COLOMBIA S A</t>
  </si>
  <si>
    <t>EMPOLLADORA COLOMBIANA SA</t>
  </si>
  <si>
    <t>MEAD JOHNSON NUTRITION COLOMBIA LTDA</t>
  </si>
  <si>
    <t>AMCOR RIGID PLASTICS DE COLOMBIA S.A.</t>
  </si>
  <si>
    <t>LENOVO (ASIA PACIFIC) LIMITED SUCURSALCOLOMBIA</t>
  </si>
  <si>
    <t>ISOLUX INGENIERIA S.A. SUCURSAL COLOMBIA</t>
  </si>
  <si>
    <t>PUBLICACIONES SEMANA S.A.</t>
  </si>
  <si>
    <t>TEXCOMERCIAL S A</t>
  </si>
  <si>
    <t>G5139</t>
  </si>
  <si>
    <t>PELAEZ HERMANOS S.A.</t>
  </si>
  <si>
    <t>INCOLBESTOS S.A.</t>
  </si>
  <si>
    <t>INMOBILIARIA CARBONE &amp; ASOCIADOS S.C.A.</t>
  </si>
  <si>
    <t>PRIMATELA S.A</t>
  </si>
  <si>
    <t>RAFAEL DEL CASTILLO Y CIA S.A.</t>
  </si>
  <si>
    <t>HUNTSMAN COLOMBIA LTDA</t>
  </si>
  <si>
    <t>NTS NATIONAL TRUCK SERVICE SA</t>
  </si>
  <si>
    <t>PRODUCTOS LACTEOS EL RECREO S.A</t>
  </si>
  <si>
    <t>GRUPO SEVIMUR S.A.S.</t>
  </si>
  <si>
    <t>ACCIONA INFRAESTRUCTURAS S A SUCURSAL COLOMBIA</t>
  </si>
  <si>
    <t>CARBONES ANDINOS SAS</t>
  </si>
  <si>
    <t>TYCO ELECTRONICS COLOMBIA LTDA</t>
  </si>
  <si>
    <t>COFREM</t>
  </si>
  <si>
    <t>QUORUM COMPUTER DE COLOMBIA LTDA</t>
  </si>
  <si>
    <t>ETERNA S.A.</t>
  </si>
  <si>
    <t>D2519</t>
  </si>
  <si>
    <t>MODA SOFISTICADA  SAS</t>
  </si>
  <si>
    <t>SAE EXPLORATION INC SUCURSAL COLOMBIANA.</t>
  </si>
  <si>
    <t>MISION EMPRESARIAL S.A. SERVICIOS TEMPORALES</t>
  </si>
  <si>
    <t>HIERROS HB S.A.</t>
  </si>
  <si>
    <t>NATURA COSMETICOS LTDA</t>
  </si>
  <si>
    <t>PLASTICOS ESPECIALES S.A.</t>
  </si>
  <si>
    <t>LITOPLAS S.A.</t>
  </si>
  <si>
    <t>INDUSTRIAS PUROPOLLO S.A.</t>
  </si>
  <si>
    <t>SUPERMERCADOS EL RENDIDOR S.A.</t>
  </si>
  <si>
    <t>AGAVAL S.A.</t>
  </si>
  <si>
    <t>FINANZAUTO FACTORING S.A.</t>
  </si>
  <si>
    <t>CUMMINS DE LOS ANDES S.A.</t>
  </si>
  <si>
    <t>CAROIL S.A. SUCURSAL COLOMBIA</t>
  </si>
  <si>
    <t>OSTER DE COLOMBIA LTDA</t>
  </si>
  <si>
    <t>COMFACUNDI</t>
  </si>
  <si>
    <t>CEMENTOS TEQUENDAMA S.A.S.</t>
  </si>
  <si>
    <t>MASTERFOODS COLOMBIA LTDA-EFFEM COLOMBIA LTDA.</t>
  </si>
  <si>
    <t>SUMINISTROS Y DOTACIONES PERMANENTES DE LA COSTA ATLANTICA LTDA</t>
  </si>
  <si>
    <t>COASPHARMA SAS</t>
  </si>
  <si>
    <t>FROSST LABORATORIES INC</t>
  </si>
  <si>
    <t>INGENIERIA SUMINISTROS Y REPRESENTACIONES DE COLOMBIA LTDA..</t>
  </si>
  <si>
    <t>G5113</t>
  </si>
  <si>
    <t>SISTEMAS Y COMPUTADORES S.A.</t>
  </si>
  <si>
    <t>K7230</t>
  </si>
  <si>
    <t>INMACULADA GUADALUPE Y AMIGOS EN CIA S.A.</t>
  </si>
  <si>
    <t>HILANDERIAS UNIVERSAL S.A.S. UNIHILO</t>
  </si>
  <si>
    <t>D1710</t>
  </si>
  <si>
    <t>COMPAÑIA COLOMBIANA DE SERVICIOS DE VALOR AGREGADO Y TELEMATICOS COLVATEL S A  ESP</t>
  </si>
  <si>
    <t>CASTRO TCHERASSI S A</t>
  </si>
  <si>
    <t>SUMATEC S.A.</t>
  </si>
  <si>
    <t>COVAL COMERCIAL S A</t>
  </si>
  <si>
    <t>FABRICA DE BOLSAS DE PAPEL UNIBOL S.A.</t>
  </si>
  <si>
    <t>VISION &amp; MARKETING S.A.S.</t>
  </si>
  <si>
    <t>C.I. TOYOTA TSUSHO DE COLOMBIA S.A.</t>
  </si>
  <si>
    <t>DISTRILECHE S.A.</t>
  </si>
  <si>
    <t>AGM SALUD COOPERATIVA  DE  TRABAJO  ASOCIADO</t>
  </si>
  <si>
    <t xml:space="preserve">INGENIO CARMELITA S.A.                                                                              </t>
  </si>
  <si>
    <t>COMPAÑIA DSIERRA HUILA S.A.S</t>
  </si>
  <si>
    <t>PRODUCTORES DE ENVASES FARMACEUTICOS S A S PROENFAR S AS</t>
  </si>
  <si>
    <t>LABORATORIOS SIEGFRIED S.A.S.</t>
  </si>
  <si>
    <t>COMPUMAX COMPUTER SAS</t>
  </si>
  <si>
    <t>UNIPLES S.A.</t>
  </si>
  <si>
    <t>FENIX CONSTRUCCIONES S.A.</t>
  </si>
  <si>
    <t>GABRIEL DE COLOMBIA S A</t>
  </si>
  <si>
    <t>CADENA S.A</t>
  </si>
  <si>
    <t>DISTRIBUIDORA LA SULTANA DEL VALLE S.A.</t>
  </si>
  <si>
    <t>AUTO UNION SA</t>
  </si>
  <si>
    <t>SURTIFRUVER DE LA SABANA LTDA</t>
  </si>
  <si>
    <t>G5221</t>
  </si>
  <si>
    <t>COOPERATIVA DEPARTAMENTAL DE CAFICULTORES DEL RDA.LTDA.</t>
  </si>
  <si>
    <t>DON POLLO S.A.</t>
  </si>
  <si>
    <t>TEMPO LTDA</t>
  </si>
  <si>
    <t>CONSTRUIRTE  S A</t>
  </si>
  <si>
    <t>MEJIA Y CIA S.A.</t>
  </si>
  <si>
    <t>PINTU ENCHAPES S.A.</t>
  </si>
  <si>
    <t>MATTEL COLOMBIA S A</t>
  </si>
  <si>
    <t>MAC CENTER COLOMBIA SOCIEDAD POR ACCIONES SIMPLIFICADA</t>
  </si>
  <si>
    <t>COOPERATIVA DE PRODUCTOS LACTEOS DE NARINO LTDA</t>
  </si>
  <si>
    <t>VIDRIO ANDINO COLOMBIA LTDA</t>
  </si>
  <si>
    <t>GRANITOS Y MARMOLES S A</t>
  </si>
  <si>
    <t>D2696</t>
  </si>
  <si>
    <t>SUPERMERCADO LA GRAN COLOMBIA S.A.</t>
  </si>
  <si>
    <t>AGRICOLA SARA PALMA S.A.</t>
  </si>
  <si>
    <t>A0113</t>
  </si>
  <si>
    <t>SUTEX S.A.S.</t>
  </si>
  <si>
    <t>NORCONTROL COLOMBIA LTDA</t>
  </si>
  <si>
    <t>WINTHROP PHARMACEUTICALS DE COLOMBIA S.A.</t>
  </si>
  <si>
    <t>COMERCIALIZADORA INTERNACIONAL EXPOFARO S.A.S</t>
  </si>
  <si>
    <t>G5132</t>
  </si>
  <si>
    <t>DIGITEX INTERNACIONAL LTDA</t>
  </si>
  <si>
    <t>DATECSA S.A.</t>
  </si>
  <si>
    <t>BEIERSDORF S.A</t>
  </si>
  <si>
    <t>PACIFIC RUBIALES ENERGY CORP. *</t>
  </si>
  <si>
    <t>* No incluída en el análisis por presentar información bajo estándares internacionales de información financiera  (los valores fueron tranformados)</t>
  </si>
  <si>
    <t>Las cuenta de ER se pasaron a pesos utilizando la TRM promedio del año 2013 (1868,9) y las cuenta de BG se paso a pesos utilizando la TRM del fin del mes de diciembre del año 2013 (1926,83)</t>
  </si>
  <si>
    <t>PUESTO GLOBAL</t>
  </si>
  <si>
    <t>PUESTO MACROSECTOR</t>
  </si>
  <si>
    <t>Ingresos Operacionales 2013</t>
  </si>
  <si>
    <t>Ganancias y Perdidas 2013</t>
  </si>
  <si>
    <t>Total Activo 2013</t>
  </si>
  <si>
    <t>Total Pasivo 2013</t>
  </si>
  <si>
    <t>Total Patrimonio 2013</t>
  </si>
  <si>
    <t>Ingresos Operacionales 2012</t>
  </si>
  <si>
    <t>Ganancias y Perdidas 2012</t>
  </si>
  <si>
    <t>Total Activo 2012</t>
  </si>
  <si>
    <t>Total Pasivo 2012</t>
  </si>
  <si>
    <t>Total Patrimonio 2012</t>
  </si>
  <si>
    <t>Fuente:</t>
  </si>
  <si>
    <t>Superintendencia de Sociedades Mayo de 2014</t>
  </si>
  <si>
    <t xml:space="preserve">CONSORCIO METALURGICO NACIONAL LTDA.                                   </t>
  </si>
  <si>
    <t>DRYPERS ANDINA S.A.</t>
  </si>
  <si>
    <t>AUTOLARTE S A</t>
  </si>
  <si>
    <t>ASTRAZENECA COLOMBIA S A</t>
  </si>
  <si>
    <t>INDUSTRIAS INCA  S.A.</t>
  </si>
  <si>
    <t>AUTOSUPERIOR SAS</t>
  </si>
  <si>
    <t>UPSIDE</t>
  </si>
  <si>
    <t>Fuente: Bloomerg, Cálculos propios</t>
  </si>
  <si>
    <t>Valor teórico con el promedio del sector</t>
  </si>
  <si>
    <t>UPA</t>
  </si>
  <si>
    <t># Acciones en circulación</t>
  </si>
  <si>
    <t>FCA</t>
  </si>
  <si>
    <t>EV/acciones</t>
  </si>
  <si>
    <t>Vr acción  calculado</t>
  </si>
  <si>
    <t xml:space="preserve">% UP/Downside potencial Precio Valoración </t>
  </si>
  <si>
    <t>Utilidad Neta 2013</t>
  </si>
  <si>
    <t>Flujo de Caja 2013</t>
  </si>
  <si>
    <t>EV 2013</t>
  </si>
  <si>
    <t>EBITDA 2013 (Construcción)</t>
  </si>
  <si>
    <t>P/CF</t>
  </si>
  <si>
    <t>PER</t>
  </si>
  <si>
    <t>Dividend Yield</t>
  </si>
  <si>
    <t>Dividendo</t>
  </si>
  <si>
    <t>P/EV</t>
  </si>
  <si>
    <t>MULTIPLOS</t>
  </si>
  <si>
    <t>ELCONDOR</t>
  </si>
  <si>
    <t>VLR POR ACCIÓN</t>
  </si>
  <si>
    <t>PROMEDIO</t>
  </si>
  <si>
    <t>Promedio</t>
  </si>
  <si>
    <t>EV/Ventas</t>
  </si>
  <si>
    <t>P/Ventas</t>
  </si>
  <si>
    <t>CONCONCRETO</t>
  </si>
  <si>
    <t>Valor Accion a 31/12/13 ($1.295)</t>
  </si>
  <si>
    <t>Vr acción a 31/12/13</t>
  </si>
  <si>
    <t>% UP/Downside potencial  Precio a 31/12/13</t>
  </si>
  <si>
    <t>Activos Fijos</t>
  </si>
  <si>
    <t>Inversiones</t>
  </si>
  <si>
    <t>ingresos operacionales</t>
  </si>
  <si>
    <t>costos operacionales</t>
  </si>
  <si>
    <t>UTILIDAD OPERACIONAL/INGRESOS OPERACIONALES</t>
  </si>
  <si>
    <t>DOWSIDE</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</si>
</sst>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8" formatCode="&quot;$&quot;\ #,##0.00_);[Red]\(&quot;$&quot;\ #,##0.00\)"/>
    <numFmt numFmtId="44" formatCode="_(&quot;$&quot;\ * #,##0.00_);_(&quot;$&quot;\ * \(#,##0.00\);_(&quot;$&quot;\ * &quot;-&quot;??_);_(@_)"/>
    <numFmt numFmtId="43" formatCode="_(* #,##0.00_);_(* \(#,##0.00\);_(* &quot;-&quot;??_);_(@_)"/>
    <numFmt numFmtId="164" formatCode="_-* #,##0.00_-;\-* #,##0.00_-;_-* &quot;-&quot;??_-;_-@_-"/>
    <numFmt numFmtId="165" formatCode="_(* #,##0_);_(* \(#,##0\);_(* &quot;-&quot;??_);_(@_)"/>
    <numFmt numFmtId="166" formatCode="0.0%"/>
    <numFmt numFmtId="167" formatCode="[$-C0A]d\-mmm\-yy;@"/>
    <numFmt numFmtId="168" formatCode="[$-409]d\-m\-yy\ h:mm\ AM/PM;@"/>
    <numFmt numFmtId="169" formatCode="_(* #,##0.000_);_(* \(#,##0.000\);_(* &quot;-&quot;??_);_(@_)"/>
    <numFmt numFmtId="170" formatCode="_(* #,##0_);_(* \(#,##0\);_(* &quot;-&quot;?_);_(@_)"/>
    <numFmt numFmtId="171" formatCode="_(&quot;$&quot;\ * #,##0_);_(&quot;$&quot;\ * \(#,##0\);_(&quot;$&quot;\ * &quot;-&quot;??_);_(@_)"/>
    <numFmt numFmtId="172" formatCode="0_)"/>
    <numFmt numFmtId="173" formatCode="_(&quot;$&quot;\ * #,##0.000_);_(&quot;$&quot;\ * \(#,##0.000\);_(&quot;$&quot;\ * &quot;-&quot;??_);_(@_)"/>
    <numFmt numFmtId="174" formatCode="_(* #,##0.0_);_(* \(#,##0.0\);_(* &quot;-&quot;??_);_(@_)"/>
    <numFmt numFmtId="175" formatCode="0.0"/>
    <numFmt numFmtId="176" formatCode="0_);\(0\)"/>
    <numFmt numFmtId="177" formatCode="_(* #,##0.0000_);_(* \(#,##0.0000\);_(* &quot;-&quot;??_);_(@_)"/>
    <numFmt numFmtId="178" formatCode="#,##0.000"/>
  </numFmts>
  <fonts count="57" x14ac:knownFonts="1">
    <font>
      <sz val="11"/>
      <color theme="1"/>
      <name val="Calibri"/>
      <family val="2"/>
      <scheme val="minor"/>
    </font>
    <font>
      <sz val="11"/>
      <color theme="1"/>
      <name val="Calibri"/>
      <family val="2"/>
      <scheme val="minor"/>
    </font>
    <font>
      <b/>
      <sz val="11"/>
      <name val="Calibri"/>
      <family val="2"/>
      <scheme val="minor"/>
    </font>
    <font>
      <sz val="11"/>
      <color theme="2" tint="-0.749992370372631"/>
      <name val="Calibri"/>
      <family val="2"/>
      <scheme val="minor"/>
    </font>
    <font>
      <b/>
      <u/>
      <sz val="11"/>
      <color theme="2" tint="-0.749992370372631"/>
      <name val="Calibri"/>
      <family val="2"/>
      <scheme val="minor"/>
    </font>
    <font>
      <b/>
      <sz val="11"/>
      <color theme="2" tint="-0.749992370372631"/>
      <name val="Calibri"/>
      <family val="2"/>
      <scheme val="minor"/>
    </font>
    <font>
      <sz val="9"/>
      <color theme="1"/>
      <name val="Verdana"/>
      <family val="2"/>
    </font>
    <font>
      <sz val="10"/>
      <color theme="1"/>
      <name val="Calibri"/>
      <family val="2"/>
      <scheme val="minor"/>
    </font>
    <font>
      <b/>
      <sz val="14"/>
      <color theme="0"/>
      <name val="Calibri"/>
      <family val="2"/>
      <scheme val="minor"/>
    </font>
    <font>
      <u/>
      <sz val="11"/>
      <color theme="10"/>
      <name val="Calibri"/>
      <family val="2"/>
      <scheme val="minor"/>
    </font>
    <font>
      <sz val="10"/>
      <name val="Calibri"/>
      <family val="2"/>
      <scheme val="minor"/>
    </font>
    <font>
      <b/>
      <sz val="8"/>
      <color indexed="81"/>
      <name val="Tahoma"/>
      <family val="2"/>
    </font>
    <font>
      <sz val="8"/>
      <color indexed="81"/>
      <name val="Tahoma"/>
      <family val="2"/>
    </font>
    <font>
      <b/>
      <sz val="10"/>
      <color theme="0"/>
      <name val="Calibri"/>
      <family val="2"/>
      <scheme val="minor"/>
    </font>
    <font>
      <u/>
      <sz val="10"/>
      <color indexed="12"/>
      <name val="Arial"/>
      <family val="2"/>
    </font>
    <font>
      <sz val="10"/>
      <name val="Arial"/>
      <family val="2"/>
    </font>
    <font>
      <sz val="8"/>
      <color theme="1"/>
      <name val="Calibri"/>
      <family val="2"/>
      <scheme val="minor"/>
    </font>
    <font>
      <u/>
      <sz val="10"/>
      <name val="Arial"/>
      <family val="2"/>
    </font>
    <font>
      <b/>
      <sz val="11"/>
      <color theme="0"/>
      <name val="Calibri"/>
      <family val="2"/>
      <scheme val="minor"/>
    </font>
    <font>
      <sz val="11"/>
      <color theme="0"/>
      <name val="Calibri"/>
      <family val="2"/>
      <scheme val="minor"/>
    </font>
    <font>
      <sz val="11"/>
      <color rgb="FF0070C0"/>
      <name val="Calibri"/>
      <family val="2"/>
      <scheme val="minor"/>
    </font>
    <font>
      <b/>
      <sz val="10"/>
      <color theme="1"/>
      <name val="Calibri"/>
      <family val="2"/>
      <scheme val="minor"/>
    </font>
    <font>
      <sz val="11"/>
      <name val="Calibri"/>
      <family val="2"/>
      <scheme val="minor"/>
    </font>
    <font>
      <b/>
      <sz val="14"/>
      <color theme="2" tint="-0.749992370372631"/>
      <name val="Calibri"/>
      <family val="2"/>
      <scheme val="minor"/>
    </font>
    <font>
      <sz val="10"/>
      <color theme="0"/>
      <name val="Calibri"/>
      <family val="2"/>
      <scheme val="minor"/>
    </font>
    <font>
      <b/>
      <sz val="11"/>
      <color theme="1"/>
      <name val="Calibri"/>
      <family val="2"/>
      <scheme val="minor"/>
    </font>
    <font>
      <b/>
      <sz val="10"/>
      <color theme="2" tint="-0.499984740745262"/>
      <name val="Calibri"/>
      <family val="2"/>
      <scheme val="minor"/>
    </font>
    <font>
      <b/>
      <sz val="10"/>
      <color theme="6"/>
      <name val="Calibri"/>
      <family val="2"/>
      <scheme val="minor"/>
    </font>
    <font>
      <b/>
      <sz val="11"/>
      <color theme="6"/>
      <name val="Calibri"/>
      <family val="2"/>
      <scheme val="minor"/>
    </font>
    <font>
      <b/>
      <sz val="10"/>
      <color theme="2" tint="-0.749992370372631"/>
      <name val="Calibri"/>
      <family val="2"/>
      <scheme val="minor"/>
    </font>
    <font>
      <b/>
      <sz val="8"/>
      <color theme="2" tint="-0.499984740745262"/>
      <name val="Calibri"/>
      <family val="2"/>
      <scheme val="minor"/>
    </font>
    <font>
      <u/>
      <sz val="8"/>
      <color theme="10"/>
      <name val="Calibri"/>
      <family val="2"/>
      <scheme val="minor"/>
    </font>
    <font>
      <b/>
      <sz val="10"/>
      <name val="Calibri"/>
      <family val="2"/>
      <scheme val="minor"/>
    </font>
    <font>
      <sz val="10"/>
      <color indexed="23"/>
      <name val="Calibri"/>
      <family val="2"/>
      <scheme val="minor"/>
    </font>
    <font>
      <b/>
      <sz val="11"/>
      <color rgb="FFCC00CC"/>
      <name val="Calibri"/>
      <family val="2"/>
      <scheme val="minor"/>
    </font>
    <font>
      <b/>
      <sz val="11"/>
      <color theme="1"/>
      <name val="Arial"/>
      <family val="2"/>
    </font>
    <font>
      <sz val="9"/>
      <color theme="1"/>
      <name val="Calibri"/>
      <family val="2"/>
      <scheme val="minor"/>
    </font>
    <font>
      <b/>
      <sz val="11"/>
      <color indexed="8"/>
      <name val="Calibri"/>
      <family val="2"/>
      <scheme val="minor"/>
    </font>
    <font>
      <b/>
      <sz val="12"/>
      <color theme="2" tint="-0.749992370372631"/>
      <name val="Calibri"/>
      <family val="2"/>
      <scheme val="minor"/>
    </font>
    <font>
      <b/>
      <u/>
      <sz val="14"/>
      <color theme="2" tint="-0.74999237037263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i/>
      <sz val="10"/>
      <name val="Verdana"/>
      <family val="2"/>
    </font>
    <font>
      <b/>
      <u/>
      <sz val="8"/>
      <color theme="2" tint="-0.749992370372631"/>
      <name val="Calibri"/>
      <family val="2"/>
      <scheme val="minor"/>
    </font>
    <font>
      <b/>
      <sz val="9"/>
      <color indexed="81"/>
      <name val="Tahoma"/>
      <family val="2"/>
    </font>
    <font>
      <sz val="9"/>
      <color indexed="81"/>
      <name val="Tahoma"/>
      <family val="2"/>
    </font>
    <font>
      <b/>
      <u/>
      <sz val="11"/>
      <color theme="3"/>
      <name val="Calibri"/>
      <family val="2"/>
      <scheme val="minor"/>
    </font>
    <font>
      <b/>
      <u/>
      <sz val="10"/>
      <color theme="2" tint="-0.749992370372631"/>
      <name val="Calibri"/>
      <family val="2"/>
      <scheme val="minor"/>
    </font>
    <font>
      <b/>
      <sz val="11"/>
      <color theme="3"/>
      <name val="Calibri"/>
      <family val="2"/>
      <scheme val="minor"/>
    </font>
    <font>
      <b/>
      <sz val="14"/>
      <color rgb="FF0070C0"/>
      <name val="Calibri"/>
      <family val="2"/>
      <scheme val="minor"/>
    </font>
    <font>
      <b/>
      <sz val="11"/>
      <color rgb="FF0070C0"/>
      <name val="Calibri"/>
      <family val="2"/>
      <scheme val="minor"/>
    </font>
    <font>
      <b/>
      <sz val="10"/>
      <color theme="0"/>
      <name val="Times New Roman"/>
      <family val="1"/>
    </font>
    <font>
      <sz val="10"/>
      <color theme="1"/>
      <name val="Times New Roman"/>
      <family val="1"/>
    </font>
    <font>
      <sz val="10"/>
      <name val="Times New Roman"/>
      <family val="1"/>
    </font>
    <font>
      <b/>
      <sz val="12"/>
      <color rgb="FFFFFFFF"/>
      <name val="Times New Roman"/>
      <family val="1"/>
    </font>
    <font>
      <b/>
      <sz val="12"/>
      <color theme="2" tint="-0.749992370372631"/>
      <name val="Times New Roman"/>
      <family val="1"/>
    </font>
  </fonts>
  <fills count="20">
    <fill>
      <patternFill patternType="none"/>
    </fill>
    <fill>
      <patternFill patternType="gray125"/>
    </fill>
    <fill>
      <patternFill patternType="solid">
        <fgColor theme="0"/>
        <bgColor indexed="64"/>
      </patternFill>
    </fill>
    <fill>
      <gradientFill degree="90">
        <stop position="0">
          <color theme="5" tint="0.40000610370189521"/>
        </stop>
        <stop position="0.5">
          <color theme="4" tint="0.59999389629810485"/>
        </stop>
        <stop position="1">
          <color theme="5" tint="0.40000610370189521"/>
        </stop>
      </gradientFill>
    </fill>
    <fill>
      <patternFill patternType="solid">
        <fgColor rgb="FFFFFF00"/>
        <bgColor indexed="64"/>
      </patternFill>
    </fill>
    <fill>
      <patternFill patternType="solid">
        <fgColor rgb="FFCCFFFF"/>
        <bgColor indexed="64"/>
      </patternFill>
    </fill>
    <fill>
      <patternFill patternType="solid">
        <fgColor rgb="FFFFFF99"/>
        <bgColor indexed="64"/>
      </patternFill>
    </fill>
    <fill>
      <patternFill patternType="solid">
        <fgColor rgb="FF00B0F0"/>
        <bgColor indexed="64"/>
      </patternFill>
    </fill>
    <fill>
      <patternFill patternType="solid">
        <fgColor indexed="9"/>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rgb="FFCCFFCC"/>
        <bgColor indexed="64"/>
      </patternFill>
    </fill>
    <fill>
      <patternFill patternType="solid">
        <fgColor theme="5" tint="0.79998168889431442"/>
        <bgColor indexed="64"/>
      </patternFill>
    </fill>
    <fill>
      <patternFill patternType="solid">
        <fgColor rgb="FFFFFF66"/>
        <bgColor indexed="64"/>
      </patternFill>
    </fill>
    <fill>
      <patternFill patternType="solid">
        <fgColor theme="4" tint="0.39997558519241921"/>
        <bgColor indexed="64"/>
      </patternFill>
    </fill>
    <fill>
      <patternFill patternType="solid">
        <fgColor rgb="FF0070C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2"/>
        <bgColor indexed="64"/>
      </patternFill>
    </fill>
  </fills>
  <borders count="34">
    <border>
      <left/>
      <right/>
      <top/>
      <bottom/>
      <diagonal/>
    </border>
    <border>
      <left style="medium">
        <color theme="2" tint="-0.24994659260841701"/>
      </left>
      <right/>
      <top style="medium">
        <color theme="2" tint="-0.24994659260841701"/>
      </top>
      <bottom style="medium">
        <color theme="2" tint="-0.24994659260841701"/>
      </bottom>
      <diagonal/>
    </border>
    <border>
      <left/>
      <right/>
      <top style="medium">
        <color theme="2" tint="-0.24994659260841701"/>
      </top>
      <bottom style="medium">
        <color theme="2" tint="-0.24994659260841701"/>
      </bottom>
      <diagonal/>
    </border>
    <border>
      <left/>
      <right style="medium">
        <color theme="2" tint="-0.24994659260841701"/>
      </right>
      <top style="medium">
        <color theme="2" tint="-0.24994659260841701"/>
      </top>
      <bottom style="medium">
        <color theme="2" tint="-0.24994659260841701"/>
      </bottom>
      <diagonal/>
    </border>
    <border>
      <left/>
      <right/>
      <top/>
      <bottom style="dotted">
        <color auto="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right/>
      <top style="dotted">
        <color theme="4" tint="-0.24994659260841701"/>
      </top>
      <bottom/>
      <diagonal/>
    </border>
    <border>
      <left/>
      <right/>
      <top/>
      <bottom style="dotted">
        <color theme="4" tint="-0.24994659260841701"/>
      </bottom>
      <diagonal/>
    </border>
    <border>
      <left style="medium">
        <color theme="2" tint="-0.24994659260841701"/>
      </left>
      <right/>
      <top/>
      <bottom/>
      <diagonal/>
    </border>
    <border>
      <left style="hair">
        <color indexed="64"/>
      </left>
      <right style="hair">
        <color indexed="64"/>
      </right>
      <top style="hair">
        <color indexed="64"/>
      </top>
      <bottom style="hair">
        <color indexed="64"/>
      </bottom>
      <diagonal/>
    </border>
    <border>
      <left/>
      <right/>
      <top/>
      <bottom style="medium">
        <color rgb="FF00B0F0"/>
      </bottom>
      <diagonal/>
    </border>
    <border>
      <left style="dotted">
        <color theme="4" tint="-0.24994659260841701"/>
      </left>
      <right style="dotted">
        <color theme="4" tint="-0.24994659260841701"/>
      </right>
      <top style="dotted">
        <color theme="4" tint="-0.24994659260841701"/>
      </top>
      <bottom style="medium">
        <color rgb="FF00B0F0"/>
      </bottom>
      <diagonal/>
    </border>
    <border>
      <left style="dotted">
        <color theme="4" tint="-0.24994659260841701"/>
      </left>
      <right style="dotted">
        <color theme="4" tint="-0.24994659260841701"/>
      </right>
      <top/>
      <bottom/>
      <diagonal/>
    </border>
    <border>
      <left style="dotted">
        <color theme="4" tint="-0.24994659260841701"/>
      </left>
      <right/>
      <top style="dotted">
        <color theme="4" tint="-0.24994659260841701"/>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dotted">
        <color auto="1"/>
      </top>
      <bottom style="dotted">
        <color auto="1"/>
      </bottom>
      <diagonal/>
    </border>
    <border>
      <left style="dotted">
        <color theme="4" tint="-0.24994659260841701"/>
      </left>
      <right style="dotted">
        <color theme="4" tint="-0.24994659260841701"/>
      </right>
      <top style="dotted">
        <color theme="4" tint="-0.24994659260841701"/>
      </top>
      <bottom/>
      <diagonal/>
    </border>
    <border>
      <left style="dotted">
        <color auto="1"/>
      </left>
      <right style="dotted">
        <color auto="1"/>
      </right>
      <top style="dotted">
        <color auto="1"/>
      </top>
      <bottom style="medium">
        <color rgb="FF00B0F0"/>
      </bottom>
      <diagonal/>
    </border>
    <border>
      <left/>
      <right/>
      <top style="dotted">
        <color theme="4" tint="-0.24994659260841701"/>
      </top>
      <bottom style="medium">
        <color rgb="FF00B0F0"/>
      </bottom>
      <diagonal/>
    </border>
    <border>
      <left style="thin">
        <color rgb="FF00B0F0"/>
      </left>
      <right style="dotted">
        <color theme="4" tint="-0.24994659260841701"/>
      </right>
      <top style="thin">
        <color rgb="FF00B0F0"/>
      </top>
      <bottom style="dotted">
        <color theme="4" tint="-0.24994659260841701"/>
      </bottom>
      <diagonal/>
    </border>
    <border>
      <left style="dotted">
        <color theme="4" tint="-0.24994659260841701"/>
      </left>
      <right style="thin">
        <color rgb="FF00B0F0"/>
      </right>
      <top style="thin">
        <color rgb="FF00B0F0"/>
      </top>
      <bottom style="dotted">
        <color theme="4" tint="-0.24994659260841701"/>
      </bottom>
      <diagonal/>
    </border>
    <border>
      <left style="thin">
        <color rgb="FF00B0F0"/>
      </left>
      <right style="dotted">
        <color theme="4" tint="-0.24994659260841701"/>
      </right>
      <top style="dotted">
        <color theme="4" tint="-0.24994659260841701"/>
      </top>
      <bottom style="dotted">
        <color theme="4" tint="-0.24994659260841701"/>
      </bottom>
      <diagonal/>
    </border>
    <border>
      <left style="dotted">
        <color theme="4" tint="-0.24994659260841701"/>
      </left>
      <right style="thin">
        <color rgb="FF00B0F0"/>
      </right>
      <top style="dotted">
        <color theme="4" tint="-0.24994659260841701"/>
      </top>
      <bottom style="dotted">
        <color theme="4" tint="-0.24994659260841701"/>
      </bottom>
      <diagonal/>
    </border>
    <border>
      <left style="thin">
        <color rgb="FF00B0F0"/>
      </left>
      <right style="dotted">
        <color theme="4" tint="-0.24994659260841701"/>
      </right>
      <top style="dotted">
        <color theme="4" tint="-0.24994659260841701"/>
      </top>
      <bottom/>
      <diagonal/>
    </border>
    <border>
      <left style="dotted">
        <color theme="4" tint="-0.24994659260841701"/>
      </left>
      <right style="thin">
        <color rgb="FF00B0F0"/>
      </right>
      <top style="dotted">
        <color theme="4" tint="-0.24994659260841701"/>
      </top>
      <bottom/>
      <diagonal/>
    </border>
    <border>
      <left style="thin">
        <color rgb="FF00B0F0"/>
      </left>
      <right style="dotted">
        <color theme="4" tint="-0.24994659260841701"/>
      </right>
      <top style="thin">
        <color rgb="FF00B0F0"/>
      </top>
      <bottom style="thin">
        <color rgb="FF00B0F0"/>
      </bottom>
      <diagonal/>
    </border>
    <border>
      <left style="dotted">
        <color theme="4" tint="-0.24994659260841701"/>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right style="dotted">
        <color theme="4" tint="-0.24994659260841701"/>
      </right>
      <top/>
      <bottom/>
      <diagonal/>
    </border>
    <border>
      <left style="dotted">
        <color theme="4" tint="-0.24994659260841701"/>
      </left>
      <right style="dotted">
        <color theme="4" tint="-0.24994659260841701"/>
      </right>
      <top/>
      <bottom style="dotted">
        <color theme="4" tint="-0.24994659260841701"/>
      </bottom>
      <diagonal/>
    </border>
    <border>
      <left style="medium">
        <color rgb="FF00B0F0"/>
      </left>
      <right style="medium">
        <color rgb="FF00B0F0"/>
      </right>
      <top style="medium">
        <color rgb="FF00B0F0"/>
      </top>
      <bottom style="medium">
        <color rgb="FF00B0F0"/>
      </bottom>
      <diagonal/>
    </border>
    <border>
      <left style="thin">
        <color indexed="64"/>
      </left>
      <right style="thin">
        <color indexed="64"/>
      </right>
      <top/>
      <bottom/>
      <diagonal/>
    </border>
  </borders>
  <cellStyleXfs count="13">
    <xf numFmtId="0" fontId="0" fillId="0" borderId="0"/>
    <xf numFmtId="43" fontId="1" fillId="0" borderId="0" applyFont="0" applyFill="0" applyBorder="0" applyAlignment="0" applyProtection="0"/>
    <xf numFmtId="0" fontId="6" fillId="0" borderId="0"/>
    <xf numFmtId="43" fontId="6"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9"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0" borderId="0"/>
    <xf numFmtId="9" fontId="15" fillId="0" borderId="0" applyFont="0" applyFill="0" applyBorder="0" applyAlignment="0" applyProtection="0"/>
    <xf numFmtId="0" fontId="15" fillId="0" borderId="0" applyNumberFormat="0" applyFill="0" applyBorder="0" applyAlignment="0" applyProtection="0"/>
    <xf numFmtId="0" fontId="40" fillId="0" borderId="0"/>
    <xf numFmtId="0" fontId="42" fillId="0" borderId="0" applyNumberFormat="0" applyFill="0" applyBorder="0" applyAlignment="0" applyProtection="0"/>
  </cellStyleXfs>
  <cellXfs count="390">
    <xf numFmtId="0" fontId="0" fillId="0" borderId="0" xfId="0"/>
    <xf numFmtId="0" fontId="2" fillId="0" borderId="0" xfId="0" applyFont="1" applyFill="1" applyAlignment="1">
      <alignment vertical="center"/>
    </xf>
    <xf numFmtId="0" fontId="0" fillId="0" borderId="0" xfId="0"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xf>
    <xf numFmtId="0" fontId="5" fillId="2" borderId="0" xfId="0" applyFont="1" applyFill="1" applyAlignment="1">
      <alignment vertical="center"/>
    </xf>
    <xf numFmtId="165" fontId="3" fillId="2" borderId="0" xfId="0" applyNumberFormat="1" applyFont="1" applyFill="1" applyAlignment="1">
      <alignment vertical="center"/>
    </xf>
    <xf numFmtId="165" fontId="5" fillId="0" borderId="0" xfId="1" applyNumberFormat="1" applyFont="1" applyFill="1" applyAlignment="1">
      <alignment vertical="center"/>
    </xf>
    <xf numFmtId="165" fontId="0" fillId="0" borderId="0" xfId="0" applyNumberFormat="1" applyFill="1" applyAlignment="1">
      <alignment vertical="center"/>
    </xf>
    <xf numFmtId="0" fontId="7" fillId="0" borderId="0" xfId="0" applyFont="1" applyFill="1" applyBorder="1" applyAlignment="1">
      <alignment vertical="center"/>
    </xf>
    <xf numFmtId="165" fontId="7" fillId="0" borderId="0" xfId="1" applyNumberFormat="1" applyFont="1" applyFill="1" applyBorder="1" applyAlignment="1">
      <alignment vertical="center"/>
    </xf>
    <xf numFmtId="0" fontId="5" fillId="2" borderId="0" xfId="0" applyFont="1" applyFill="1" applyBorder="1" applyAlignment="1">
      <alignment vertical="center"/>
    </xf>
    <xf numFmtId="0" fontId="3" fillId="2" borderId="0" xfId="0" applyFont="1" applyFill="1" applyBorder="1" applyAlignment="1">
      <alignment vertical="center"/>
    </xf>
    <xf numFmtId="0" fontId="0" fillId="0" borderId="0" xfId="0" applyFill="1" applyBorder="1" applyAlignment="1">
      <alignment vertical="center"/>
    </xf>
    <xf numFmtId="165" fontId="5" fillId="0" borderId="0" xfId="1" applyNumberFormat="1" applyFont="1" applyFill="1" applyBorder="1" applyAlignment="1">
      <alignment vertical="center"/>
    </xf>
    <xf numFmtId="165" fontId="0" fillId="0" borderId="0" xfId="0" applyNumberFormat="1" applyFill="1" applyBorder="1" applyAlignment="1">
      <alignment vertical="center"/>
    </xf>
    <xf numFmtId="9" fontId="5" fillId="0" borderId="0" xfId="4" applyFont="1" applyFill="1" applyAlignment="1">
      <alignment vertical="center"/>
    </xf>
    <xf numFmtId="10" fontId="5" fillId="0" borderId="0" xfId="4" applyNumberFormat="1" applyFont="1" applyFill="1" applyBorder="1" applyAlignment="1">
      <alignment vertical="center"/>
    </xf>
    <xf numFmtId="165" fontId="5" fillId="0" borderId="0" xfId="4" applyNumberFormat="1" applyFont="1" applyFill="1" applyBorder="1" applyAlignment="1">
      <alignment vertical="center"/>
    </xf>
    <xf numFmtId="10" fontId="7" fillId="0" borderId="0" xfId="4" applyNumberFormat="1" applyFont="1" applyFill="1" applyBorder="1" applyAlignment="1">
      <alignment vertical="center"/>
    </xf>
    <xf numFmtId="165" fontId="7" fillId="0" borderId="4" xfId="1" applyNumberFormat="1" applyFont="1" applyFill="1" applyBorder="1" applyAlignment="1">
      <alignment vertical="center"/>
    </xf>
    <xf numFmtId="0" fontId="7" fillId="0" borderId="5" xfId="0" applyFont="1" applyFill="1" applyBorder="1" applyAlignment="1">
      <alignment vertical="center"/>
    </xf>
    <xf numFmtId="165" fontId="7" fillId="0" borderId="5" xfId="1" applyNumberFormat="1" applyFont="1" applyFill="1" applyBorder="1" applyAlignment="1">
      <alignment vertical="center"/>
    </xf>
    <xf numFmtId="0" fontId="7" fillId="0" borderId="6" xfId="0" applyFont="1" applyFill="1" applyBorder="1" applyAlignment="1">
      <alignment vertical="center"/>
    </xf>
    <xf numFmtId="165" fontId="7" fillId="0" borderId="6" xfId="1" applyNumberFormat="1" applyFont="1" applyFill="1" applyBorder="1" applyAlignment="1">
      <alignment vertical="center"/>
    </xf>
    <xf numFmtId="0" fontId="7" fillId="0" borderId="7" xfId="0" applyFont="1" applyFill="1" applyBorder="1" applyAlignment="1">
      <alignment vertical="center"/>
    </xf>
    <xf numFmtId="165" fontId="7" fillId="0" borderId="7" xfId="1" applyNumberFormat="1" applyFont="1" applyFill="1" applyBorder="1" applyAlignment="1">
      <alignment vertical="center"/>
    </xf>
    <xf numFmtId="0" fontId="0" fillId="0" borderId="0" xfId="0" applyAlignment="1">
      <alignment vertical="center" wrapText="1"/>
    </xf>
    <xf numFmtId="0" fontId="7" fillId="0" borderId="5" xfId="0" applyFont="1" applyFill="1" applyBorder="1" applyAlignment="1">
      <alignment horizontal="center" vertical="center"/>
    </xf>
    <xf numFmtId="9" fontId="7" fillId="0" borderId="5" xfId="4" applyFont="1" applyFill="1" applyBorder="1" applyAlignment="1">
      <alignment horizontal="center" vertical="center"/>
    </xf>
    <xf numFmtId="167" fontId="7" fillId="0" borderId="5" xfId="0" applyNumberFormat="1" applyFont="1" applyFill="1" applyBorder="1" applyAlignment="1">
      <alignment horizontal="center" vertical="center"/>
    </xf>
    <xf numFmtId="168" fontId="7" fillId="0" borderId="5" xfId="0" applyNumberFormat="1" applyFont="1" applyFill="1" applyBorder="1" applyAlignment="1">
      <alignment horizontal="center" vertical="center"/>
    </xf>
    <xf numFmtId="0" fontId="7" fillId="0" borderId="5" xfId="0" applyFont="1" applyFill="1" applyBorder="1" applyAlignment="1">
      <alignment vertical="center" wrapText="1"/>
    </xf>
    <xf numFmtId="0" fontId="7" fillId="0" borderId="0" xfId="0" applyFont="1"/>
    <xf numFmtId="0" fontId="7" fillId="0" borderId="0" xfId="0" applyFont="1" applyFill="1" applyAlignment="1">
      <alignment vertical="center"/>
    </xf>
    <xf numFmtId="166" fontId="7" fillId="0" borderId="5" xfId="4" applyNumberFormat="1" applyFont="1" applyFill="1" applyBorder="1" applyAlignment="1">
      <alignment vertical="center"/>
    </xf>
    <xf numFmtId="9" fontId="7" fillId="0" borderId="5" xfId="4" applyFont="1" applyFill="1" applyBorder="1" applyAlignment="1">
      <alignment vertical="center"/>
    </xf>
    <xf numFmtId="10" fontId="7" fillId="0" borderId="5" xfId="4" applyNumberFormat="1" applyFont="1" applyFill="1" applyBorder="1" applyAlignment="1">
      <alignment vertical="center"/>
    </xf>
    <xf numFmtId="10" fontId="0" fillId="0" borderId="0" xfId="0" applyNumberFormat="1" applyFill="1" applyAlignment="1">
      <alignment vertical="center"/>
    </xf>
    <xf numFmtId="0" fontId="7" fillId="0" borderId="0" xfId="0" applyFont="1" applyAlignment="1">
      <alignment vertical="center" wrapText="1"/>
    </xf>
    <xf numFmtId="0" fontId="13" fillId="3" borderId="0" xfId="0" applyFont="1" applyFill="1" applyBorder="1" applyAlignment="1">
      <alignment horizontal="center" vertical="center"/>
    </xf>
    <xf numFmtId="0" fontId="7" fillId="0" borderId="0" xfId="0" applyFont="1" applyAlignment="1">
      <alignment vertical="center"/>
    </xf>
    <xf numFmtId="0" fontId="7" fillId="0" borderId="9" xfId="0" applyFont="1" applyBorder="1" applyAlignment="1">
      <alignment vertical="center" wrapText="1"/>
    </xf>
    <xf numFmtId="10" fontId="7" fillId="0" borderId="9" xfId="4" applyNumberFormat="1" applyFont="1" applyBorder="1" applyAlignment="1">
      <alignment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166" fontId="5" fillId="0" borderId="0" xfId="4" applyNumberFormat="1" applyFont="1" applyFill="1" applyAlignment="1">
      <alignment vertical="center"/>
    </xf>
    <xf numFmtId="10" fontId="5" fillId="0" borderId="0" xfId="4" applyNumberFormat="1" applyFont="1" applyFill="1" applyAlignment="1">
      <alignment vertical="center"/>
    </xf>
    <xf numFmtId="0" fontId="16" fillId="0" borderId="0" xfId="0" applyFont="1"/>
    <xf numFmtId="165" fontId="5" fillId="2" borderId="0" xfId="0" applyNumberFormat="1" applyFont="1" applyFill="1" applyAlignment="1">
      <alignment vertical="center"/>
    </xf>
    <xf numFmtId="0" fontId="3" fillId="0" borderId="0" xfId="0" applyFont="1" applyFill="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center"/>
    </xf>
    <xf numFmtId="0" fontId="5" fillId="0" borderId="0" xfId="0" applyFont="1" applyFill="1" applyAlignment="1">
      <alignment vertical="center"/>
    </xf>
    <xf numFmtId="43" fontId="7" fillId="5" borderId="9" xfId="1" applyNumberFormat="1" applyFont="1" applyFill="1" applyBorder="1" applyAlignment="1">
      <alignment vertical="center" wrapText="1"/>
    </xf>
    <xf numFmtId="166" fontId="5" fillId="6" borderId="0" xfId="4" applyNumberFormat="1" applyFont="1" applyFill="1" applyBorder="1" applyAlignment="1">
      <alignment vertical="center"/>
    </xf>
    <xf numFmtId="0" fontId="0" fillId="0" borderId="0" xfId="0" applyBorder="1" applyAlignment="1">
      <alignment vertical="center"/>
    </xf>
    <xf numFmtId="0" fontId="17" fillId="0" borderId="0" xfId="0" applyFont="1" applyBorder="1" applyAlignment="1">
      <alignment vertical="center" wrapText="1"/>
    </xf>
    <xf numFmtId="165" fontId="3" fillId="0" borderId="0" xfId="0" applyNumberFormat="1" applyFont="1" applyFill="1" applyAlignment="1">
      <alignment vertical="center"/>
    </xf>
    <xf numFmtId="0" fontId="19" fillId="0" borderId="0" xfId="0" applyFont="1" applyFill="1" applyAlignment="1">
      <alignment vertical="center"/>
    </xf>
    <xf numFmtId="165" fontId="19" fillId="0" borderId="0" xfId="0" applyNumberFormat="1" applyFont="1" applyFill="1" applyAlignment="1">
      <alignment vertical="center"/>
    </xf>
    <xf numFmtId="0" fontId="19" fillId="0" borderId="0" xfId="0" applyFont="1" applyFill="1" applyBorder="1" applyAlignment="1">
      <alignment vertical="center"/>
    </xf>
    <xf numFmtId="165" fontId="18" fillId="0" borderId="0" xfId="1" applyNumberFormat="1" applyFont="1" applyFill="1" applyBorder="1" applyAlignment="1">
      <alignment vertical="center"/>
    </xf>
    <xf numFmtId="0" fontId="0" fillId="0" borderId="10" xfId="0" applyBorder="1"/>
    <xf numFmtId="9" fontId="7" fillId="0" borderId="10" xfId="0" applyNumberFormat="1" applyFont="1" applyBorder="1"/>
    <xf numFmtId="165" fontId="21" fillId="0" borderId="5" xfId="1" applyNumberFormat="1" applyFont="1" applyFill="1" applyBorder="1" applyAlignment="1">
      <alignment vertical="center"/>
    </xf>
    <xf numFmtId="0" fontId="0" fillId="0" borderId="0" xfId="0" applyBorder="1"/>
    <xf numFmtId="9" fontId="7" fillId="0" borderId="0" xfId="0" applyNumberFormat="1" applyFont="1" applyBorder="1"/>
    <xf numFmtId="0" fontId="0" fillId="0" borderId="0" xfId="0" applyFont="1"/>
    <xf numFmtId="165" fontId="7" fillId="0" borderId="11" xfId="1" applyNumberFormat="1" applyFont="1" applyFill="1" applyBorder="1" applyAlignment="1">
      <alignment vertical="center"/>
    </xf>
    <xf numFmtId="9" fontId="0" fillId="0" borderId="10" xfId="0" applyNumberFormat="1" applyBorder="1"/>
    <xf numFmtId="9" fontId="0" fillId="0" borderId="0" xfId="0" applyNumberFormat="1" applyFont="1"/>
    <xf numFmtId="165" fontId="0" fillId="0" borderId="0" xfId="0" applyNumberFormat="1"/>
    <xf numFmtId="9" fontId="0" fillId="0" borderId="0" xfId="4" applyFont="1"/>
    <xf numFmtId="9" fontId="0" fillId="0" borderId="0" xfId="4" applyFont="1" applyBorder="1"/>
    <xf numFmtId="9" fontId="0" fillId="0" borderId="10" xfId="4" applyFont="1" applyBorder="1"/>
    <xf numFmtId="9" fontId="0" fillId="0" borderId="10" xfId="0" applyNumberFormat="1" applyFont="1" applyBorder="1"/>
    <xf numFmtId="9" fontId="7" fillId="0" borderId="0" xfId="4" applyFont="1" applyFill="1" applyBorder="1" applyAlignment="1">
      <alignment vertical="center"/>
    </xf>
    <xf numFmtId="166" fontId="0" fillId="0" borderId="0" xfId="4" applyNumberFormat="1" applyFont="1"/>
    <xf numFmtId="170" fontId="0" fillId="0" borderId="0" xfId="0" applyNumberFormat="1"/>
    <xf numFmtId="0" fontId="0" fillId="7" borderId="0" xfId="0" applyFill="1" applyAlignment="1">
      <alignment vertical="center"/>
    </xf>
    <xf numFmtId="0" fontId="23" fillId="2" borderId="0" xfId="0" applyFont="1" applyFill="1" applyAlignment="1">
      <alignment vertical="center"/>
    </xf>
    <xf numFmtId="0" fontId="19" fillId="0" borderId="0" xfId="0" applyFont="1" applyFill="1"/>
    <xf numFmtId="43" fontId="19" fillId="0" borderId="0" xfId="0" applyNumberFormat="1" applyFont="1" applyFill="1"/>
    <xf numFmtId="165" fontId="19" fillId="0" borderId="0" xfId="0" applyNumberFormat="1" applyFont="1" applyFill="1" applyBorder="1" applyAlignment="1">
      <alignment vertical="center"/>
    </xf>
    <xf numFmtId="0" fontId="18" fillId="0" borderId="0" xfId="0" applyFont="1" applyFill="1" applyBorder="1" applyAlignment="1">
      <alignment vertical="center"/>
    </xf>
    <xf numFmtId="0" fontId="24" fillId="0" borderId="0" xfId="0" applyFont="1" applyFill="1" applyBorder="1" applyAlignment="1">
      <alignment vertical="center"/>
    </xf>
    <xf numFmtId="165" fontId="24" fillId="0" borderId="0" xfId="1" applyNumberFormat="1" applyFont="1" applyFill="1" applyBorder="1" applyAlignment="1">
      <alignment vertical="center"/>
    </xf>
    <xf numFmtId="0" fontId="4" fillId="0" borderId="0" xfId="0" applyFont="1" applyFill="1" applyAlignment="1">
      <alignment horizontal="center" vertical="center"/>
    </xf>
    <xf numFmtId="165" fontId="7" fillId="0" borderId="0" xfId="0" applyNumberFormat="1" applyFont="1" applyFill="1" applyBorder="1" applyAlignment="1">
      <alignment vertical="center"/>
    </xf>
    <xf numFmtId="0" fontId="0" fillId="0" borderId="0" xfId="0" applyFill="1"/>
    <xf numFmtId="165" fontId="0" fillId="0" borderId="10" xfId="4" applyNumberFormat="1" applyFont="1" applyBorder="1"/>
    <xf numFmtId="165" fontId="0" fillId="0" borderId="10" xfId="1" applyNumberFormat="1" applyFont="1" applyBorder="1"/>
    <xf numFmtId="165" fontId="0" fillId="0" borderId="0" xfId="4" applyNumberFormat="1" applyFont="1" applyBorder="1"/>
    <xf numFmtId="165" fontId="0" fillId="0" borderId="6" xfId="4" applyNumberFormat="1" applyFont="1" applyBorder="1"/>
    <xf numFmtId="165" fontId="0" fillId="0" borderId="0" xfId="1" applyNumberFormat="1" applyFont="1" applyBorder="1"/>
    <xf numFmtId="165" fontId="22" fillId="0" borderId="0" xfId="0" applyNumberFormat="1" applyFont="1" applyFill="1" applyAlignment="1">
      <alignment vertical="center"/>
    </xf>
    <xf numFmtId="171" fontId="7" fillId="0" borderId="5" xfId="5" applyNumberFormat="1" applyFont="1" applyFill="1" applyBorder="1" applyAlignment="1">
      <alignment vertical="center"/>
    </xf>
    <xf numFmtId="9" fontId="7" fillId="0" borderId="5" xfId="4" applyNumberFormat="1" applyFont="1" applyFill="1" applyBorder="1" applyAlignment="1">
      <alignment vertical="center"/>
    </xf>
    <xf numFmtId="171" fontId="0" fillId="0" borderId="0" xfId="0" applyNumberFormat="1"/>
    <xf numFmtId="0" fontId="26" fillId="0" borderId="5" xfId="0" applyFont="1" applyFill="1" applyBorder="1" applyAlignment="1">
      <alignment horizontal="center" vertical="center" wrapText="1"/>
    </xf>
    <xf numFmtId="44" fontId="26" fillId="0" borderId="5" xfId="5" applyFont="1" applyFill="1" applyBorder="1" applyAlignment="1">
      <alignment horizontal="center" vertical="center" wrapText="1"/>
    </xf>
    <xf numFmtId="167" fontId="26" fillId="0" borderId="5" xfId="0" applyNumberFormat="1" applyFont="1" applyFill="1" applyBorder="1" applyAlignment="1">
      <alignment horizontal="center" vertical="center" wrapText="1"/>
    </xf>
    <xf numFmtId="168" fontId="26" fillId="0" borderId="5" xfId="0" applyNumberFormat="1" applyFont="1" applyFill="1" applyBorder="1" applyAlignment="1">
      <alignment horizontal="center" vertical="center" wrapText="1"/>
    </xf>
    <xf numFmtId="0" fontId="21" fillId="0" borderId="5" xfId="0" applyFont="1" applyFill="1" applyBorder="1" applyAlignment="1">
      <alignment vertical="center"/>
    </xf>
    <xf numFmtId="0" fontId="21" fillId="0" borderId="5" xfId="0" applyFont="1" applyFill="1" applyBorder="1" applyAlignment="1">
      <alignment vertical="center" wrapText="1"/>
    </xf>
    <xf numFmtId="0" fontId="21" fillId="0" borderId="5" xfId="0" applyFont="1" applyFill="1" applyBorder="1" applyAlignment="1">
      <alignment horizontal="center" vertical="center"/>
    </xf>
    <xf numFmtId="167" fontId="21" fillId="0" borderId="5" xfId="0" applyNumberFormat="1" applyFont="1" applyFill="1" applyBorder="1" applyAlignment="1">
      <alignment horizontal="center" vertical="center"/>
    </xf>
    <xf numFmtId="168" fontId="21" fillId="0" borderId="5" xfId="0" applyNumberFormat="1" applyFont="1" applyFill="1" applyBorder="1" applyAlignment="1">
      <alignment horizontal="center" vertical="center"/>
    </xf>
    <xf numFmtId="0" fontId="25" fillId="0" borderId="0" xfId="0" applyFont="1"/>
    <xf numFmtId="0" fontId="27" fillId="0" borderId="12" xfId="0" applyFont="1" applyFill="1" applyBorder="1" applyAlignment="1">
      <alignment vertical="center" wrapText="1"/>
    </xf>
    <xf numFmtId="0" fontId="28" fillId="0" borderId="0" xfId="0" applyFont="1"/>
    <xf numFmtId="43" fontId="28" fillId="0" borderId="0" xfId="1" applyFont="1"/>
    <xf numFmtId="43" fontId="28" fillId="0" borderId="0" xfId="0" applyNumberFormat="1" applyFont="1"/>
    <xf numFmtId="0" fontId="27" fillId="0" borderId="0" xfId="0" applyFont="1" applyFill="1" applyBorder="1" applyAlignment="1">
      <alignment vertical="center" wrapText="1"/>
    </xf>
    <xf numFmtId="164" fontId="28" fillId="0" borderId="0" xfId="0" applyNumberFormat="1" applyFont="1"/>
    <xf numFmtId="0" fontId="29" fillId="0" borderId="5" xfId="0" applyFont="1" applyFill="1" applyBorder="1" applyAlignment="1">
      <alignment horizontal="center" vertical="center" wrapText="1"/>
    </xf>
    <xf numFmtId="43" fontId="7" fillId="0" borderId="5" xfId="1" applyFont="1" applyFill="1" applyBorder="1" applyAlignment="1">
      <alignment horizontal="center" vertical="center"/>
    </xf>
    <xf numFmtId="0" fontId="30" fillId="0" borderId="5" xfId="0" applyFont="1" applyFill="1" applyBorder="1" applyAlignment="1">
      <alignment horizontal="center" vertical="center" wrapText="1"/>
    </xf>
    <xf numFmtId="167" fontId="16" fillId="0" borderId="5" xfId="0" applyNumberFormat="1" applyFont="1" applyFill="1" applyBorder="1" applyAlignment="1">
      <alignment horizontal="center" vertical="center"/>
    </xf>
    <xf numFmtId="0" fontId="16" fillId="0" borderId="5" xfId="0" applyFont="1" applyFill="1" applyBorder="1" applyAlignment="1">
      <alignment vertical="center" wrapText="1"/>
    </xf>
    <xf numFmtId="0" fontId="31" fillId="0" borderId="5" xfId="6" applyFont="1" applyFill="1" applyBorder="1" applyAlignment="1">
      <alignment vertical="center" wrapText="1"/>
    </xf>
    <xf numFmtId="0" fontId="9" fillId="0" borderId="5" xfId="6" applyFill="1" applyBorder="1" applyAlignment="1">
      <alignment vertical="center" wrapText="1"/>
    </xf>
    <xf numFmtId="0" fontId="0" fillId="0" borderId="0" xfId="0" applyAlignment="1">
      <alignment horizontal="center"/>
    </xf>
    <xf numFmtId="0" fontId="32" fillId="0" borderId="0" xfId="0" applyFont="1" applyProtection="1"/>
    <xf numFmtId="0" fontId="10" fillId="8" borderId="0" xfId="0" applyFont="1" applyFill="1" applyProtection="1"/>
    <xf numFmtId="0" fontId="33" fillId="0" borderId="0" xfId="0" applyFont="1" applyAlignment="1" applyProtection="1">
      <alignment horizontal="center"/>
    </xf>
    <xf numFmtId="0" fontId="32" fillId="0" borderId="0" xfId="0" applyFont="1" applyAlignment="1" applyProtection="1">
      <alignment horizontal="center"/>
    </xf>
    <xf numFmtId="165" fontId="5" fillId="0" borderId="0" xfId="1" applyNumberFormat="1" applyFont="1" applyFill="1" applyAlignment="1">
      <alignment horizontal="center" vertical="center"/>
    </xf>
    <xf numFmtId="0" fontId="7" fillId="10" borderId="5" xfId="0" applyFont="1" applyFill="1" applyBorder="1" applyAlignment="1">
      <alignment horizontal="center" vertical="center"/>
    </xf>
    <xf numFmtId="43" fontId="7" fillId="10" borderId="5" xfId="1" applyFont="1" applyFill="1" applyBorder="1" applyAlignment="1">
      <alignment horizontal="center" vertical="center"/>
    </xf>
    <xf numFmtId="0" fontId="7" fillId="0" borderId="5" xfId="0" applyFont="1" applyFill="1" applyBorder="1" applyAlignment="1">
      <alignment horizontal="left" vertical="center"/>
    </xf>
    <xf numFmtId="0" fontId="7" fillId="10" borderId="5" xfId="0" applyFont="1" applyFill="1" applyBorder="1" applyAlignment="1">
      <alignment horizontal="left" vertical="center"/>
    </xf>
    <xf numFmtId="9" fontId="0" fillId="0" borderId="0" xfId="4" applyFont="1" applyFill="1" applyAlignment="1">
      <alignment vertical="center"/>
    </xf>
    <xf numFmtId="165" fontId="21" fillId="0" borderId="0" xfId="1" applyNumberFormat="1" applyFont="1" applyFill="1" applyBorder="1" applyAlignment="1">
      <alignment vertical="center"/>
    </xf>
    <xf numFmtId="0" fontId="22" fillId="2" borderId="0" xfId="0" applyFont="1" applyFill="1" applyBorder="1" applyAlignment="1">
      <alignment vertical="center"/>
    </xf>
    <xf numFmtId="9" fontId="21" fillId="0" borderId="0" xfId="4" applyFont="1" applyFill="1" applyBorder="1" applyAlignment="1">
      <alignment vertical="center"/>
    </xf>
    <xf numFmtId="9" fontId="22" fillId="0" borderId="0" xfId="4" applyFont="1" applyFill="1" applyAlignment="1">
      <alignment vertical="center"/>
    </xf>
    <xf numFmtId="10" fontId="0" fillId="0" borderId="0" xfId="0" applyNumberFormat="1"/>
    <xf numFmtId="165" fontId="0" fillId="0" borderId="0" xfId="1" applyNumberFormat="1" applyFont="1"/>
    <xf numFmtId="165" fontId="4" fillId="2" borderId="0" xfId="0" applyNumberFormat="1" applyFont="1" applyFill="1" applyAlignment="1">
      <alignment horizontal="center" vertical="center"/>
    </xf>
    <xf numFmtId="169" fontId="0" fillId="0" borderId="0" xfId="0" applyNumberFormat="1" applyFill="1" applyAlignment="1">
      <alignment vertical="center"/>
    </xf>
    <xf numFmtId="0" fontId="0" fillId="0" borderId="10" xfId="4" applyNumberFormat="1" applyFont="1" applyBorder="1"/>
    <xf numFmtId="165" fontId="0" fillId="0" borderId="0" xfId="1" applyNumberFormat="1" applyFont="1" applyFill="1" applyAlignment="1">
      <alignment vertical="center"/>
    </xf>
    <xf numFmtId="9" fontId="0" fillId="0" borderId="0" xfId="0" applyNumberFormat="1" applyFill="1" applyAlignment="1">
      <alignment vertical="center"/>
    </xf>
    <xf numFmtId="0" fontId="34" fillId="0" borderId="0" xfId="0" applyFont="1"/>
    <xf numFmtId="0" fontId="35" fillId="0" borderId="0" xfId="0" applyFont="1" applyAlignment="1">
      <alignment horizontal="right"/>
    </xf>
    <xf numFmtId="0" fontId="25" fillId="0" borderId="0" xfId="0" applyFont="1" applyBorder="1"/>
    <xf numFmtId="10" fontId="0" fillId="0" borderId="0" xfId="4" applyNumberFormat="1" applyFont="1" applyBorder="1"/>
    <xf numFmtId="0" fontId="25" fillId="0" borderId="0" xfId="0" applyFont="1" applyAlignment="1"/>
    <xf numFmtId="0" fontId="36" fillId="0" borderId="0" xfId="0" applyFont="1"/>
    <xf numFmtId="10" fontId="36" fillId="0" borderId="0" xfId="4" applyNumberFormat="1" applyFont="1" applyBorder="1"/>
    <xf numFmtId="0" fontId="36" fillId="0" borderId="0" xfId="0" applyFont="1" applyFill="1" applyBorder="1"/>
    <xf numFmtId="0" fontId="0" fillId="2" borderId="0" xfId="0" applyFill="1"/>
    <xf numFmtId="0" fontId="0" fillId="2" borderId="0" xfId="0" applyFill="1" applyBorder="1"/>
    <xf numFmtId="0" fontId="7" fillId="2" borderId="5" xfId="0" applyFont="1" applyFill="1" applyBorder="1" applyAlignment="1">
      <alignment vertical="center"/>
    </xf>
    <xf numFmtId="165" fontId="7" fillId="2" borderId="5" xfId="1" applyNumberFormat="1" applyFont="1" applyFill="1" applyBorder="1" applyAlignment="1">
      <alignment vertical="center"/>
    </xf>
    <xf numFmtId="10" fontId="7" fillId="2" borderId="5" xfId="4" applyNumberFormat="1" applyFont="1" applyFill="1" applyBorder="1" applyAlignment="1">
      <alignment vertical="center"/>
    </xf>
    <xf numFmtId="165" fontId="7" fillId="2" borderId="0" xfId="1" applyNumberFormat="1" applyFont="1" applyFill="1" applyBorder="1" applyAlignment="1">
      <alignment vertical="center"/>
    </xf>
    <xf numFmtId="10" fontId="7" fillId="2" borderId="0" xfId="4" applyNumberFormat="1" applyFont="1" applyFill="1" applyBorder="1" applyAlignment="1">
      <alignment vertical="center"/>
    </xf>
    <xf numFmtId="10" fontId="5" fillId="2" borderId="0" xfId="4" applyNumberFormat="1" applyFont="1" applyFill="1" applyBorder="1" applyAlignment="1">
      <alignment vertical="center"/>
    </xf>
    <xf numFmtId="0" fontId="25" fillId="2" borderId="0" xfId="0" applyFont="1" applyFill="1" applyBorder="1"/>
    <xf numFmtId="43" fontId="0" fillId="2" borderId="0" xfId="0" applyNumberFormat="1" applyFill="1" applyBorder="1"/>
    <xf numFmtId="10" fontId="0" fillId="2" borderId="0" xfId="0" applyNumberFormat="1" applyFill="1" applyBorder="1"/>
    <xf numFmtId="10" fontId="0" fillId="2" borderId="0" xfId="4" applyNumberFormat="1" applyFont="1" applyFill="1" applyBorder="1"/>
    <xf numFmtId="172" fontId="37" fillId="2" borderId="0" xfId="0" applyNumberFormat="1" applyFont="1" applyFill="1" applyBorder="1" applyProtection="1"/>
    <xf numFmtId="165" fontId="0" fillId="2" borderId="0" xfId="0" applyNumberFormat="1" applyFill="1" applyBorder="1"/>
    <xf numFmtId="165" fontId="0" fillId="2" borderId="0" xfId="1" applyNumberFormat="1" applyFont="1" applyFill="1" applyBorder="1"/>
    <xf numFmtId="43" fontId="7" fillId="2" borderId="5" xfId="1" applyNumberFormat="1" applyFont="1" applyFill="1" applyBorder="1" applyAlignment="1">
      <alignment vertical="center"/>
    </xf>
    <xf numFmtId="9" fontId="0" fillId="2" borderId="0" xfId="4" applyFont="1" applyFill="1" applyBorder="1"/>
    <xf numFmtId="0" fontId="19" fillId="0" borderId="0" xfId="0" applyFont="1"/>
    <xf numFmtId="0" fontId="39" fillId="11" borderId="0" xfId="0" applyFont="1" applyFill="1" applyBorder="1" applyAlignment="1">
      <alignment vertical="center"/>
    </xf>
    <xf numFmtId="165" fontId="39" fillId="11" borderId="0" xfId="1" applyNumberFormat="1" applyFont="1" applyFill="1" applyBorder="1" applyAlignment="1">
      <alignment vertical="center"/>
    </xf>
    <xf numFmtId="165" fontId="21" fillId="4" borderId="5" xfId="1" applyNumberFormat="1" applyFont="1" applyFill="1" applyBorder="1" applyAlignment="1">
      <alignment vertical="center"/>
    </xf>
    <xf numFmtId="166" fontId="0" fillId="0" borderId="10" xfId="0" applyNumberFormat="1" applyBorder="1"/>
    <xf numFmtId="0" fontId="7" fillId="9" borderId="5" xfId="0" applyFont="1" applyFill="1" applyBorder="1" applyAlignment="1">
      <alignment horizontal="left" vertical="center"/>
    </xf>
    <xf numFmtId="171" fontId="7" fillId="0" borderId="0" xfId="5" applyNumberFormat="1" applyFont="1" applyFill="1" applyBorder="1" applyAlignment="1">
      <alignment vertical="center"/>
    </xf>
    <xf numFmtId="0" fontId="7" fillId="0" borderId="13" xfId="0" applyFont="1" applyFill="1" applyBorder="1" applyAlignment="1">
      <alignment vertical="center"/>
    </xf>
    <xf numFmtId="10" fontId="7" fillId="0" borderId="5" xfId="4" applyNumberFormat="1" applyFont="1" applyFill="1" applyBorder="1" applyAlignment="1">
      <alignment horizontal="right" vertical="center"/>
    </xf>
    <xf numFmtId="10" fontId="5" fillId="0" borderId="0" xfId="4" applyNumberFormat="1" applyFont="1" applyFill="1" applyAlignment="1">
      <alignment horizontal="right" vertical="center"/>
    </xf>
    <xf numFmtId="0" fontId="41" fillId="0" borderId="0" xfId="11" applyFont="1"/>
    <xf numFmtId="15" fontId="41" fillId="12" borderId="0" xfId="11" applyNumberFormat="1" applyFont="1" applyFill="1"/>
    <xf numFmtId="0" fontId="41" fillId="12" borderId="0" xfId="11" applyFont="1" applyFill="1"/>
    <xf numFmtId="0" fontId="40" fillId="0" borderId="0" xfId="11"/>
    <xf numFmtId="0" fontId="42" fillId="0" borderId="0" xfId="12"/>
    <xf numFmtId="0" fontId="43" fillId="0" borderId="15" xfId="11" applyFont="1" applyBorder="1"/>
    <xf numFmtId="0" fontId="43" fillId="0" borderId="15" xfId="11" applyFont="1" applyBorder="1" applyAlignment="1">
      <alignment horizontal="center"/>
    </xf>
    <xf numFmtId="2" fontId="43" fillId="0" borderId="15" xfId="11" applyNumberFormat="1" applyFont="1" applyBorder="1" applyAlignment="1">
      <alignment horizontal="center"/>
    </xf>
    <xf numFmtId="0" fontId="40" fillId="0" borderId="15" xfId="11" applyBorder="1"/>
    <xf numFmtId="0" fontId="40" fillId="0" borderId="15" xfId="11" applyBorder="1" applyAlignment="1">
      <alignment horizontal="center"/>
    </xf>
    <xf numFmtId="2" fontId="40" fillId="0" borderId="15" xfId="11" applyNumberFormat="1" applyBorder="1" applyAlignment="1">
      <alignment horizontal="center"/>
    </xf>
    <xf numFmtId="10" fontId="40" fillId="0" borderId="15" xfId="11" applyNumberFormat="1" applyBorder="1" applyAlignment="1">
      <alignment horizontal="center"/>
    </xf>
    <xf numFmtId="0" fontId="40" fillId="4" borderId="15" xfId="11" applyFill="1" applyBorder="1"/>
    <xf numFmtId="0" fontId="40" fillId="4" borderId="15" xfId="11" applyFill="1" applyBorder="1" applyAlignment="1">
      <alignment horizontal="center"/>
    </xf>
    <xf numFmtId="2" fontId="40" fillId="4" borderId="15" xfId="11" applyNumberFormat="1" applyFill="1" applyBorder="1" applyAlignment="1">
      <alignment horizontal="center"/>
    </xf>
    <xf numFmtId="10" fontId="40" fillId="4" borderId="15" xfId="11" applyNumberFormat="1" applyFill="1" applyBorder="1" applyAlignment="1">
      <alignment horizontal="center"/>
    </xf>
    <xf numFmtId="0" fontId="40" fillId="4" borderId="0" xfId="11" applyFill="1"/>
    <xf numFmtId="0" fontId="41" fillId="0" borderId="15" xfId="11" applyFont="1" applyBorder="1"/>
    <xf numFmtId="0" fontId="41" fillId="0" borderId="15" xfId="11" applyFont="1" applyBorder="1" applyAlignment="1">
      <alignment horizontal="center"/>
    </xf>
    <xf numFmtId="2" fontId="41" fillId="0" borderId="15" xfId="11" applyNumberFormat="1" applyFont="1" applyBorder="1" applyAlignment="1">
      <alignment horizontal="center"/>
    </xf>
    <xf numFmtId="10" fontId="41" fillId="0" borderId="15" xfId="11" applyNumberFormat="1" applyFont="1" applyBorder="1" applyAlignment="1">
      <alignment horizontal="center"/>
    </xf>
    <xf numFmtId="10" fontId="0" fillId="0" borderId="0" xfId="4" applyNumberFormat="1" applyFont="1"/>
    <xf numFmtId="173" fontId="16" fillId="0" borderId="0" xfId="0" applyNumberFormat="1" applyFont="1"/>
    <xf numFmtId="44" fontId="44" fillId="2" borderId="0" xfId="0" applyNumberFormat="1" applyFont="1" applyFill="1" applyAlignment="1">
      <alignment horizontal="center" vertical="center"/>
    </xf>
    <xf numFmtId="174" fontId="5" fillId="0" borderId="0" xfId="1" applyNumberFormat="1" applyFont="1" applyFill="1" applyAlignment="1">
      <alignment vertical="center"/>
    </xf>
    <xf numFmtId="43" fontId="21" fillId="0" borderId="5" xfId="1" applyFont="1" applyFill="1" applyBorder="1" applyAlignment="1">
      <alignment horizontal="center" vertical="center"/>
    </xf>
    <xf numFmtId="165" fontId="7" fillId="0" borderId="0" xfId="1" applyNumberFormat="1" applyFont="1" applyFill="1" applyBorder="1" applyAlignment="1">
      <alignment horizontal="right" vertical="center"/>
    </xf>
    <xf numFmtId="165" fontId="7" fillId="0" borderId="0" xfId="0" applyNumberFormat="1" applyFont="1" applyBorder="1"/>
    <xf numFmtId="0" fontId="5" fillId="0" borderId="0" xfId="0" applyFont="1" applyFill="1" applyBorder="1" applyAlignment="1">
      <alignment horizontal="center" vertical="center"/>
    </xf>
    <xf numFmtId="43" fontId="0" fillId="0" borderId="0" xfId="1" applyFont="1"/>
    <xf numFmtId="165" fontId="0" fillId="0" borderId="0" xfId="4" applyNumberFormat="1" applyFont="1"/>
    <xf numFmtId="165" fontId="21" fillId="0" borderId="5" xfId="1" applyNumberFormat="1" applyFont="1" applyFill="1" applyBorder="1" applyAlignment="1">
      <alignment horizontal="center" vertical="center"/>
    </xf>
    <xf numFmtId="44" fontId="7" fillId="0" borderId="0" xfId="5" applyNumberFormat="1" applyFont="1" applyFill="1" applyBorder="1" applyAlignment="1">
      <alignment vertical="center"/>
    </xf>
    <xf numFmtId="171" fontId="36" fillId="0" borderId="5" xfId="5" applyNumberFormat="1" applyFont="1" applyFill="1" applyBorder="1" applyAlignment="1">
      <alignment vertical="center"/>
    </xf>
    <xf numFmtId="165" fontId="7" fillId="0" borderId="17" xfId="1" applyNumberFormat="1" applyFont="1" applyFill="1" applyBorder="1" applyAlignment="1">
      <alignment vertical="center"/>
    </xf>
    <xf numFmtId="165" fontId="10" fillId="0" borderId="16" xfId="1" applyNumberFormat="1" applyFont="1" applyFill="1" applyBorder="1" applyAlignment="1">
      <alignment vertical="center"/>
    </xf>
    <xf numFmtId="165" fontId="7" fillId="0" borderId="18" xfId="4" applyNumberFormat="1" applyFont="1" applyBorder="1"/>
    <xf numFmtId="0" fontId="8" fillId="0" borderId="8" xfId="0" applyFont="1" applyFill="1" applyBorder="1" applyAlignment="1">
      <alignment vertical="center"/>
    </xf>
    <xf numFmtId="0" fontId="8" fillId="0" borderId="0" xfId="0" applyFont="1" applyFill="1" applyBorder="1" applyAlignment="1">
      <alignment vertical="center"/>
    </xf>
    <xf numFmtId="0" fontId="0" fillId="0" borderId="16" xfId="0" applyBorder="1"/>
    <xf numFmtId="166" fontId="20" fillId="0" borderId="16" xfId="0" applyNumberFormat="1" applyFont="1" applyBorder="1"/>
    <xf numFmtId="166" fontId="0" fillId="0" borderId="16" xfId="0" applyNumberFormat="1" applyBorder="1"/>
    <xf numFmtId="10" fontId="20" fillId="0" borderId="16" xfId="0" applyNumberFormat="1" applyFont="1" applyBorder="1"/>
    <xf numFmtId="3" fontId="20" fillId="0" borderId="16" xfId="0" applyNumberFormat="1" applyFont="1" applyBorder="1"/>
    <xf numFmtId="165" fontId="0" fillId="0" borderId="16" xfId="1" applyNumberFormat="1" applyFont="1" applyBorder="1"/>
    <xf numFmtId="10" fontId="0" fillId="0" borderId="16" xfId="0" applyNumberFormat="1" applyBorder="1"/>
    <xf numFmtId="2" fontId="20" fillId="0" borderId="16" xfId="0" applyNumberFormat="1" applyFont="1" applyBorder="1"/>
    <xf numFmtId="43" fontId="0" fillId="0" borderId="16" xfId="0" applyNumberFormat="1" applyBorder="1"/>
    <xf numFmtId="0" fontId="0" fillId="0" borderId="0" xfId="0" applyAlignment="1">
      <alignment vertical="center"/>
    </xf>
    <xf numFmtId="0" fontId="0" fillId="0" borderId="16" xfId="0" applyBorder="1" applyAlignment="1">
      <alignment vertical="center"/>
    </xf>
    <xf numFmtId="10" fontId="0" fillId="0" borderId="16" xfId="0" applyNumberFormat="1" applyBorder="1" applyAlignment="1">
      <alignment vertical="center"/>
    </xf>
    <xf numFmtId="10" fontId="0" fillId="0" borderId="16" xfId="4" applyNumberFormat="1" applyFont="1" applyBorder="1" applyAlignment="1">
      <alignment vertical="center"/>
    </xf>
    <xf numFmtId="10" fontId="0" fillId="0" borderId="0" xfId="0" applyNumberFormat="1" applyBorder="1" applyAlignment="1">
      <alignment vertical="center"/>
    </xf>
    <xf numFmtId="10" fontId="0" fillId="0" borderId="0" xfId="0" applyNumberFormat="1" applyAlignment="1">
      <alignment vertical="center"/>
    </xf>
    <xf numFmtId="0" fontId="25" fillId="0" borderId="16" xfId="0" applyFont="1" applyBorder="1" applyAlignment="1">
      <alignment vertical="center"/>
    </xf>
    <xf numFmtId="9" fontId="20" fillId="0" borderId="16" xfId="4" applyFont="1" applyBorder="1"/>
    <xf numFmtId="10" fontId="0" fillId="0" borderId="0" xfId="4" applyNumberFormat="1" applyFont="1" applyAlignment="1">
      <alignment vertical="center"/>
    </xf>
    <xf numFmtId="0" fontId="25" fillId="0" borderId="0" xfId="0" applyFont="1" applyBorder="1" applyAlignment="1">
      <alignment vertical="center"/>
    </xf>
    <xf numFmtId="0" fontId="0" fillId="0" borderId="19" xfId="0" applyBorder="1"/>
    <xf numFmtId="9" fontId="0" fillId="0" borderId="0" xfId="0" applyNumberFormat="1"/>
    <xf numFmtId="165" fontId="38" fillId="2" borderId="0" xfId="1" applyNumberFormat="1" applyFont="1" applyFill="1" applyBorder="1" applyAlignment="1">
      <alignment vertical="center"/>
    </xf>
    <xf numFmtId="43" fontId="7" fillId="0" borderId="0" xfId="1" applyFont="1" applyFill="1" applyBorder="1" applyAlignment="1">
      <alignment vertical="center"/>
    </xf>
    <xf numFmtId="10" fontId="7" fillId="0" borderId="0" xfId="4" applyNumberFormat="1" applyFont="1" applyFill="1" applyBorder="1" applyAlignment="1">
      <alignment horizontal="center" vertical="center"/>
    </xf>
    <xf numFmtId="0" fontId="7" fillId="0" borderId="0" xfId="0" applyFont="1" applyFill="1" applyBorder="1" applyAlignment="1">
      <alignment horizontal="center" vertical="center"/>
    </xf>
    <xf numFmtId="10" fontId="7" fillId="0" borderId="0" xfId="0" applyNumberFormat="1" applyFont="1" applyFill="1" applyBorder="1" applyAlignment="1">
      <alignment horizontal="center" vertical="center"/>
    </xf>
    <xf numFmtId="43" fontId="7" fillId="0" borderId="0" xfId="0" applyNumberFormat="1" applyFont="1" applyFill="1" applyBorder="1" applyAlignment="1">
      <alignment horizontal="center" vertical="center"/>
    </xf>
    <xf numFmtId="0" fontId="0" fillId="0" borderId="0" xfId="0" applyFill="1" applyBorder="1"/>
    <xf numFmtId="0" fontId="25" fillId="0" borderId="0" xfId="0" applyFont="1" applyFill="1" applyBorder="1" applyAlignment="1">
      <alignment horizontal="center" vertical="center"/>
    </xf>
    <xf numFmtId="0" fontId="35" fillId="0" borderId="0" xfId="0" applyFont="1" applyFill="1" applyBorder="1" applyAlignment="1">
      <alignment horizontal="right"/>
    </xf>
    <xf numFmtId="9" fontId="0" fillId="0" borderId="0" xfId="4" applyFont="1" applyFill="1" applyBorder="1"/>
    <xf numFmtId="10" fontId="0" fillId="0" borderId="0" xfId="0" applyNumberFormat="1" applyFill="1" applyBorder="1"/>
    <xf numFmtId="10" fontId="0" fillId="0" borderId="0" xfId="4" applyNumberFormat="1" applyFont="1" applyFill="1" applyBorder="1"/>
    <xf numFmtId="0" fontId="7" fillId="0" borderId="20" xfId="0" applyFont="1" applyFill="1" applyBorder="1" applyAlignment="1">
      <alignment horizontal="center" vertical="center"/>
    </xf>
    <xf numFmtId="10" fontId="7" fillId="0" borderId="21" xfId="4" applyNumberFormat="1" applyFont="1" applyFill="1" applyBorder="1" applyAlignment="1">
      <alignment horizontal="center" vertical="center"/>
    </xf>
    <xf numFmtId="0" fontId="7" fillId="0" borderId="22" xfId="0" applyFont="1" applyFill="1" applyBorder="1" applyAlignment="1">
      <alignment horizontal="center" vertical="center"/>
    </xf>
    <xf numFmtId="10" fontId="7" fillId="0" borderId="23" xfId="4" applyNumberFormat="1" applyFont="1" applyFill="1" applyBorder="1" applyAlignment="1">
      <alignment horizontal="center" vertical="center"/>
    </xf>
    <xf numFmtId="10" fontId="7" fillId="0" borderId="23" xfId="1" applyNumberFormat="1" applyFont="1" applyFill="1" applyBorder="1" applyAlignment="1">
      <alignment horizontal="center" vertical="center"/>
    </xf>
    <xf numFmtId="43" fontId="7" fillId="0" borderId="23" xfId="1" applyFont="1" applyFill="1" applyBorder="1" applyAlignment="1">
      <alignment horizontal="center" vertical="center"/>
    </xf>
    <xf numFmtId="0" fontId="5" fillId="0" borderId="0" xfId="0" applyFont="1" applyFill="1" applyBorder="1" applyAlignment="1">
      <alignment horizontal="center" vertical="center" wrapText="1"/>
    </xf>
    <xf numFmtId="0" fontId="7" fillId="0" borderId="24" xfId="0" applyFont="1" applyFill="1" applyBorder="1" applyAlignment="1">
      <alignment horizontal="center" vertical="center"/>
    </xf>
    <xf numFmtId="10" fontId="7" fillId="0" borderId="25" xfId="4" applyNumberFormat="1" applyFont="1" applyFill="1" applyBorder="1" applyAlignment="1">
      <alignment horizontal="center" vertical="center"/>
    </xf>
    <xf numFmtId="0" fontId="38" fillId="13" borderId="26" xfId="0" applyFont="1" applyFill="1" applyBorder="1" applyAlignment="1">
      <alignment horizontal="center" vertical="center"/>
    </xf>
    <xf numFmtId="10" fontId="38" fillId="13" borderId="27" xfId="4" applyNumberFormat="1" applyFont="1" applyFill="1" applyBorder="1" applyAlignment="1">
      <alignment horizontal="center" vertical="center"/>
    </xf>
    <xf numFmtId="8" fontId="0" fillId="2" borderId="0" xfId="0" applyNumberFormat="1" applyFill="1" applyBorder="1"/>
    <xf numFmtId="175" fontId="0" fillId="0" borderId="0" xfId="0" applyNumberFormat="1"/>
    <xf numFmtId="10" fontId="7" fillId="0" borderId="9" xfId="4" applyNumberFormat="1" applyFont="1" applyFill="1" applyBorder="1" applyAlignment="1">
      <alignment vertical="center" wrapText="1"/>
    </xf>
    <xf numFmtId="43" fontId="7" fillId="0" borderId="9" xfId="1" applyFont="1" applyFill="1" applyBorder="1" applyAlignment="1">
      <alignment vertical="center" wrapText="1"/>
    </xf>
    <xf numFmtId="43" fontId="7" fillId="0" borderId="9" xfId="1" applyNumberFormat="1" applyFont="1" applyFill="1" applyBorder="1" applyAlignment="1">
      <alignment vertical="center" wrapText="1"/>
    </xf>
    <xf numFmtId="169" fontId="7" fillId="0" borderId="9" xfId="1" applyNumberFormat="1" applyFont="1" applyFill="1" applyBorder="1" applyAlignment="1">
      <alignment vertical="center" wrapText="1"/>
    </xf>
    <xf numFmtId="10" fontId="5" fillId="14" borderId="0" xfId="4" applyNumberFormat="1" applyFont="1" applyFill="1" applyBorder="1" applyAlignment="1">
      <alignment vertical="center"/>
    </xf>
    <xf numFmtId="43" fontId="7" fillId="0" borderId="5" xfId="1" applyFont="1" applyFill="1" applyBorder="1" applyAlignment="1">
      <alignment vertical="center"/>
    </xf>
    <xf numFmtId="0" fontId="5" fillId="2" borderId="0" xfId="0" applyFont="1" applyFill="1" applyAlignment="1">
      <alignment horizontal="center" vertical="center"/>
    </xf>
    <xf numFmtId="0" fontId="7" fillId="0" borderId="15" xfId="0" applyFont="1" applyBorder="1"/>
    <xf numFmtId="43" fontId="7" fillId="0" borderId="15" xfId="1" applyFont="1" applyBorder="1"/>
    <xf numFmtId="165" fontId="7" fillId="0" borderId="9" xfId="1" applyNumberFormat="1" applyFont="1" applyFill="1" applyBorder="1" applyAlignment="1">
      <alignment vertical="center" wrapText="1"/>
    </xf>
    <xf numFmtId="171" fontId="21" fillId="0" borderId="5" xfId="5" applyNumberFormat="1" applyFont="1" applyFill="1" applyBorder="1" applyAlignment="1">
      <alignment vertical="center"/>
    </xf>
    <xf numFmtId="166" fontId="21" fillId="0" borderId="5" xfId="4" applyNumberFormat="1" applyFont="1" applyFill="1" applyBorder="1" applyAlignment="1">
      <alignment vertical="center"/>
    </xf>
    <xf numFmtId="10" fontId="21" fillId="0" borderId="5" xfId="4" applyNumberFormat="1" applyFont="1" applyFill="1" applyBorder="1" applyAlignment="1">
      <alignment vertical="center"/>
    </xf>
    <xf numFmtId="165" fontId="7" fillId="13" borderId="5" xfId="1" applyNumberFormat="1" applyFont="1" applyFill="1" applyBorder="1" applyAlignment="1">
      <alignment vertical="center"/>
    </xf>
    <xf numFmtId="165" fontId="7" fillId="13" borderId="17" xfId="1" applyNumberFormat="1" applyFont="1" applyFill="1" applyBorder="1" applyAlignment="1">
      <alignment vertical="center"/>
    </xf>
    <xf numFmtId="165" fontId="7" fillId="13" borderId="13" xfId="1" applyNumberFormat="1" applyFont="1" applyFill="1" applyBorder="1" applyAlignment="1">
      <alignment vertical="center"/>
    </xf>
    <xf numFmtId="165" fontId="23" fillId="13" borderId="32" xfId="1" applyNumberFormat="1" applyFont="1" applyFill="1" applyBorder="1" applyAlignment="1">
      <alignment vertical="center"/>
    </xf>
    <xf numFmtId="165" fontId="7" fillId="13" borderId="14" xfId="1" applyNumberFormat="1" applyFont="1" applyFill="1" applyBorder="1" applyAlignment="1">
      <alignment vertical="center"/>
    </xf>
    <xf numFmtId="165" fontId="7" fillId="13" borderId="31" xfId="1" applyNumberFormat="1" applyFont="1" applyFill="1" applyBorder="1" applyAlignment="1">
      <alignment vertical="center"/>
    </xf>
    <xf numFmtId="43" fontId="7" fillId="0" borderId="5" xfId="1" applyNumberFormat="1" applyFont="1" applyFill="1" applyBorder="1" applyAlignment="1">
      <alignment vertical="center"/>
    </xf>
    <xf numFmtId="10" fontId="5" fillId="10" borderId="0" xfId="4" applyNumberFormat="1" applyFont="1" applyFill="1" applyBorder="1" applyAlignment="1">
      <alignment vertical="center"/>
    </xf>
    <xf numFmtId="0" fontId="26" fillId="0" borderId="5" xfId="0" applyFont="1" applyFill="1" applyBorder="1" applyAlignment="1">
      <alignment vertical="center"/>
    </xf>
    <xf numFmtId="43" fontId="7" fillId="0" borderId="5" xfId="1" applyFont="1" applyFill="1" applyBorder="1" applyAlignment="1">
      <alignment horizontal="right" vertical="center"/>
    </xf>
    <xf numFmtId="10" fontId="7" fillId="0" borderId="5" xfId="0" applyNumberFormat="1" applyFont="1" applyFill="1" applyBorder="1" applyAlignment="1">
      <alignment horizontal="right" vertical="center"/>
    </xf>
    <xf numFmtId="0" fontId="48" fillId="2" borderId="0" xfId="0" applyFont="1" applyFill="1" applyAlignment="1">
      <alignment horizontal="center" vertical="center"/>
    </xf>
    <xf numFmtId="43" fontId="7" fillId="9" borderId="5" xfId="1" applyFont="1" applyFill="1" applyBorder="1" applyAlignment="1">
      <alignment horizontal="center" vertical="center"/>
    </xf>
    <xf numFmtId="0" fontId="7" fillId="15" borderId="5" xfId="0" applyFont="1" applyFill="1" applyBorder="1" applyAlignment="1">
      <alignment horizontal="left" vertical="center"/>
    </xf>
    <xf numFmtId="43" fontId="7" fillId="15" borderId="5" xfId="1" applyFont="1" applyFill="1" applyBorder="1" applyAlignment="1">
      <alignment horizontal="center" vertical="center"/>
    </xf>
    <xf numFmtId="0" fontId="0" fillId="2" borderId="0" xfId="0" applyFill="1" applyAlignment="1">
      <alignment horizontal="center"/>
    </xf>
    <xf numFmtId="0" fontId="50" fillId="2" borderId="0" xfId="0" applyFont="1" applyFill="1"/>
    <xf numFmtId="0" fontId="0" fillId="2" borderId="0" xfId="0" quotePrefix="1" applyNumberFormat="1" applyFill="1"/>
    <xf numFmtId="0" fontId="51" fillId="2" borderId="0" xfId="0" applyFont="1" applyFill="1"/>
    <xf numFmtId="0" fontId="49" fillId="2" borderId="0" xfId="0" applyFont="1" applyFill="1"/>
    <xf numFmtId="0" fontId="18" fillId="16" borderId="15" xfId="0" applyFont="1" applyFill="1" applyBorder="1" applyAlignment="1">
      <alignment horizontal="center" vertical="top" wrapText="1"/>
    </xf>
    <xf numFmtId="0" fontId="0" fillId="2" borderId="0" xfId="0" applyFill="1" applyAlignment="1">
      <alignment horizontal="center" vertical="top" wrapText="1"/>
    </xf>
    <xf numFmtId="0" fontId="22" fillId="2" borderId="15" xfId="0" applyFont="1" applyFill="1" applyBorder="1"/>
    <xf numFmtId="165" fontId="22" fillId="2" borderId="15" xfId="1" applyNumberFormat="1" applyFont="1" applyFill="1" applyBorder="1"/>
    <xf numFmtId="3" fontId="22" fillId="2" borderId="15" xfId="1" applyNumberFormat="1" applyFont="1" applyFill="1" applyBorder="1"/>
    <xf numFmtId="165" fontId="22" fillId="2" borderId="0" xfId="0" applyNumberFormat="1" applyFont="1" applyFill="1"/>
    <xf numFmtId="0" fontId="22" fillId="2" borderId="0" xfId="0" applyFont="1" applyFill="1"/>
    <xf numFmtId="0" fontId="22" fillId="2" borderId="15" xfId="0" applyNumberFormat="1" applyFont="1" applyFill="1" applyBorder="1"/>
    <xf numFmtId="49" fontId="22" fillId="2" borderId="15" xfId="0" applyNumberFormat="1" applyFont="1" applyFill="1" applyBorder="1"/>
    <xf numFmtId="3" fontId="22" fillId="2" borderId="0" xfId="0" applyNumberFormat="1" applyFont="1" applyFill="1" applyBorder="1"/>
    <xf numFmtId="176" fontId="22" fillId="2" borderId="15" xfId="1" applyNumberFormat="1" applyFont="1" applyFill="1" applyBorder="1"/>
    <xf numFmtId="3" fontId="22" fillId="2" borderId="15" xfId="0" applyNumberFormat="1" applyFont="1" applyFill="1" applyBorder="1"/>
    <xf numFmtId="3" fontId="22" fillId="2" borderId="0" xfId="1" applyNumberFormat="1" applyFont="1" applyFill="1" applyBorder="1"/>
    <xf numFmtId="165" fontId="22" fillId="2" borderId="15" xfId="1" applyNumberFormat="1" applyFont="1" applyFill="1" applyBorder="1" applyAlignment="1">
      <alignment horizontal="center"/>
    </xf>
    <xf numFmtId="0" fontId="22" fillId="4" borderId="15" xfId="0" applyFont="1" applyFill="1" applyBorder="1"/>
    <xf numFmtId="165" fontId="22" fillId="4" borderId="15" xfId="1" applyNumberFormat="1" applyFont="1" applyFill="1" applyBorder="1" applyAlignment="1">
      <alignment horizontal="center"/>
    </xf>
    <xf numFmtId="3" fontId="22" fillId="4" borderId="15" xfId="1" applyNumberFormat="1" applyFont="1" applyFill="1" applyBorder="1"/>
    <xf numFmtId="3" fontId="22" fillId="2" borderId="15" xfId="1" applyNumberFormat="1" applyFont="1" applyFill="1" applyBorder="1" applyAlignment="1">
      <alignment horizontal="right" vertical="center" wrapText="1"/>
    </xf>
    <xf numFmtId="0" fontId="22" fillId="2" borderId="15" xfId="0" applyFont="1" applyFill="1" applyBorder="1" applyAlignment="1">
      <alignment horizontal="center"/>
    </xf>
    <xf numFmtId="3" fontId="22" fillId="2" borderId="15" xfId="1" applyNumberFormat="1" applyFont="1" applyFill="1" applyBorder="1" applyAlignment="1">
      <alignment horizontal="right"/>
    </xf>
    <xf numFmtId="165" fontId="22" fillId="0" borderId="15" xfId="1" applyNumberFormat="1" applyFont="1" applyBorder="1"/>
    <xf numFmtId="3" fontId="22" fillId="0" borderId="15" xfId="1" applyNumberFormat="1" applyFont="1" applyBorder="1"/>
    <xf numFmtId="3" fontId="0" fillId="2" borderId="0" xfId="0" quotePrefix="1" applyNumberFormat="1" applyFill="1"/>
    <xf numFmtId="0" fontId="13" fillId="17" borderId="5" xfId="0" applyFont="1" applyFill="1" applyBorder="1" applyAlignment="1">
      <alignment vertical="center" wrapText="1"/>
    </xf>
    <xf numFmtId="0" fontId="52" fillId="16" borderId="15" xfId="0" applyFont="1" applyFill="1" applyBorder="1" applyAlignment="1">
      <alignment vertical="center" wrapText="1"/>
    </xf>
    <xf numFmtId="0" fontId="53" fillId="0" borderId="0" xfId="0" applyFont="1"/>
    <xf numFmtId="165" fontId="7" fillId="0" borderId="5" xfId="1" applyNumberFormat="1" applyFont="1" applyFill="1" applyBorder="1" applyAlignment="1">
      <alignment vertical="center" wrapText="1"/>
    </xf>
    <xf numFmtId="0" fontId="53" fillId="4" borderId="0" xfId="0" applyFont="1" applyFill="1"/>
    <xf numFmtId="165" fontId="13" fillId="17" borderId="5" xfId="1" applyNumberFormat="1" applyFont="1" applyFill="1" applyBorder="1" applyAlignment="1">
      <alignment vertical="center" wrapText="1"/>
    </xf>
    <xf numFmtId="0" fontId="52" fillId="17" borderId="0" xfId="0" applyFont="1" applyFill="1"/>
    <xf numFmtId="0" fontId="53" fillId="0" borderId="0" xfId="0" applyFont="1" applyAlignment="1">
      <alignment horizontal="center"/>
    </xf>
    <xf numFmtId="0" fontId="54" fillId="2" borderId="33" xfId="0" applyFont="1" applyFill="1" applyBorder="1"/>
    <xf numFmtId="0" fontId="0" fillId="0" borderId="15" xfId="0" applyBorder="1" applyAlignment="1">
      <alignment horizontal="center"/>
    </xf>
    <xf numFmtId="0" fontId="0" fillId="4" borderId="15" xfId="0" applyFill="1" applyBorder="1" applyAlignment="1">
      <alignment horizontal="center"/>
    </xf>
    <xf numFmtId="0" fontId="22" fillId="18" borderId="15" xfId="0" applyFont="1" applyFill="1" applyBorder="1"/>
    <xf numFmtId="165" fontId="22" fillId="18" borderId="15" xfId="1" applyNumberFormat="1" applyFont="1" applyFill="1" applyBorder="1" applyAlignment="1">
      <alignment horizontal="center"/>
    </xf>
    <xf numFmtId="3" fontId="22" fillId="18" borderId="15" xfId="1" applyNumberFormat="1" applyFont="1" applyFill="1" applyBorder="1"/>
    <xf numFmtId="0" fontId="0" fillId="4" borderId="0" xfId="0" applyFill="1"/>
    <xf numFmtId="0" fontId="0" fillId="18" borderId="15" xfId="0" applyFill="1" applyBorder="1" applyAlignment="1">
      <alignment horizontal="center"/>
    </xf>
    <xf numFmtId="0" fontId="0" fillId="18" borderId="0" xfId="0" applyFill="1"/>
    <xf numFmtId="0" fontId="22" fillId="2" borderId="33" xfId="0" applyFont="1" applyFill="1" applyBorder="1"/>
    <xf numFmtId="44" fontId="7" fillId="9" borderId="5" xfId="5" applyFont="1" applyFill="1" applyBorder="1" applyAlignment="1">
      <alignment horizontal="left" vertical="center"/>
    </xf>
    <xf numFmtId="0" fontId="21" fillId="9" borderId="5" xfId="0" applyFont="1" applyFill="1" applyBorder="1" applyAlignment="1">
      <alignment horizontal="left" vertical="center"/>
    </xf>
    <xf numFmtId="43" fontId="21" fillId="9" borderId="5" xfId="1" applyFont="1" applyFill="1" applyBorder="1" applyAlignment="1">
      <alignment horizontal="center" vertical="center"/>
    </xf>
    <xf numFmtId="43" fontId="7" fillId="0" borderId="0" xfId="1" applyNumberFormat="1" applyFont="1" applyFill="1" applyBorder="1" applyAlignment="1">
      <alignment vertical="center"/>
    </xf>
    <xf numFmtId="43" fontId="0" fillId="0" borderId="0" xfId="0" applyNumberFormat="1"/>
    <xf numFmtId="0" fontId="7" fillId="0" borderId="0" xfId="0" applyFont="1" applyFill="1" applyBorder="1" applyAlignment="1">
      <alignment horizontal="left" vertical="center"/>
    </xf>
    <xf numFmtId="0" fontId="7" fillId="9" borderId="0" xfId="0" applyFont="1" applyFill="1" applyBorder="1" applyAlignment="1">
      <alignment horizontal="left" vertical="center"/>
    </xf>
    <xf numFmtId="10" fontId="7" fillId="9" borderId="5" xfId="4" applyNumberFormat="1" applyFont="1" applyFill="1" applyBorder="1" applyAlignment="1">
      <alignment horizontal="center" vertical="center"/>
    </xf>
    <xf numFmtId="44" fontId="21" fillId="9" borderId="5" xfId="5" applyFont="1" applyFill="1" applyBorder="1" applyAlignment="1">
      <alignment horizontal="left" vertical="center"/>
    </xf>
    <xf numFmtId="0" fontId="21" fillId="2" borderId="5" xfId="0" applyFont="1" applyFill="1" applyBorder="1" applyAlignment="1">
      <alignment horizontal="left" vertical="center"/>
    </xf>
    <xf numFmtId="43" fontId="21" fillId="2" borderId="5" xfId="1" applyFont="1" applyFill="1" applyBorder="1" applyAlignment="1">
      <alignment horizontal="center" vertical="center"/>
    </xf>
    <xf numFmtId="165" fontId="0" fillId="0" borderId="0" xfId="1" applyNumberFormat="1" applyFont="1" applyAlignment="1">
      <alignment horizontal="center"/>
    </xf>
    <xf numFmtId="43" fontId="0" fillId="0" borderId="0" xfId="1" applyNumberFormat="1" applyFont="1" applyAlignment="1">
      <alignment horizontal="center"/>
    </xf>
    <xf numFmtId="174" fontId="21" fillId="9" borderId="5" xfId="1" applyNumberFormat="1" applyFont="1" applyFill="1" applyBorder="1" applyAlignment="1">
      <alignment horizontal="center" vertical="center"/>
    </xf>
    <xf numFmtId="0" fontId="5" fillId="19" borderId="0" xfId="0" applyFont="1" applyFill="1" applyBorder="1" applyAlignment="1">
      <alignment horizontal="center" vertical="center"/>
    </xf>
    <xf numFmtId="43" fontId="5" fillId="19" borderId="0" xfId="0" applyNumberFormat="1" applyFont="1" applyFill="1" applyAlignment="1">
      <alignment horizontal="center"/>
    </xf>
    <xf numFmtId="0" fontId="5" fillId="19" borderId="0" xfId="0" applyFont="1" applyFill="1" applyAlignment="1">
      <alignment horizontal="center"/>
    </xf>
    <xf numFmtId="3" fontId="55" fillId="0" borderId="0" xfId="0" applyNumberFormat="1" applyFont="1" applyFill="1" applyBorder="1" applyAlignment="1">
      <alignment horizontal="right" vertical="center" wrapText="1"/>
    </xf>
    <xf numFmtId="178" fontId="55" fillId="0" borderId="0" xfId="0" applyNumberFormat="1" applyFont="1" applyFill="1" applyBorder="1" applyAlignment="1">
      <alignment horizontal="right" vertical="center" wrapText="1"/>
    </xf>
    <xf numFmtId="0" fontId="4" fillId="19" borderId="0" xfId="0" applyFont="1" applyFill="1" applyBorder="1" applyAlignment="1">
      <alignment horizontal="center" vertical="center"/>
    </xf>
    <xf numFmtId="43" fontId="4" fillId="19" borderId="0" xfId="0" applyNumberFormat="1" applyFont="1" applyFill="1" applyBorder="1" applyAlignment="1">
      <alignment horizontal="center" vertical="center"/>
    </xf>
    <xf numFmtId="0" fontId="36" fillId="0" borderId="5" xfId="0" applyFont="1" applyFill="1" applyBorder="1" applyAlignment="1">
      <alignment horizontal="left" vertical="center"/>
    </xf>
    <xf numFmtId="43" fontId="36" fillId="0" borderId="5" xfId="1" applyFont="1" applyFill="1" applyBorder="1" applyAlignment="1">
      <alignment horizontal="center" vertical="center"/>
    </xf>
    <xf numFmtId="174" fontId="36" fillId="0" borderId="5" xfId="1" applyNumberFormat="1" applyFont="1" applyBorder="1" applyAlignment="1">
      <alignment horizontal="center"/>
    </xf>
    <xf numFmtId="165" fontId="36" fillId="0" borderId="5" xfId="1" applyNumberFormat="1" applyFont="1" applyBorder="1" applyAlignment="1">
      <alignment horizontal="center"/>
    </xf>
    <xf numFmtId="0" fontId="36" fillId="0" borderId="5" xfId="0" applyFont="1" applyBorder="1" applyAlignment="1">
      <alignment horizontal="center"/>
    </xf>
    <xf numFmtId="0" fontId="36" fillId="0" borderId="5" xfId="0" applyFont="1" applyBorder="1"/>
    <xf numFmtId="10" fontId="36" fillId="0" borderId="5" xfId="4" applyNumberFormat="1" applyFont="1" applyFill="1" applyBorder="1" applyAlignment="1">
      <alignment horizontal="right" vertical="center"/>
    </xf>
    <xf numFmtId="177" fontId="36" fillId="0" borderId="5" xfId="1" applyNumberFormat="1" applyFont="1" applyFill="1" applyBorder="1" applyAlignment="1">
      <alignment horizontal="center" vertical="center"/>
    </xf>
    <xf numFmtId="43" fontId="0" fillId="0" borderId="0" xfId="0" applyNumberFormat="1" applyAlignment="1">
      <alignment horizontal="center"/>
    </xf>
    <xf numFmtId="3" fontId="56" fillId="0" borderId="0" xfId="0" applyNumberFormat="1" applyFont="1" applyFill="1" applyBorder="1" applyAlignment="1">
      <alignment horizontal="right" vertical="center" wrapText="1"/>
    </xf>
    <xf numFmtId="169" fontId="0" fillId="0" borderId="0" xfId="1" applyNumberFormat="1" applyFont="1" applyAlignment="1">
      <alignment horizontal="center"/>
    </xf>
    <xf numFmtId="165" fontId="56" fillId="0" borderId="0" xfId="1" applyNumberFormat="1" applyFont="1" applyFill="1" applyBorder="1" applyAlignment="1">
      <alignment horizontal="right" vertical="center" wrapText="1"/>
    </xf>
    <xf numFmtId="177" fontId="0" fillId="0" borderId="0" xfId="0" applyNumberFormat="1" applyAlignment="1">
      <alignment horizontal="center"/>
    </xf>
    <xf numFmtId="43" fontId="0" fillId="0" borderId="0" xfId="0" applyNumberFormat="1" applyFill="1" applyBorder="1" applyAlignment="1">
      <alignment horizontal="center"/>
    </xf>
    <xf numFmtId="166" fontId="16" fillId="0" borderId="0" xfId="4" applyNumberFormat="1" applyFont="1"/>
    <xf numFmtId="165" fontId="16" fillId="0" borderId="0" xfId="1" applyNumberFormat="1" applyFont="1"/>
    <xf numFmtId="166" fontId="16" fillId="0" borderId="0" xfId="0" applyNumberFormat="1" applyFont="1"/>
    <xf numFmtId="10" fontId="7" fillId="4" borderId="9" xfId="4" applyNumberFormat="1" applyFont="1" applyFill="1" applyBorder="1" applyAlignment="1">
      <alignment vertical="center" wrapText="1"/>
    </xf>
    <xf numFmtId="0" fontId="8" fillId="3" borderId="8"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5" fillId="13" borderId="28" xfId="0" applyFont="1" applyFill="1" applyBorder="1" applyAlignment="1">
      <alignment horizontal="center" vertical="center" wrapText="1"/>
    </xf>
    <xf numFmtId="0" fontId="5" fillId="13" borderId="29" xfId="0" applyFont="1" applyFill="1" applyBorder="1" applyAlignment="1">
      <alignment horizontal="center" vertical="center" wrapText="1"/>
    </xf>
    <xf numFmtId="0" fontId="47" fillId="0" borderId="30" xfId="0" applyFont="1" applyBorder="1" applyAlignment="1">
      <alignment horizontal="center" vertical="center" textRotation="90" wrapText="1"/>
    </xf>
    <xf numFmtId="0" fontId="4" fillId="2" borderId="7" xfId="0" applyFont="1" applyFill="1" applyBorder="1" applyAlignment="1">
      <alignment horizontal="center" vertical="center"/>
    </xf>
  </cellXfs>
  <cellStyles count="13">
    <cellStyle name="ANCLAS,REZONES Y SUS PARTES,DE FUNDICION,DE HIERRO O DE ACERO" xfId="10"/>
    <cellStyle name="Hipervínculo" xfId="6" builtinId="8"/>
    <cellStyle name="Hipervínculo 2" xfId="7"/>
    <cellStyle name="Hipervínculo 3" xfId="12"/>
    <cellStyle name="Millares" xfId="1" builtinId="3"/>
    <cellStyle name="Millares 2" xfId="3"/>
    <cellStyle name="Moneda" xfId="5" builtinId="4"/>
    <cellStyle name="Normal" xfId="0" builtinId="0"/>
    <cellStyle name="Normal 2" xfId="2"/>
    <cellStyle name="Normal 3" xfId="8"/>
    <cellStyle name="Normal 4" xfId="11"/>
    <cellStyle name="Porcentaje" xfId="4" builtinId="5"/>
    <cellStyle name="Porcentaje 2" xfId="9"/>
  </cellStyles>
  <dxfs count="0"/>
  <tableStyles count="0" defaultTableStyle="TableStyleMedium2" defaultPivotStyle="PivotStyleLight16"/>
  <colors>
    <mruColors>
      <color rgb="FF009900"/>
      <color rgb="FFFF896D"/>
      <color rgb="FFFFFF66"/>
      <color rgb="FFCC9900"/>
      <color rgb="FF6FD8FD"/>
      <color rgb="FFFF3300"/>
      <color rgb="FFFFFF99"/>
      <color rgb="FFCCFFFF"/>
      <color rgb="FFCC99FF"/>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
          <c:y val="8.3250532868266322E-2"/>
          <c:w val="1"/>
          <c:h val="0.81885270667099219"/>
        </c:manualLayout>
      </c:layout>
      <c:lineChart>
        <c:grouping val="standard"/>
        <c:varyColors val="0"/>
        <c:ser>
          <c:idx val="0"/>
          <c:order val="0"/>
          <c:tx>
            <c:strRef>
              <c:f>'RAZONES FINANCIERAS'!$M$15</c:f>
              <c:strCache>
                <c:ptCount val="1"/>
                <c:pt idx="0">
                  <c:v>INDICADOR</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'RAZONES FINANCIERAS'!$N$15:$S$15</c:f>
              <c:numCache>
                <c:formatCode>General</c:formatCode>
                <c:ptCount val="6"/>
                <c:pt idx="0">
                  <c:v>2008</c:v>
                </c:pt>
                <c:pt idx="1">
                  <c:v>2009</c:v>
                </c:pt>
                <c:pt idx="2">
                  <c:v>2010</c:v>
                </c:pt>
                <c:pt idx="3">
                  <c:v>2011</c:v>
                </c:pt>
                <c:pt idx="4">
                  <c:v>2012</c:v>
                </c:pt>
                <c:pt idx="5">
                  <c:v>2013</c:v>
                </c:pt>
              </c:numCache>
            </c:numRef>
          </c:cat>
          <c:val>
            <c:numRef>
              <c:f>'RAZONES FINANCIERAS'!$N$15:$S$15</c:f>
              <c:numCache>
                <c:formatCode>General</c:formatCode>
                <c:ptCount val="6"/>
                <c:pt idx="0">
                  <c:v>2008</c:v>
                </c:pt>
                <c:pt idx="1">
                  <c:v>2009</c:v>
                </c:pt>
                <c:pt idx="2">
                  <c:v>2010</c:v>
                </c:pt>
                <c:pt idx="3">
                  <c:v>2011</c:v>
                </c:pt>
                <c:pt idx="4">
                  <c:v>2012</c:v>
                </c:pt>
                <c:pt idx="5">
                  <c:v>2013</c:v>
                </c:pt>
              </c:numCache>
            </c:numRef>
          </c:val>
          <c:smooth val="0"/>
        </c:ser>
        <c:ser>
          <c:idx val="1"/>
          <c:order val="1"/>
          <c:tx>
            <c:strRef>
              <c:f>'RAZONES FINANCIERAS'!$M$16</c:f>
              <c:strCache>
                <c:ptCount val="1"/>
                <c:pt idx="0">
                  <c:v>RAZÓN CORRIENTE</c:v>
                </c:pt>
              </c:strCache>
            </c:strRef>
          </c:tx>
          <c:spPr>
            <a:ln>
              <a:solidFill>
                <a:srgbClr val="7030A0"/>
              </a:solidFill>
              <a:prstDash val="lgDashDotDot"/>
            </a:ln>
          </c:spPr>
          <c:marker>
            <c:symbol val="diamond"/>
            <c:size val="13"/>
            <c:spPr>
              <a:solidFill>
                <a:srgbClr val="7030A0"/>
              </a:solidFill>
            </c:spPr>
          </c:marker>
          <c:dLbls>
            <c:dLbl>
              <c:idx val="0"/>
              <c:layout>
                <c:manualLayout>
                  <c:x val="-2.9402513357149298E-2"/>
                  <c:y val="-2.619818174992026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6.0141504594169018E-2"/>
                  <c:y val="-1.7465454499946846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8.018867279222585E-3"/>
                  <c:y val="-8.7327272499734231E-3"/>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4.0094336396112682E-3"/>
                  <c:y val="-2.0958545399936218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i="0">
                    <a:solidFill>
                      <a:srgbClr val="7030A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'RAZONES FINANCIERAS'!$N$15:$S$15</c:f>
              <c:numCache>
                <c:formatCode>General</c:formatCode>
                <c:ptCount val="6"/>
                <c:pt idx="0">
                  <c:v>2008</c:v>
                </c:pt>
                <c:pt idx="1">
                  <c:v>2009</c:v>
                </c:pt>
                <c:pt idx="2">
                  <c:v>2010</c:v>
                </c:pt>
                <c:pt idx="3">
                  <c:v>2011</c:v>
                </c:pt>
                <c:pt idx="4">
                  <c:v>2012</c:v>
                </c:pt>
                <c:pt idx="5">
                  <c:v>2013</c:v>
                </c:pt>
              </c:numCache>
            </c:numRef>
          </c:cat>
          <c:val>
            <c:numRef>
              <c:f>'RAZONES FINANCIERAS'!$N$16:$S$16</c:f>
              <c:numCache>
                <c:formatCode>_(* #,##0.00_);_(* \(#,##0.00\);_(* "-"??_);_(@_)</c:formatCode>
                <c:ptCount val="6"/>
                <c:pt idx="0">
                  <c:v>1.5428834478575839</c:v>
                </c:pt>
                <c:pt idx="1">
                  <c:v>1.7687315011854572</c:v>
                </c:pt>
                <c:pt idx="2">
                  <c:v>2.6516638913787878</c:v>
                </c:pt>
                <c:pt idx="3">
                  <c:v>1.9334722911392426</c:v>
                </c:pt>
                <c:pt idx="4">
                  <c:v>1.7382781535625293</c:v>
                </c:pt>
                <c:pt idx="5">
                  <c:v>2.1095443381190373</c:v>
                </c:pt>
              </c:numCache>
            </c:numRef>
          </c:val>
          <c:smooth val="0"/>
        </c:ser>
        <c:ser>
          <c:idx val="2"/>
          <c:order val="2"/>
          <c:tx>
            <c:strRef>
              <c:f>'RAZONES FINANCIERAS'!$M$17</c:f>
              <c:strCache>
                <c:ptCount val="1"/>
                <c:pt idx="0">
                  <c:v>PRUEBA ÁCIDA</c:v>
                </c:pt>
              </c:strCache>
            </c:strRef>
          </c:tx>
          <c:spPr>
            <a:ln>
              <a:solidFill>
                <a:srgbClr val="0070C0"/>
              </a:solidFill>
              <a:prstDash val="sysDot"/>
            </a:ln>
          </c:spPr>
          <c:marker>
            <c:symbol val="triangle"/>
            <c:size val="13"/>
            <c:spPr>
              <a:solidFill>
                <a:srgbClr val="002060"/>
              </a:solidFill>
            </c:spPr>
          </c:marker>
          <c:dLbls>
            <c:dLbl>
              <c:idx val="0"/>
              <c:layout>
                <c:manualLayout>
                  <c:x val="-2.0047168198056339E-2"/>
                  <c:y val="3.1437818099904327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1383646077926761E-2"/>
                  <c:y val="3.8423999899883064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4056601837667561E-2"/>
                  <c:y val="3.1437818099904327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2.8066035477278876E-2"/>
                  <c:y val="2.7944727199914955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b="1">
                    <a:solidFill>
                      <a:srgbClr val="0070C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'RAZONES FINANCIERAS'!$N$15:$S$15</c:f>
              <c:numCache>
                <c:formatCode>General</c:formatCode>
                <c:ptCount val="6"/>
                <c:pt idx="0">
                  <c:v>2008</c:v>
                </c:pt>
                <c:pt idx="1">
                  <c:v>2009</c:v>
                </c:pt>
                <c:pt idx="2">
                  <c:v>2010</c:v>
                </c:pt>
                <c:pt idx="3">
                  <c:v>2011</c:v>
                </c:pt>
                <c:pt idx="4">
                  <c:v>2012</c:v>
                </c:pt>
                <c:pt idx="5">
                  <c:v>2013</c:v>
                </c:pt>
              </c:numCache>
            </c:numRef>
          </c:cat>
          <c:val>
            <c:numRef>
              <c:f>'RAZONES FINANCIERAS'!$N$17:$S$17</c:f>
              <c:numCache>
                <c:formatCode>_(* #,##0.00_);_(* \(#,##0.00\);_(* "-"??_);_(@_)</c:formatCode>
                <c:ptCount val="6"/>
                <c:pt idx="0">
                  <c:v>1.485704883174968</c:v>
                </c:pt>
                <c:pt idx="1">
                  <c:v>1.7035837533865115</c:v>
                </c:pt>
                <c:pt idx="2">
                  <c:v>2.6037227833388106</c:v>
                </c:pt>
                <c:pt idx="3">
                  <c:v>1.8705340977354188</c:v>
                </c:pt>
                <c:pt idx="4">
                  <c:v>1.5397039841444597</c:v>
                </c:pt>
                <c:pt idx="5">
                  <c:v>1.8985802700661019</c:v>
                </c:pt>
              </c:numCache>
            </c:numRef>
          </c:val>
          <c:smooth val="0"/>
        </c:ser>
        <c:ser>
          <c:idx val="3"/>
          <c:order val="3"/>
          <c:tx>
            <c:strRef>
              <c:f>'RAZONES FINANCIERAS'!$M$18</c:f>
              <c:strCache>
                <c:ptCount val="1"/>
                <c:pt idx="0">
                  <c:v>EFICIENCIA DEL ACT CTE</c:v>
                </c:pt>
              </c:strCache>
            </c:strRef>
          </c:tx>
          <c:spPr>
            <a:ln>
              <a:solidFill>
                <a:srgbClr val="009900"/>
              </a:solidFill>
            </a:ln>
          </c:spPr>
          <c:marker>
            <c:spPr>
              <a:solidFill>
                <a:srgbClr val="00B050"/>
              </a:solidFill>
            </c:spPr>
          </c:marker>
          <c:dLbls>
            <c:dLbl>
              <c:idx val="0"/>
              <c:layout>
                <c:manualLayout>
                  <c:x val="-4.4371940512484269E-2"/>
                  <c:y val="4.0063760574958571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5.0631359516864274E-2"/>
                  <c:y val="3.490808013810636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6394776921816E-2"/>
                  <c:y val="-2.1210226186742773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4.4371940512484269E-2"/>
                  <c:y val="-4.4777144172012437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3.697661709373689E-2"/>
                  <c:y val="-4.0063760574958571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a:solidFill>
                      <a:srgbClr val="00B05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'RAZONES FINANCIERAS'!$N$15:$S$15</c:f>
              <c:numCache>
                <c:formatCode>General</c:formatCode>
                <c:ptCount val="6"/>
                <c:pt idx="0">
                  <c:v>2008</c:v>
                </c:pt>
                <c:pt idx="1">
                  <c:v>2009</c:v>
                </c:pt>
                <c:pt idx="2">
                  <c:v>2010</c:v>
                </c:pt>
                <c:pt idx="3">
                  <c:v>2011</c:v>
                </c:pt>
                <c:pt idx="4">
                  <c:v>2012</c:v>
                </c:pt>
                <c:pt idx="5">
                  <c:v>2013</c:v>
                </c:pt>
              </c:numCache>
            </c:numRef>
          </c:cat>
          <c:val>
            <c:numRef>
              <c:f>'RAZONES FINANCIERAS'!$N$18:$S$18</c:f>
              <c:numCache>
                <c:formatCode>_(* #,##0.00_);_(* \(#,##0.00\);_(* "-"??_);_(@_)</c:formatCode>
                <c:ptCount val="6"/>
                <c:pt idx="0">
                  <c:v>1.9835535095420032</c:v>
                </c:pt>
                <c:pt idx="1">
                  <c:v>2.1121864233248564</c:v>
                </c:pt>
                <c:pt idx="2">
                  <c:v>0.8091384633340537</c:v>
                </c:pt>
                <c:pt idx="3">
                  <c:v>0.5964248178717545</c:v>
                </c:pt>
                <c:pt idx="4">
                  <c:v>1.1499147286470837</c:v>
                </c:pt>
                <c:pt idx="5">
                  <c:v>1.233023561873887</c:v>
                </c:pt>
              </c:numCache>
            </c:numRef>
          </c:val>
          <c:smooth val="0"/>
        </c:ser>
        <c:ser>
          <c:idx val="4"/>
          <c:order val="4"/>
          <c:tx>
            <c:strRef>
              <c:f>'RAZONES FINANCIERAS'!$M$19</c:f>
              <c:strCache>
                <c:ptCount val="1"/>
                <c:pt idx="0">
                  <c:v>EFICIENCIA DEL ACT FIJO</c:v>
                </c:pt>
              </c:strCache>
            </c:strRef>
          </c:tx>
          <c:spPr>
            <a:ln>
              <a:solidFill>
                <a:srgbClr val="FFFF00"/>
              </a:solidFill>
              <a:prstDash val="sysDash"/>
            </a:ln>
          </c:spPr>
          <c:dLbls>
            <c:dLbl>
              <c:idx val="2"/>
              <c:layout>
                <c:manualLayout>
                  <c:x val="-3.0738991237019671E-2"/>
                  <c:y val="-4.0170545349877747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0"/>
                  <c:y val="2.619818174992026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a:solidFill>
                      <a:srgbClr val="FF896D"/>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'RAZONES FINANCIERAS'!$N$15:$S$15</c:f>
              <c:numCache>
                <c:formatCode>General</c:formatCode>
                <c:ptCount val="6"/>
                <c:pt idx="0">
                  <c:v>2008</c:v>
                </c:pt>
                <c:pt idx="1">
                  <c:v>2009</c:v>
                </c:pt>
                <c:pt idx="2">
                  <c:v>2010</c:v>
                </c:pt>
                <c:pt idx="3">
                  <c:v>2011</c:v>
                </c:pt>
                <c:pt idx="4">
                  <c:v>2012</c:v>
                </c:pt>
                <c:pt idx="5">
                  <c:v>2013</c:v>
                </c:pt>
              </c:numCache>
            </c:numRef>
          </c:cat>
          <c:val>
            <c:numRef>
              <c:f>'RAZONES FINANCIERAS'!$N$19:$S$19</c:f>
              <c:numCache>
                <c:formatCode>_(* #,##0.00_);_(* \(#,##0.00\);_(* "-"??_);_(@_)</c:formatCode>
                <c:ptCount val="6"/>
                <c:pt idx="0">
                  <c:v>2.2107166704654668</c:v>
                </c:pt>
                <c:pt idx="1">
                  <c:v>2.2078802320873665</c:v>
                </c:pt>
                <c:pt idx="2">
                  <c:v>1.7329232682630993</c:v>
                </c:pt>
                <c:pt idx="3">
                  <c:v>2.1388842782940145</c:v>
                </c:pt>
                <c:pt idx="4">
                  <c:v>2.9828187816354572</c:v>
                </c:pt>
                <c:pt idx="5">
                  <c:v>3.9067529383399826</c:v>
                </c:pt>
              </c:numCache>
            </c:numRef>
          </c:val>
          <c:smooth val="0"/>
        </c:ser>
        <c:ser>
          <c:idx val="5"/>
          <c:order val="5"/>
          <c:tx>
            <c:strRef>
              <c:f>'RAZONES FINANCIERAS'!$M$20</c:f>
              <c:strCache>
                <c:ptCount val="1"/>
                <c:pt idx="0">
                  <c:v>EFICIENCIA DEL ACT OPERATIVO</c:v>
                </c:pt>
              </c:strCache>
            </c:strRef>
          </c:tx>
          <c:spPr>
            <a:ln cmpd="sng">
              <a:solidFill>
                <a:srgbClr val="FF0000"/>
              </a:solidFill>
              <a:prstDash val="dash"/>
            </a:ln>
          </c:spPr>
          <c:marker>
            <c:symbol val="diamond"/>
            <c:size val="13"/>
            <c:spPr>
              <a:solidFill>
                <a:srgbClr val="FF0000"/>
              </a:solidFill>
            </c:spPr>
          </c:marker>
          <c:dLbls>
            <c:dLbl>
              <c:idx val="0"/>
              <c:layout>
                <c:manualLayout>
                  <c:x val="-3.1430124529676355E-2"/>
                  <c:y val="3.53503769779046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3.4748424876630941E-2"/>
                  <c:y val="2.9691272649909641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2.2720123957797187E-2"/>
                  <c:y val="3.318436354989901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a:solidFill>
                      <a:srgbClr val="FF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'RAZONES FINANCIERAS'!$N$15:$S$15</c:f>
              <c:numCache>
                <c:formatCode>General</c:formatCode>
                <c:ptCount val="6"/>
                <c:pt idx="0">
                  <c:v>2008</c:v>
                </c:pt>
                <c:pt idx="1">
                  <c:v>2009</c:v>
                </c:pt>
                <c:pt idx="2">
                  <c:v>2010</c:v>
                </c:pt>
                <c:pt idx="3">
                  <c:v>2011</c:v>
                </c:pt>
                <c:pt idx="4">
                  <c:v>2012</c:v>
                </c:pt>
                <c:pt idx="5">
                  <c:v>2013</c:v>
                </c:pt>
              </c:numCache>
            </c:numRef>
          </c:cat>
          <c:val>
            <c:numRef>
              <c:f>'RAZONES FINANCIERAS'!$N$20:$S$20</c:f>
              <c:numCache>
                <c:formatCode>_(* #,##0.00_);_(* \(#,##0.00\);_(* "-"??_);_(@_)</c:formatCode>
                <c:ptCount val="6"/>
                <c:pt idx="0">
                  <c:v>1.0454917356556603</c:v>
                </c:pt>
                <c:pt idx="1">
                  <c:v>1.0794867353955859</c:v>
                </c:pt>
                <c:pt idx="2">
                  <c:v>0.55158962228555219</c:v>
                </c:pt>
                <c:pt idx="3">
                  <c:v>0.4663764208288057</c:v>
                </c:pt>
                <c:pt idx="4">
                  <c:v>0.8299560669357714</c:v>
                </c:pt>
                <c:pt idx="5">
                  <c:v>0.93722332540973252</c:v>
                </c:pt>
              </c:numCache>
            </c:numRef>
          </c:val>
          <c:smooth val="0"/>
        </c:ser>
        <c:dLbls>
          <c:showLegendKey val="0"/>
          <c:showVal val="0"/>
          <c:showCatName val="0"/>
          <c:showSerName val="0"/>
          <c:showPercent val="0"/>
          <c:showBubbleSize val="0"/>
        </c:dLbls>
        <c:marker val="1"/>
        <c:smooth val="0"/>
        <c:axId val="93126656"/>
        <c:axId val="93128192"/>
      </c:lineChart>
      <c:catAx>
        <c:axId val="93126656"/>
        <c:scaling>
          <c:orientation val="minMax"/>
        </c:scaling>
        <c:delete val="0"/>
        <c:axPos val="b"/>
        <c:numFmt formatCode="General" sourceLinked="1"/>
        <c:majorTickMark val="none"/>
        <c:minorTickMark val="none"/>
        <c:tickLblPos val="nextTo"/>
        <c:crossAx val="93128192"/>
        <c:crosses val="autoZero"/>
        <c:auto val="1"/>
        <c:lblAlgn val="ctr"/>
        <c:lblOffset val="100"/>
        <c:noMultiLvlLbl val="0"/>
      </c:catAx>
      <c:valAx>
        <c:axId val="93128192"/>
        <c:scaling>
          <c:orientation val="minMax"/>
          <c:max val="3"/>
          <c:min val="0"/>
        </c:scaling>
        <c:delete val="1"/>
        <c:axPos val="l"/>
        <c:numFmt formatCode="General" sourceLinked="1"/>
        <c:majorTickMark val="none"/>
        <c:minorTickMark val="none"/>
        <c:tickLblPos val="nextTo"/>
        <c:crossAx val="93126656"/>
        <c:crosses val="autoZero"/>
        <c:crossBetween val="between"/>
      </c:valAx>
      <c:spPr>
        <a:noFill/>
      </c:spPr>
    </c:plotArea>
    <c:legend>
      <c:legendPos val="b"/>
      <c:legendEntry>
        <c:idx val="0"/>
        <c:delete val="1"/>
      </c:legendEntry>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CO"/>
              <a:t>Backlog  </a:t>
            </a:r>
          </a:p>
        </c:rich>
      </c:tx>
      <c:layout/>
      <c:overlay val="1"/>
    </c:title>
    <c:autoTitleDeleted val="0"/>
    <c:plotArea>
      <c:layout>
        <c:manualLayout>
          <c:layoutTarget val="inner"/>
          <c:xMode val="edge"/>
          <c:yMode val="edge"/>
          <c:x val="3.1623932068837596E-2"/>
          <c:y val="6.8401206296204387E-2"/>
          <c:w val="0.9452380957047577"/>
          <c:h val="0.78928862311306036"/>
        </c:manualLayout>
      </c:layout>
      <c:barChart>
        <c:barDir val="col"/>
        <c:grouping val="clustered"/>
        <c:varyColors val="0"/>
        <c:ser>
          <c:idx val="0"/>
          <c:order val="0"/>
          <c:tx>
            <c:strRef>
              <c:f>BACKLOG!$B$18</c:f>
              <c:strCache>
                <c:ptCount val="1"/>
                <c:pt idx="0">
                  <c:v>Total Backlog  AÑO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BACKLOG!$C$10:$R$10</c:f>
              <c:strCache>
                <c:ptCount val="16"/>
                <c:pt idx="0">
                  <c:v>2008</c:v>
                </c:pt>
                <c:pt idx="1">
                  <c:v>2009</c:v>
                </c:pt>
                <c:pt idx="2">
                  <c:v>2010</c:v>
                </c:pt>
                <c:pt idx="3">
                  <c:v>2011</c:v>
                </c:pt>
                <c:pt idx="4">
                  <c:v>2012</c:v>
                </c:pt>
                <c:pt idx="5">
                  <c:v>2013</c:v>
                </c:pt>
                <c:pt idx="6">
                  <c:v>2014E</c:v>
                </c:pt>
                <c:pt idx="7">
                  <c:v>2015E</c:v>
                </c:pt>
                <c:pt idx="8">
                  <c:v>2016E</c:v>
                </c:pt>
                <c:pt idx="9">
                  <c:v>2017E</c:v>
                </c:pt>
                <c:pt idx="10">
                  <c:v>2018E</c:v>
                </c:pt>
                <c:pt idx="11">
                  <c:v>2019E</c:v>
                </c:pt>
                <c:pt idx="12">
                  <c:v>2020E</c:v>
                </c:pt>
                <c:pt idx="13">
                  <c:v>2021E</c:v>
                </c:pt>
                <c:pt idx="14">
                  <c:v>2022E</c:v>
                </c:pt>
                <c:pt idx="15">
                  <c:v>2023E</c:v>
                </c:pt>
              </c:strCache>
            </c:strRef>
          </c:cat>
          <c:val>
            <c:numRef>
              <c:f>BACKLOG!$C$18:$R$18</c:f>
              <c:numCache>
                <c:formatCode>_(* #,##0_);_(* \(#,##0\);_(* "-"??_);_(@_)</c:formatCode>
                <c:ptCount val="16"/>
                <c:pt idx="0">
                  <c:v>980405</c:v>
                </c:pt>
                <c:pt idx="1">
                  <c:v>870308</c:v>
                </c:pt>
                <c:pt idx="2">
                  <c:v>1561468</c:v>
                </c:pt>
                <c:pt idx="3">
                  <c:v>1298225</c:v>
                </c:pt>
                <c:pt idx="4">
                  <c:v>1311505</c:v>
                </c:pt>
                <c:pt idx="5">
                  <c:v>931411</c:v>
                </c:pt>
                <c:pt idx="6">
                  <c:v>1635888.6201693334</c:v>
                </c:pt>
                <c:pt idx="7">
                  <c:v>1988771.4518502667</c:v>
                </c:pt>
                <c:pt idx="8">
                  <c:v>1918126.6200859598</c:v>
                </c:pt>
                <c:pt idx="9">
                  <c:v>1932899.9384785555</c:v>
                </c:pt>
                <c:pt idx="10">
                  <c:v>1899150.588710411</c:v>
                </c:pt>
                <c:pt idx="11">
                  <c:v>1812026.3039654519</c:v>
                </c:pt>
                <c:pt idx="12">
                  <c:v>1766189.5907459967</c:v>
                </c:pt>
                <c:pt idx="13">
                  <c:v>1855769.206204596</c:v>
                </c:pt>
                <c:pt idx="14">
                  <c:v>1874306.783209055</c:v>
                </c:pt>
                <c:pt idx="15">
                  <c:v>1914698.11791396</c:v>
                </c:pt>
              </c:numCache>
            </c:numRef>
          </c:val>
        </c:ser>
        <c:dLbls>
          <c:showLegendKey val="0"/>
          <c:showVal val="1"/>
          <c:showCatName val="0"/>
          <c:showSerName val="0"/>
          <c:showPercent val="0"/>
          <c:showBubbleSize val="0"/>
        </c:dLbls>
        <c:gapWidth val="38"/>
        <c:overlap val="-25"/>
        <c:axId val="102656256"/>
        <c:axId val="102663296"/>
      </c:barChart>
      <c:catAx>
        <c:axId val="102656256"/>
        <c:scaling>
          <c:orientation val="minMax"/>
        </c:scaling>
        <c:delete val="0"/>
        <c:axPos val="b"/>
        <c:numFmt formatCode="General" sourceLinked="1"/>
        <c:majorTickMark val="none"/>
        <c:minorTickMark val="none"/>
        <c:tickLblPos val="nextTo"/>
        <c:txPr>
          <a:bodyPr/>
          <a:lstStyle/>
          <a:p>
            <a:pPr>
              <a:defRPr b="1"/>
            </a:pPr>
            <a:endParaRPr lang="es-CO"/>
          </a:p>
        </c:txPr>
        <c:crossAx val="102663296"/>
        <c:crosses val="autoZero"/>
        <c:auto val="1"/>
        <c:lblAlgn val="ctr"/>
        <c:lblOffset val="100"/>
        <c:noMultiLvlLbl val="0"/>
      </c:catAx>
      <c:valAx>
        <c:axId val="102663296"/>
        <c:scaling>
          <c:orientation val="minMax"/>
        </c:scaling>
        <c:delete val="1"/>
        <c:axPos val="l"/>
        <c:title>
          <c:tx>
            <c:rich>
              <a:bodyPr rot="-5400000" vert="horz"/>
              <a:lstStyle/>
              <a:p>
                <a:pPr>
                  <a:defRPr/>
                </a:pPr>
                <a:r>
                  <a:rPr lang="es-CO"/>
                  <a:t>COP Millones</a:t>
                </a:r>
              </a:p>
            </c:rich>
          </c:tx>
          <c:layout>
            <c:manualLayout>
              <c:xMode val="edge"/>
              <c:yMode val="edge"/>
              <c:x val="8.2600152761134939E-3"/>
              <c:y val="0.28252961216524153"/>
            </c:manualLayout>
          </c:layout>
          <c:overlay val="0"/>
        </c:title>
        <c:numFmt formatCode="_(* #,##0_);_(* \(#,##0\);_(* &quot;-&quot;??_);_(@_)" sourceLinked="1"/>
        <c:majorTickMark val="out"/>
        <c:minorTickMark val="none"/>
        <c:tickLblPos val="nextTo"/>
        <c:crossAx val="102656256"/>
        <c:crosses val="autoZero"/>
        <c:crossBetween val="between"/>
      </c:valAx>
    </c:plotArea>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987131921639042E-2"/>
          <c:y val="1.6759406866378859E-2"/>
          <c:w val="0.94962016676255534"/>
          <c:h val="0.87287896257839959"/>
        </c:manualLayout>
      </c:layout>
      <c:lineChart>
        <c:grouping val="standard"/>
        <c:varyColors val="0"/>
        <c:ser>
          <c:idx val="0"/>
          <c:order val="0"/>
          <c:tx>
            <c:strRef>
              <c:f>GraficaPIB!$C$5</c:f>
              <c:strCache>
                <c:ptCount val="1"/>
                <c:pt idx="0">
                  <c:v>PIB Total</c:v>
                </c:pt>
              </c:strCache>
            </c:strRef>
          </c:tx>
          <c:spPr>
            <a:ln w="57150">
              <a:solidFill>
                <a:srgbClr val="92D050"/>
              </a:solidFill>
            </a:ln>
          </c:spPr>
          <c:marker>
            <c:symbol val="diamond"/>
            <c:size val="7"/>
            <c:spPr>
              <a:solidFill>
                <a:srgbClr val="92D050"/>
              </a:solidFill>
              <a:ln w="57150"/>
            </c:spPr>
          </c:marker>
          <c:dLbls>
            <c:dLbl>
              <c:idx val="9"/>
              <c:layout>
                <c:manualLayout>
                  <c:x val="-1.0398612572168321E-2"/>
                  <c:y val="-4.6687258941075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9641823747428892E-2"/>
                  <c:y val="-4.3940949591600012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a:solidFill>
                      <a:srgbClr val="00B050"/>
                    </a:solidFill>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GraficaPIB!$B$6:$B$18</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GraficaPIB!$C$6:$C$18</c:f>
              <c:numCache>
                <c:formatCode>_(* #,##0.00_);_(* \(#,##0.00\);_(* "-"??_);_(@_)</c:formatCode>
                <c:ptCount val="13"/>
                <c:pt idx="0">
                  <c:v>1.7</c:v>
                </c:pt>
                <c:pt idx="1">
                  <c:v>2.5</c:v>
                </c:pt>
                <c:pt idx="2">
                  <c:v>3.9</c:v>
                </c:pt>
                <c:pt idx="3">
                  <c:v>5.3</c:v>
                </c:pt>
                <c:pt idx="4">
                  <c:v>4.7</c:v>
                </c:pt>
                <c:pt idx="5">
                  <c:v>6.7</c:v>
                </c:pt>
                <c:pt idx="6">
                  <c:v>6.9</c:v>
                </c:pt>
                <c:pt idx="7">
                  <c:v>3.5</c:v>
                </c:pt>
                <c:pt idx="8">
                  <c:v>1.7</c:v>
                </c:pt>
                <c:pt idx="9">
                  <c:v>4</c:v>
                </c:pt>
                <c:pt idx="10">
                  <c:v>6.6</c:v>
                </c:pt>
                <c:pt idx="11">
                  <c:v>4</c:v>
                </c:pt>
                <c:pt idx="12">
                  <c:v>4.3</c:v>
                </c:pt>
              </c:numCache>
            </c:numRef>
          </c:val>
          <c:smooth val="0"/>
        </c:ser>
        <c:ser>
          <c:idx val="1"/>
          <c:order val="1"/>
          <c:tx>
            <c:strRef>
              <c:f>GraficaPIB!$D$5</c:f>
              <c:strCache>
                <c:ptCount val="1"/>
                <c:pt idx="0">
                  <c:v>Construcción</c:v>
                </c:pt>
              </c:strCache>
            </c:strRef>
          </c:tx>
          <c:spPr>
            <a:ln w="57150" cmpd="sng">
              <a:solidFill>
                <a:srgbClr val="FF0000"/>
              </a:solidFill>
            </a:ln>
          </c:spPr>
          <c:marker>
            <c:symbol val="diamond"/>
            <c:size val="7"/>
            <c:spPr>
              <a:solidFill>
                <a:srgbClr val="FF0000"/>
              </a:solidFill>
              <a:ln w="57150">
                <a:solidFill>
                  <a:srgbClr val="FF0000"/>
                </a:solidFill>
              </a:ln>
            </c:spPr>
          </c:marker>
          <c:dLbls>
            <c:dLbl>
              <c:idx val="0"/>
              <c:layout>
                <c:manualLayout>
                  <c:x val="-3.0040436319597137E-2"/>
                  <c:y val="-3.2955712193700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426342933505922E-2"/>
                  <c:y val="-3.8448330892650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3864816762890982E-2"/>
                  <c:y val="-5.767249633897506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426342933505922E-2"/>
                  <c:y val="-3.5702021543175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8486422350521309E-2"/>
                  <c:y val="-4.9433568290550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0040436319597127E-2"/>
                  <c:y val="-4.9433568290550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9.2432111752606544E-3"/>
                  <c:y val="-4.943356829055006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8.0878097783531576E-3"/>
                  <c:y val="-3.5702021543175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3905253082488195E-2"/>
                  <c:y val="1.922416544632500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8128246097950201E-2"/>
                  <c:y val="0"/>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6.9324083814454908E-3"/>
                  <c:y val="4.6687258941075012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a:solidFill>
                      <a:srgbClr val="FF3300"/>
                    </a:solidFill>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GraficaPIB!$B$6:$B$18</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GraficaPIB!$D$6:$D$18</c:f>
              <c:numCache>
                <c:formatCode>_(* #,##0.00_);_(* \(#,##0.00\);_(* "-"??_);_(@_)</c:formatCode>
                <c:ptCount val="13"/>
                <c:pt idx="0">
                  <c:v>5.5</c:v>
                </c:pt>
                <c:pt idx="1">
                  <c:v>12.3</c:v>
                </c:pt>
                <c:pt idx="2">
                  <c:v>8.3000000000000007</c:v>
                </c:pt>
                <c:pt idx="3">
                  <c:v>10.7</c:v>
                </c:pt>
                <c:pt idx="4">
                  <c:v>6.9</c:v>
                </c:pt>
                <c:pt idx="5">
                  <c:v>12.1</c:v>
                </c:pt>
                <c:pt idx="6">
                  <c:v>8.3000000000000007</c:v>
                </c:pt>
                <c:pt idx="7">
                  <c:v>8.8000000000000007</c:v>
                </c:pt>
                <c:pt idx="8">
                  <c:v>5.3</c:v>
                </c:pt>
                <c:pt idx="9">
                  <c:v>-0.1</c:v>
                </c:pt>
                <c:pt idx="10">
                  <c:v>10</c:v>
                </c:pt>
                <c:pt idx="11">
                  <c:v>3.3</c:v>
                </c:pt>
                <c:pt idx="12">
                  <c:v>9.8000000000000007</c:v>
                </c:pt>
              </c:numCache>
            </c:numRef>
          </c:val>
          <c:smooth val="0"/>
        </c:ser>
        <c:ser>
          <c:idx val="2"/>
          <c:order val="2"/>
          <c:tx>
            <c:strRef>
              <c:f>GraficaPIB!$E$5</c:f>
              <c:strCache>
                <c:ptCount val="1"/>
                <c:pt idx="0">
                  <c:v>Obras Ing Civil</c:v>
                </c:pt>
              </c:strCache>
            </c:strRef>
          </c:tx>
          <c:spPr>
            <a:ln w="57150">
              <a:solidFill>
                <a:schemeClr val="bg2">
                  <a:lumMod val="50000"/>
                </a:schemeClr>
              </a:solidFill>
              <a:prstDash val="sysDot"/>
              <a:round/>
            </a:ln>
            <a:effectLst/>
          </c:spPr>
          <c:marker>
            <c:symbol val="diamond"/>
            <c:size val="7"/>
            <c:spPr>
              <a:solidFill>
                <a:srgbClr val="0070C0"/>
              </a:solidFill>
              <a:ln w="57150">
                <a:solidFill>
                  <a:schemeClr val="bg2">
                    <a:lumMod val="50000"/>
                  </a:schemeClr>
                </a:solidFill>
              </a:ln>
              <a:effectLst/>
            </c:spPr>
          </c:marker>
          <c:dPt>
            <c:idx val="10"/>
            <c:marker>
              <c:symbol val="triangle"/>
              <c:size val="7"/>
            </c:marker>
            <c:bubble3D val="0"/>
          </c:dPt>
          <c:dLbls>
            <c:dLbl>
              <c:idx val="0"/>
              <c:layout>
                <c:manualLayout>
                  <c:x val="-2.310802793815174E-3"/>
                  <c:y val="2.197047479580000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426342933505922E-2"/>
                  <c:y val="-4.9433568290550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7331020953613729E-2"/>
                  <c:y val="6.316511503792507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6216055876302422E-3"/>
                  <c:y val="-2.7463093494750009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b="1">
                    <a:solidFill>
                      <a:srgbClr val="0070C0"/>
                    </a:solidFill>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GraficaPIB!$B$6:$B$18</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GraficaPIB!$E$6:$E$18</c:f>
              <c:numCache>
                <c:formatCode>_(* #,##0.00_);_(* \(#,##0.00\);_(* "-"??_);_(@_)</c:formatCode>
                <c:ptCount val="13"/>
                <c:pt idx="0">
                  <c:v>5</c:v>
                </c:pt>
                <c:pt idx="1">
                  <c:v>7.1</c:v>
                </c:pt>
                <c:pt idx="2">
                  <c:v>6.1</c:v>
                </c:pt>
                <c:pt idx="3">
                  <c:v>0</c:v>
                </c:pt>
                <c:pt idx="4">
                  <c:v>11.7</c:v>
                </c:pt>
                <c:pt idx="5">
                  <c:v>12.2</c:v>
                </c:pt>
                <c:pt idx="6">
                  <c:v>15.8</c:v>
                </c:pt>
                <c:pt idx="7">
                  <c:v>4.2</c:v>
                </c:pt>
                <c:pt idx="8">
                  <c:v>13.2</c:v>
                </c:pt>
                <c:pt idx="9">
                  <c:v>0</c:v>
                </c:pt>
                <c:pt idx="10">
                  <c:v>17.399999999999999</c:v>
                </c:pt>
                <c:pt idx="11">
                  <c:v>1.5</c:v>
                </c:pt>
                <c:pt idx="12">
                  <c:v>10.4</c:v>
                </c:pt>
              </c:numCache>
            </c:numRef>
          </c:val>
          <c:smooth val="0"/>
        </c:ser>
        <c:dLbls>
          <c:dLblPos val="r"/>
          <c:showLegendKey val="0"/>
          <c:showVal val="1"/>
          <c:showCatName val="0"/>
          <c:showSerName val="0"/>
          <c:showPercent val="0"/>
          <c:showBubbleSize val="0"/>
        </c:dLbls>
        <c:marker val="1"/>
        <c:smooth val="0"/>
        <c:axId val="115675904"/>
        <c:axId val="115677440"/>
      </c:lineChart>
      <c:catAx>
        <c:axId val="115675904"/>
        <c:scaling>
          <c:orientation val="minMax"/>
        </c:scaling>
        <c:delete val="0"/>
        <c:axPos val="b"/>
        <c:numFmt formatCode="General" sourceLinked="1"/>
        <c:majorTickMark val="out"/>
        <c:minorTickMark val="none"/>
        <c:tickLblPos val="nextTo"/>
        <c:crossAx val="115677440"/>
        <c:crosses val="autoZero"/>
        <c:auto val="1"/>
        <c:lblAlgn val="ctr"/>
        <c:lblOffset val="50"/>
        <c:tickLblSkip val="1"/>
        <c:noMultiLvlLbl val="0"/>
      </c:catAx>
      <c:valAx>
        <c:axId val="115677440"/>
        <c:scaling>
          <c:orientation val="minMax"/>
        </c:scaling>
        <c:delete val="0"/>
        <c:axPos val="l"/>
        <c:numFmt formatCode="_(* #,##0.00_);_(* \(#,##0.00\);_(* &quot;-&quot;??_);_(@_)" sourceLinked="1"/>
        <c:majorTickMark val="out"/>
        <c:minorTickMark val="none"/>
        <c:tickLblPos val="nextTo"/>
        <c:crossAx val="11567590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'TAbla Valoracion'!$C$5</c:f>
              <c:strCache>
                <c:ptCount val="1"/>
                <c:pt idx="0">
                  <c:v>EBITDA</c:v>
                </c:pt>
              </c:strCache>
            </c:strRef>
          </c:tx>
          <c:spPr>
            <a:ln w="28575" cap="rnd">
              <a:solidFill>
                <a:srgbClr val="009900"/>
              </a:solidFill>
              <a:round/>
            </a:ln>
            <a:effectLst/>
          </c:spPr>
          <c:marker>
            <c:symbol val="circle"/>
            <c:size val="5"/>
            <c:spPr>
              <a:solidFill>
                <a:schemeClr val="accent1"/>
              </a:solidFill>
              <a:ln w="9525">
                <a:solidFill>
                  <a:srgbClr val="009900"/>
                </a:solidFill>
              </a:ln>
              <a:effectLst/>
            </c:spPr>
          </c:marker>
          <c:cat>
            <c:numRef>
              <c:f>'TAbla Valoracion'!$D$4:$M$4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Valoracion'!$D$5:$M$5</c:f>
              <c:numCache>
                <c:formatCode>_(* #,##0.00_);_(* \(#,##0.00\);_(* "-"??_);_(@_)</c:formatCode>
                <c:ptCount val="10"/>
                <c:pt idx="0">
                  <c:v>65483.331474999999</c:v>
                </c:pt>
                <c:pt idx="1">
                  <c:v>70141.155462500014</c:v>
                </c:pt>
                <c:pt idx="2">
                  <c:v>74886.660016750015</c:v>
                </c:pt>
                <c:pt idx="3">
                  <c:v>79652.992828025061</c:v>
                </c:pt>
                <c:pt idx="4">
                  <c:v>84351.49228234755</c:v>
                </c:pt>
                <c:pt idx="5">
                  <c:v>88866.481716406328</c:v>
                </c:pt>
                <c:pt idx="6">
                  <c:v>93048.938135035773</c:v>
                </c:pt>
                <c:pt idx="7">
                  <c:v>96708.801844925969</c:v>
                </c:pt>
                <c:pt idx="8">
                  <c:v>99605.645905082463</c:v>
                </c:pt>
                <c:pt idx="9">
                  <c:v>101437.36714638735</c:v>
                </c:pt>
              </c:numCache>
            </c:numRef>
          </c:val>
          <c:smooth val="0"/>
        </c:ser>
        <c:ser>
          <c:idx val="1"/>
          <c:order val="1"/>
          <c:tx>
            <c:strRef>
              <c:f>'TAbla Valoracion'!$C$6</c:f>
              <c:strCache>
                <c:ptCount val="1"/>
                <c:pt idx="0">
                  <c:v>UODI</c:v>
                </c:pt>
              </c:strCache>
            </c:strRef>
          </c:tx>
          <c:spPr>
            <a:ln w="28575" cap="rnd">
              <a:solidFill>
                <a:srgbClr val="7030A0"/>
              </a:solidFill>
              <a:round/>
            </a:ln>
            <a:effectLst/>
          </c:spPr>
          <c:marker>
            <c:symbol val="circle"/>
            <c:size val="5"/>
            <c:spPr>
              <a:solidFill>
                <a:schemeClr val="accent2"/>
              </a:solidFill>
              <a:ln w="9525">
                <a:solidFill>
                  <a:srgbClr val="7030A0"/>
                </a:solidFill>
              </a:ln>
              <a:effectLst/>
            </c:spPr>
          </c:marker>
          <c:cat>
            <c:numRef>
              <c:f>'TAbla Valoracion'!$D$4:$M$4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Valoracion'!$D$6:$M$6</c:f>
              <c:numCache>
                <c:formatCode>_(* #,##0.00_);_(* \(#,##0.00\);_(* "-"??_);_(@_)</c:formatCode>
                <c:ptCount val="10"/>
                <c:pt idx="0">
                  <c:v>43218.998773500003</c:v>
                </c:pt>
                <c:pt idx="1">
                  <c:v>46293.162605250007</c:v>
                </c:pt>
                <c:pt idx="2">
                  <c:v>49425.195611055009</c:v>
                </c:pt>
                <c:pt idx="3">
                  <c:v>52570.975266496534</c:v>
                </c:pt>
                <c:pt idx="4">
                  <c:v>55671.984906349382</c:v>
                </c:pt>
                <c:pt idx="5">
                  <c:v>58651.877932828174</c:v>
                </c:pt>
                <c:pt idx="6">
                  <c:v>61412.299169123609</c:v>
                </c:pt>
                <c:pt idx="7">
                  <c:v>63827.809217651135</c:v>
                </c:pt>
                <c:pt idx="8">
                  <c:v>65739.726297354413</c:v>
                </c:pt>
                <c:pt idx="9">
                  <c:v>66948.66231661565</c:v>
                </c:pt>
              </c:numCache>
            </c:numRef>
          </c:val>
          <c:smooth val="0"/>
        </c:ser>
        <c:ser>
          <c:idx val="2"/>
          <c:order val="2"/>
          <c:tx>
            <c:strRef>
              <c:f>'TAbla Valoracion'!$C$7</c:f>
              <c:strCache>
                <c:ptCount val="1"/>
                <c:pt idx="0">
                  <c:v>WACC</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'TAbla Valoracion'!$D$4:$M$4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Valoracion'!$D$7:$M$7</c:f>
            </c:numRef>
          </c:val>
          <c:smooth val="0"/>
        </c:ser>
        <c:ser>
          <c:idx val="3"/>
          <c:order val="3"/>
          <c:tx>
            <c:strRef>
              <c:f>'TAbla Valoracion'!$C$8</c:f>
              <c:strCache>
                <c:ptCount val="1"/>
                <c:pt idx="0">
                  <c:v>FCL</c:v>
                </c:pt>
              </c:strCache>
            </c:strRef>
          </c:tx>
          <c:spPr>
            <a:ln w="28575" cap="rnd">
              <a:solidFill>
                <a:srgbClr val="FF0000"/>
              </a:solidFill>
              <a:round/>
            </a:ln>
            <a:effectLst/>
          </c:spPr>
          <c:marker>
            <c:symbol val="circle"/>
            <c:size val="5"/>
            <c:spPr>
              <a:solidFill>
                <a:schemeClr val="accent4"/>
              </a:solidFill>
              <a:ln w="9525">
                <a:solidFill>
                  <a:srgbClr val="FF0000"/>
                </a:solidFill>
              </a:ln>
              <a:effectLst/>
            </c:spPr>
          </c:marker>
          <c:cat>
            <c:numRef>
              <c:f>'TAbla Valoracion'!$D$4:$M$4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Valoracion'!$D$8:$M$8</c:f>
              <c:numCache>
                <c:formatCode>_(* #,##0.00_);_(* \(#,##0.00\);_(* "-"??_);_(@_)</c:formatCode>
                <c:ptCount val="10"/>
                <c:pt idx="0">
                  <c:v>49270.922004520085</c:v>
                </c:pt>
                <c:pt idx="1">
                  <c:v>68272.877440564596</c:v>
                </c:pt>
                <c:pt idx="2">
                  <c:v>71232.471382563468</c:v>
                </c:pt>
                <c:pt idx="3">
                  <c:v>76835.433417706925</c:v>
                </c:pt>
                <c:pt idx="4">
                  <c:v>83524.889834236252</c:v>
                </c:pt>
                <c:pt idx="5">
                  <c:v>90207.133223382683</c:v>
                </c:pt>
                <c:pt idx="6">
                  <c:v>93085.968148675442</c:v>
                </c:pt>
                <c:pt idx="7">
                  <c:v>101460.90532028783</c:v>
                </c:pt>
                <c:pt idx="8">
                  <c:v>107298.45238312044</c:v>
                </c:pt>
                <c:pt idx="9">
                  <c:v>112676.08308219929</c:v>
                </c:pt>
              </c:numCache>
            </c:numRef>
          </c:val>
          <c:smooth val="0"/>
        </c:ser>
        <c:dLbls>
          <c:showLegendKey val="0"/>
          <c:showVal val="0"/>
          <c:showCatName val="0"/>
          <c:showSerName val="0"/>
          <c:showPercent val="0"/>
          <c:showBubbleSize val="0"/>
        </c:dLbls>
        <c:marker val="1"/>
        <c:smooth val="0"/>
        <c:axId val="115856128"/>
        <c:axId val="115858048"/>
      </c:lineChart>
      <c:catAx>
        <c:axId val="11585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858048"/>
        <c:crosses val="autoZero"/>
        <c:auto val="1"/>
        <c:lblAlgn val="ctr"/>
        <c:lblOffset val="100"/>
        <c:noMultiLvlLbl val="0"/>
      </c:catAx>
      <c:valAx>
        <c:axId val="1158580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856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'TAbla Valoracion'!$D$34</c:f>
              <c:strCache>
                <c:ptCount val="1"/>
                <c:pt idx="0">
                  <c:v>Activos Fijos</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cat>
            <c:numRef>
              <c:f>'TAbla Valoracion'!$E$33:$N$33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Valoracion'!$E$34:$N$34</c:f>
              <c:numCache>
                <c:formatCode>_(* #,##0.00_);_(* \(#,##0.00\);_(* "-"??_);_(@_)</c:formatCode>
                <c:ptCount val="10"/>
                <c:pt idx="0">
                  <c:v>42852.315000000002</c:v>
                </c:pt>
                <c:pt idx="1">
                  <c:v>49059.315000000002</c:v>
                </c:pt>
                <c:pt idx="2">
                  <c:v>55266.315000000002</c:v>
                </c:pt>
                <c:pt idx="3">
                  <c:v>61473.315000000002</c:v>
                </c:pt>
                <c:pt idx="4">
                  <c:v>67680.315000000002</c:v>
                </c:pt>
                <c:pt idx="5">
                  <c:v>73887.315000000002</c:v>
                </c:pt>
                <c:pt idx="6">
                  <c:v>80094.315000000002</c:v>
                </c:pt>
                <c:pt idx="7">
                  <c:v>86301.315000000002</c:v>
                </c:pt>
                <c:pt idx="8">
                  <c:v>92508.315000000002</c:v>
                </c:pt>
                <c:pt idx="9">
                  <c:v>98715.315000000002</c:v>
                </c:pt>
              </c:numCache>
            </c:numRef>
          </c:val>
          <c:smooth val="0"/>
        </c:ser>
        <c:ser>
          <c:idx val="1"/>
          <c:order val="1"/>
          <c:tx>
            <c:strRef>
              <c:f>'TAbla Valoracion'!$D$35</c:f>
              <c:strCache>
                <c:ptCount val="1"/>
                <c:pt idx="0">
                  <c:v>Inversiones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'TAbla Valoracion'!$E$33:$N$33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Valoracion'!$E$35:$N$35</c:f>
              <c:numCache>
                <c:formatCode>_(* #,##0.00_);_(* \(#,##0.00\);_(* "-"??_);_(@_)</c:formatCode>
                <c:ptCount val="10"/>
                <c:pt idx="0">
                  <c:v>319057.59957123292</c:v>
                </c:pt>
                <c:pt idx="1">
                  <c:v>321462.09162597265</c:v>
                </c:pt>
                <c:pt idx="2">
                  <c:v>355846.32800875074</c:v>
                </c:pt>
                <c:pt idx="3">
                  <c:v>391430.96080962586</c:v>
                </c:pt>
                <c:pt idx="4">
                  <c:v>430574.05689058849</c:v>
                </c:pt>
                <c:pt idx="5">
                  <c:v>473631.46257964743</c:v>
                </c:pt>
                <c:pt idx="6">
                  <c:v>520994.60883761215</c:v>
                </c:pt>
                <c:pt idx="7">
                  <c:v>573094.0697213735</c:v>
                </c:pt>
                <c:pt idx="8">
                  <c:v>630403.47669351089</c:v>
                </c:pt>
                <c:pt idx="9">
                  <c:v>693443.82436286204</c:v>
                </c:pt>
              </c:numCache>
            </c:numRef>
          </c:val>
          <c:smooth val="0"/>
        </c:ser>
        <c:dLbls>
          <c:showLegendKey val="0"/>
          <c:showVal val="0"/>
          <c:showCatName val="0"/>
          <c:showSerName val="0"/>
          <c:showPercent val="0"/>
          <c:showBubbleSize val="0"/>
        </c:dLbls>
        <c:marker val="1"/>
        <c:smooth val="0"/>
        <c:axId val="115878912"/>
        <c:axId val="115901568"/>
      </c:lineChart>
      <c:catAx>
        <c:axId val="115878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901568"/>
        <c:crosses val="autoZero"/>
        <c:auto val="1"/>
        <c:lblAlgn val="ctr"/>
        <c:lblOffset val="100"/>
        <c:noMultiLvlLbl val="0"/>
      </c:catAx>
      <c:valAx>
        <c:axId val="11590156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87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'TAbla Valoracion'!$D$55</c:f>
              <c:strCache>
                <c:ptCount val="1"/>
                <c:pt idx="0">
                  <c:v>ingresos operacionales</c:v>
                </c:pt>
              </c:strCache>
            </c:strRef>
          </c:tx>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'TAbla Valoracion'!$E$54:$N$54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Valoracion'!$E$55:$N$55</c:f>
              <c:numCache>
                <c:formatCode>_(* #,##0_);_(* \(#,##0\);_(* "-"??_);_(@_)</c:formatCode>
                <c:ptCount val="10"/>
                <c:pt idx="0">
                  <c:v>337553.69230000005</c:v>
                </c:pt>
                <c:pt idx="1">
                  <c:v>371309.06153000006</c:v>
                </c:pt>
                <c:pt idx="2">
                  <c:v>408439.96768300008</c:v>
                </c:pt>
                <c:pt idx="3">
                  <c:v>449283.96445130015</c:v>
                </c:pt>
                <c:pt idx="4">
                  <c:v>494212.36089643021</c:v>
                </c:pt>
                <c:pt idx="5">
                  <c:v>543633.5969860733</c:v>
                </c:pt>
                <c:pt idx="6">
                  <c:v>597996.95668468066</c:v>
                </c:pt>
                <c:pt idx="7">
                  <c:v>657796.65235314879</c:v>
                </c:pt>
                <c:pt idx="8">
                  <c:v>723576.31758846377</c:v>
                </c:pt>
                <c:pt idx="9">
                  <c:v>795933.94934731023</c:v>
                </c:pt>
              </c:numCache>
            </c:numRef>
          </c:val>
        </c:ser>
        <c:ser>
          <c:idx val="1"/>
          <c:order val="1"/>
          <c:tx>
            <c:strRef>
              <c:f>'TAbla Valoracion'!$D$56</c:f>
              <c:strCache>
                <c:ptCount val="1"/>
                <c:pt idx="0">
                  <c:v>costos operacionales</c:v>
                </c:pt>
              </c:strCache>
            </c:strRef>
          </c:tx>
          <c:spPr>
            <a:solidFill>
              <a:srgbClr val="FF0000"/>
            </a:solidFill>
            <a:ln>
              <a:solidFill>
                <a:srgbClr val="FF0000"/>
              </a:solid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'TAbla Valoracion'!$E$54:$N$54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'TAbla Valoracion'!$E$56:$N$56</c:f>
              <c:numCache>
                <c:formatCode>_(* #,##0_);_(* \(#,##0\);_(* "-"??_);_(@_)</c:formatCode>
                <c:ptCount val="10"/>
                <c:pt idx="0">
                  <c:v>253165.26922500005</c:v>
                </c:pt>
                <c:pt idx="1">
                  <c:v>278481.79614750005</c:v>
                </c:pt>
                <c:pt idx="2">
                  <c:v>306329.97576225008</c:v>
                </c:pt>
                <c:pt idx="3">
                  <c:v>336962.9733384751</c:v>
                </c:pt>
                <c:pt idx="4">
                  <c:v>370659.27067232266</c:v>
                </c:pt>
                <c:pt idx="5">
                  <c:v>407725.19773955498</c:v>
                </c:pt>
                <c:pt idx="6">
                  <c:v>448497.71751351049</c:v>
                </c:pt>
                <c:pt idx="7">
                  <c:v>493347.48926486156</c:v>
                </c:pt>
                <c:pt idx="8">
                  <c:v>542682.2381913478</c:v>
                </c:pt>
                <c:pt idx="9">
                  <c:v>596950.46201048268</c:v>
                </c:pt>
              </c:numCache>
            </c:numRef>
          </c:val>
        </c:ser>
        <c:dLbls>
          <c:showLegendKey val="0"/>
          <c:showVal val="1"/>
          <c:showCatName val="0"/>
          <c:showSerName val="0"/>
          <c:showPercent val="0"/>
          <c:showBubbleSize val="0"/>
        </c:dLbls>
        <c:gapWidth val="75"/>
        <c:axId val="116005504"/>
        <c:axId val="116015488"/>
      </c:barChart>
      <c:catAx>
        <c:axId val="116005504"/>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015488"/>
        <c:crosses val="autoZero"/>
        <c:auto val="1"/>
        <c:lblAlgn val="ctr"/>
        <c:lblOffset val="100"/>
        <c:noMultiLvlLbl val="0"/>
      </c:catAx>
      <c:valAx>
        <c:axId val="116015488"/>
        <c:scaling>
          <c:orientation val="minMax"/>
        </c:scaling>
        <c:delete val="0"/>
        <c:axPos val="b"/>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00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400"/>
            </a:pPr>
            <a:r>
              <a:rPr lang="es-CO" sz="1400"/>
              <a:t>Composición Histórica del Activo</a:t>
            </a:r>
          </a:p>
        </c:rich>
      </c:tx>
      <c:overlay val="0"/>
    </c:title>
    <c:autoTitleDeleted val="0"/>
    <c:view3D>
      <c:rotX val="15"/>
      <c:rotY val="20"/>
      <c:rAngAx val="1"/>
    </c:view3D>
    <c:floor>
      <c:thickness val="0"/>
      <c:spPr>
        <a:solidFill>
          <a:schemeClr val="bg1">
            <a:lumMod val="95000"/>
            <a:alpha val="11000"/>
          </a:schemeClr>
        </a:solidFill>
        <a:ln>
          <a:solidFill>
            <a:schemeClr val="bg1">
              <a:lumMod val="75000"/>
            </a:schemeClr>
          </a:solidFill>
        </a:ln>
      </c:spPr>
    </c:floor>
    <c:sideWall>
      <c:thickness val="0"/>
    </c:sideWall>
    <c:backWall>
      <c:thickness val="0"/>
    </c:backWall>
    <c:plotArea>
      <c:layout>
        <c:manualLayout>
          <c:layoutTarget val="inner"/>
          <c:xMode val="edge"/>
          <c:yMode val="edge"/>
          <c:x val="2.8686677323229333E-2"/>
          <c:y val="0.17171296296296296"/>
          <c:w val="0.94080003157500047"/>
          <c:h val="0.61199547973170021"/>
        </c:manualLayout>
      </c:layout>
      <c:bar3DChart>
        <c:barDir val="col"/>
        <c:grouping val="stacked"/>
        <c:varyColors val="0"/>
        <c:ser>
          <c:idx val="0"/>
          <c:order val="0"/>
          <c:tx>
            <c:strRef>
              <c:f>'AV&amp;H BG'!$C$98</c:f>
              <c:strCache>
                <c:ptCount val="1"/>
                <c:pt idx="0">
                  <c:v>ACTIVO CORRIENTE</c:v>
                </c:pt>
              </c:strCache>
            </c:strRef>
          </c:tx>
          <c:spPr>
            <a:solidFill>
              <a:srgbClr val="00B050"/>
            </a:solidFill>
          </c:spPr>
          <c:invertIfNegative val="0"/>
          <c:dLbls>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BG'!$D$97:$I$97</c:f>
              <c:numCache>
                <c:formatCode>General</c:formatCode>
                <c:ptCount val="6"/>
                <c:pt idx="0">
                  <c:v>2008</c:v>
                </c:pt>
                <c:pt idx="1">
                  <c:v>2009</c:v>
                </c:pt>
                <c:pt idx="2">
                  <c:v>2010</c:v>
                </c:pt>
                <c:pt idx="3">
                  <c:v>2011</c:v>
                </c:pt>
                <c:pt idx="4">
                  <c:v>2012</c:v>
                </c:pt>
                <c:pt idx="5">
                  <c:v>2013</c:v>
                </c:pt>
              </c:numCache>
            </c:numRef>
          </c:cat>
          <c:val>
            <c:numRef>
              <c:f>'AV&amp;H BG'!$D$98:$I$98</c:f>
              <c:numCache>
                <c:formatCode>0.00%</c:formatCode>
                <c:ptCount val="6"/>
                <c:pt idx="0">
                  <c:v>0.28897402980369352</c:v>
                </c:pt>
                <c:pt idx="1">
                  <c:v>0.25864260597356103</c:v>
                </c:pt>
                <c:pt idx="2">
                  <c:v>0.52086943812937636</c:v>
                </c:pt>
                <c:pt idx="3">
                  <c:v>0.57642986282692166</c:v>
                </c:pt>
                <c:pt idx="4">
                  <c:v>0.28482530007428342</c:v>
                </c:pt>
                <c:pt idx="5">
                  <c:v>0.29046565273278901</c:v>
                </c:pt>
              </c:numCache>
            </c:numRef>
          </c:val>
        </c:ser>
        <c:ser>
          <c:idx val="1"/>
          <c:order val="1"/>
          <c:tx>
            <c:strRef>
              <c:f>'AV&amp;H BG'!$C$99</c:f>
              <c:strCache>
                <c:ptCount val="1"/>
                <c:pt idx="0">
                  <c:v>ACTIVO NO CORRIENTE</c:v>
                </c:pt>
              </c:strCache>
            </c:strRef>
          </c:tx>
          <c:invertIfNegative val="0"/>
          <c:dLbls>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BG'!$D$97:$I$97</c:f>
              <c:numCache>
                <c:formatCode>General</c:formatCode>
                <c:ptCount val="6"/>
                <c:pt idx="0">
                  <c:v>2008</c:v>
                </c:pt>
                <c:pt idx="1">
                  <c:v>2009</c:v>
                </c:pt>
                <c:pt idx="2">
                  <c:v>2010</c:v>
                </c:pt>
                <c:pt idx="3">
                  <c:v>2011</c:v>
                </c:pt>
                <c:pt idx="4">
                  <c:v>2012</c:v>
                </c:pt>
                <c:pt idx="5">
                  <c:v>2013</c:v>
                </c:pt>
              </c:numCache>
            </c:numRef>
          </c:cat>
          <c:val>
            <c:numRef>
              <c:f>'AV&amp;H BG'!$D$99:$I$99</c:f>
              <c:numCache>
                <c:formatCode>0.00%</c:formatCode>
                <c:ptCount val="6"/>
                <c:pt idx="0">
                  <c:v>0.71102597019630642</c:v>
                </c:pt>
                <c:pt idx="1">
                  <c:v>0.74135739402643885</c:v>
                </c:pt>
                <c:pt idx="2">
                  <c:v>0.47913056187062358</c:v>
                </c:pt>
                <c:pt idx="3">
                  <c:v>0.42357013717307845</c:v>
                </c:pt>
                <c:pt idx="4">
                  <c:v>0.71517469992571658</c:v>
                </c:pt>
                <c:pt idx="5">
                  <c:v>0.70953434726721099</c:v>
                </c:pt>
              </c:numCache>
            </c:numRef>
          </c:val>
        </c:ser>
        <c:dLbls>
          <c:showLegendKey val="0"/>
          <c:showVal val="1"/>
          <c:showCatName val="0"/>
          <c:showSerName val="0"/>
          <c:showPercent val="0"/>
          <c:showBubbleSize val="0"/>
        </c:dLbls>
        <c:gapWidth val="68"/>
        <c:gapDepth val="70"/>
        <c:shape val="box"/>
        <c:axId val="94433664"/>
        <c:axId val="94435200"/>
        <c:axId val="0"/>
      </c:bar3DChart>
      <c:catAx>
        <c:axId val="94433664"/>
        <c:scaling>
          <c:orientation val="minMax"/>
        </c:scaling>
        <c:delete val="0"/>
        <c:axPos val="b"/>
        <c:numFmt formatCode="General" sourceLinked="1"/>
        <c:majorTickMark val="none"/>
        <c:minorTickMark val="none"/>
        <c:tickLblPos val="nextTo"/>
        <c:txPr>
          <a:bodyPr/>
          <a:lstStyle/>
          <a:p>
            <a:pPr>
              <a:defRPr b="1"/>
            </a:pPr>
            <a:endParaRPr lang="es-CO"/>
          </a:p>
        </c:txPr>
        <c:crossAx val="94435200"/>
        <c:crosses val="autoZero"/>
        <c:auto val="1"/>
        <c:lblAlgn val="ctr"/>
        <c:lblOffset val="100"/>
        <c:noMultiLvlLbl val="0"/>
      </c:catAx>
      <c:valAx>
        <c:axId val="94435200"/>
        <c:scaling>
          <c:orientation val="minMax"/>
        </c:scaling>
        <c:delete val="1"/>
        <c:axPos val="l"/>
        <c:numFmt formatCode="0.00%" sourceLinked="1"/>
        <c:majorTickMark val="out"/>
        <c:minorTickMark val="none"/>
        <c:tickLblPos val="nextTo"/>
        <c:crossAx val="94433664"/>
        <c:crosses val="autoZero"/>
        <c:crossBetween val="between"/>
      </c:valAx>
    </c:plotArea>
    <c:legend>
      <c:legendPos val="b"/>
      <c:overlay val="0"/>
      <c:spPr>
        <a:ln>
          <a:solidFill>
            <a:schemeClr val="bg1">
              <a:lumMod val="95000"/>
            </a:schemeClr>
          </a:solidFill>
        </a:ln>
      </c:spPr>
      <c:txPr>
        <a:bodyPr/>
        <a:lstStyle/>
        <a:p>
          <a:pPr>
            <a:defRPr sz="800" b="1"/>
          </a:pPr>
          <a:endParaRPr lang="es-CO"/>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5922260616703487"/>
          <c:y val="5.0925925925925923E-2"/>
          <c:w val="0.78742007968428407"/>
          <c:h val="0.72159922717993585"/>
        </c:manualLayout>
      </c:layout>
      <c:barChart>
        <c:barDir val="bar"/>
        <c:grouping val="stacked"/>
        <c:varyColors val="0"/>
        <c:ser>
          <c:idx val="0"/>
          <c:order val="0"/>
          <c:tx>
            <c:strRef>
              <c:f>'AV&amp;H BG'!$L$98</c:f>
              <c:strCache>
                <c:ptCount val="1"/>
                <c:pt idx="0">
                  <c:v>ACTIVO CORRIENTE</c:v>
                </c:pt>
              </c:strCache>
            </c:strRef>
          </c:tx>
          <c:spPr>
            <a:solidFill>
              <a:schemeClr val="bg2">
                <a:lumMod val="50000"/>
              </a:schemeClr>
            </a:solidFill>
          </c:spPr>
          <c:invertIfNegative val="0"/>
          <c:cat>
            <c:strRef>
              <c:f>'AV&amp;H BG'!$M$97:$Q$97</c:f>
              <c:strCache>
                <c:ptCount val="5"/>
                <c:pt idx="0">
                  <c:v>2008-2009</c:v>
                </c:pt>
                <c:pt idx="1">
                  <c:v>2009-2010</c:v>
                </c:pt>
                <c:pt idx="2">
                  <c:v>2010-2011</c:v>
                </c:pt>
                <c:pt idx="3">
                  <c:v>2011-2012</c:v>
                </c:pt>
                <c:pt idx="4">
                  <c:v>2012-2013</c:v>
                </c:pt>
              </c:strCache>
            </c:strRef>
          </c:cat>
          <c:val>
            <c:numRef>
              <c:f>'AV&amp;H BG'!$M$98:$Q$98</c:f>
              <c:numCache>
                <c:formatCode>0.00%</c:formatCode>
                <c:ptCount val="5"/>
                <c:pt idx="0">
                  <c:v>9.2700006976145319E-2</c:v>
                </c:pt>
                <c:pt idx="1">
                  <c:v>1.5130506355294495</c:v>
                </c:pt>
                <c:pt idx="2">
                  <c:v>0.5174383307241609</c:v>
                </c:pt>
                <c:pt idx="3">
                  <c:v>-0.42693005985849364</c:v>
                </c:pt>
                <c:pt idx="4">
                  <c:v>8.0013904279008938E-2</c:v>
                </c:pt>
              </c:numCache>
            </c:numRef>
          </c:val>
        </c:ser>
        <c:ser>
          <c:idx val="1"/>
          <c:order val="1"/>
          <c:tx>
            <c:strRef>
              <c:f>'AV&amp;H BG'!$L$99</c:f>
              <c:strCache>
                <c:ptCount val="1"/>
                <c:pt idx="0">
                  <c:v>ACTIVO NO CORRIENTE</c:v>
                </c:pt>
              </c:strCache>
            </c:strRef>
          </c:tx>
          <c:spPr>
            <a:solidFill>
              <a:schemeClr val="bg2">
                <a:lumMod val="90000"/>
              </a:schemeClr>
            </a:solidFill>
          </c:spPr>
          <c:invertIfNegative val="0"/>
          <c:cat>
            <c:strRef>
              <c:f>'AV&amp;H BG'!$M$97:$Q$97</c:f>
              <c:strCache>
                <c:ptCount val="5"/>
                <c:pt idx="0">
                  <c:v>2008-2009</c:v>
                </c:pt>
                <c:pt idx="1">
                  <c:v>2009-2010</c:v>
                </c:pt>
                <c:pt idx="2">
                  <c:v>2010-2011</c:v>
                </c:pt>
                <c:pt idx="3">
                  <c:v>2011-2012</c:v>
                </c:pt>
                <c:pt idx="4">
                  <c:v>2012-2013</c:v>
                </c:pt>
              </c:strCache>
            </c:strRef>
          </c:cat>
          <c:val>
            <c:numRef>
              <c:f>'AV&amp;H BG'!$M$99:$Q$99</c:f>
              <c:numCache>
                <c:formatCode>0.00%</c:formatCode>
                <c:ptCount val="5"/>
                <c:pt idx="0">
                  <c:v>0.27292217609394098</c:v>
                </c:pt>
                <c:pt idx="1">
                  <c:v>-0.19351056799597408</c:v>
                </c:pt>
                <c:pt idx="2">
                  <c:v>0.21217385934764396</c:v>
                </c:pt>
                <c:pt idx="3">
                  <c:v>0.95822389540929109</c:v>
                </c:pt>
                <c:pt idx="4">
                  <c:v>5.0689535118738534E-2</c:v>
                </c:pt>
              </c:numCache>
            </c:numRef>
          </c:val>
        </c:ser>
        <c:ser>
          <c:idx val="2"/>
          <c:order val="2"/>
          <c:tx>
            <c:strRef>
              <c:f>'AV&amp;H BG'!$L$100</c:f>
              <c:strCache>
                <c:ptCount val="1"/>
                <c:pt idx="0">
                  <c:v>TOTAL ACTIVO</c:v>
                </c:pt>
              </c:strCache>
            </c:strRef>
          </c:tx>
          <c:invertIfNegative val="0"/>
          <c:cat>
            <c:strRef>
              <c:f>'AV&amp;H BG'!$M$97:$Q$97</c:f>
              <c:strCache>
                <c:ptCount val="5"/>
                <c:pt idx="0">
                  <c:v>2008-2009</c:v>
                </c:pt>
                <c:pt idx="1">
                  <c:v>2009-2010</c:v>
                </c:pt>
                <c:pt idx="2">
                  <c:v>2010-2011</c:v>
                </c:pt>
                <c:pt idx="3">
                  <c:v>2011-2012</c:v>
                </c:pt>
                <c:pt idx="4">
                  <c:v>2012-2013</c:v>
                </c:pt>
              </c:strCache>
            </c:strRef>
          </c:cat>
          <c:val>
            <c:numRef>
              <c:f>'AV&amp;H BG'!$M$100:$Q$100</c:f>
              <c:numCache>
                <c:formatCode>0.00%</c:formatCode>
                <c:ptCount val="5"/>
                <c:pt idx="0">
                  <c:v>0.22084264962400885</c:v>
                </c:pt>
                <c:pt idx="1">
                  <c:v>0.24787886893721808</c:v>
                </c:pt>
                <c:pt idx="2">
                  <c:v>0.37117679303439133</c:v>
                </c:pt>
                <c:pt idx="3">
                  <c:v>0.15977979098011416</c:v>
                </c:pt>
                <c:pt idx="4">
                  <c:v>5.9041857364301613E-2</c:v>
                </c:pt>
              </c:numCache>
            </c:numRef>
          </c:val>
        </c:ser>
        <c:dLbls>
          <c:showLegendKey val="0"/>
          <c:showVal val="0"/>
          <c:showCatName val="0"/>
          <c:showSerName val="0"/>
          <c:showPercent val="0"/>
          <c:showBubbleSize val="0"/>
        </c:dLbls>
        <c:gapWidth val="150"/>
        <c:overlap val="100"/>
        <c:axId val="94514176"/>
        <c:axId val="94515968"/>
      </c:barChart>
      <c:catAx>
        <c:axId val="94514176"/>
        <c:scaling>
          <c:orientation val="minMax"/>
        </c:scaling>
        <c:delete val="0"/>
        <c:axPos val="l"/>
        <c:numFmt formatCode="General" sourceLinked="0"/>
        <c:majorTickMark val="out"/>
        <c:minorTickMark val="none"/>
        <c:tickLblPos val="low"/>
        <c:spPr>
          <a:ln w="15875">
            <a:solidFill>
              <a:schemeClr val="tx1"/>
            </a:solidFill>
          </a:ln>
        </c:spPr>
        <c:txPr>
          <a:bodyPr/>
          <a:lstStyle/>
          <a:p>
            <a:pPr>
              <a:defRPr b="1"/>
            </a:pPr>
            <a:endParaRPr lang="es-CO"/>
          </a:p>
        </c:txPr>
        <c:crossAx val="94515968"/>
        <c:crosses val="autoZero"/>
        <c:auto val="1"/>
        <c:lblAlgn val="ctr"/>
        <c:lblOffset val="100"/>
        <c:noMultiLvlLbl val="0"/>
      </c:catAx>
      <c:valAx>
        <c:axId val="94515968"/>
        <c:scaling>
          <c:orientation val="minMax"/>
        </c:scaling>
        <c:delete val="0"/>
        <c:axPos val="b"/>
        <c:majorGridlines>
          <c:spPr>
            <a:ln>
              <a:solidFill>
                <a:schemeClr val="bg1">
                  <a:lumMod val="95000"/>
                </a:schemeClr>
              </a:solidFill>
            </a:ln>
          </c:spPr>
        </c:majorGridlines>
        <c:numFmt formatCode="0%" sourceLinked="0"/>
        <c:majorTickMark val="out"/>
        <c:minorTickMark val="none"/>
        <c:tickLblPos val="nextTo"/>
        <c:spPr>
          <a:ln w="15875">
            <a:solidFill>
              <a:schemeClr val="tx1"/>
            </a:solidFill>
          </a:ln>
        </c:spPr>
        <c:txPr>
          <a:bodyPr/>
          <a:lstStyle/>
          <a:p>
            <a:pPr>
              <a:defRPr b="1"/>
            </a:pPr>
            <a:endParaRPr lang="es-CO"/>
          </a:p>
        </c:txPr>
        <c:crossAx val="94514176"/>
        <c:crosses val="autoZero"/>
        <c:crossBetween val="between"/>
      </c:valAx>
    </c:plotArea>
    <c:legend>
      <c:legendPos val="b"/>
      <c:overlay val="0"/>
      <c:spPr>
        <a:ln>
          <a:solidFill>
            <a:schemeClr val="bg1">
              <a:lumMod val="95000"/>
            </a:schemeClr>
          </a:solidFill>
        </a:ln>
      </c:spPr>
      <c:txPr>
        <a:bodyPr/>
        <a:lstStyle/>
        <a:p>
          <a:pPr>
            <a:defRPr sz="800" b="1"/>
          </a:pPr>
          <a:endParaRPr lang="es-CO"/>
        </a:p>
      </c:txPr>
    </c:legend>
    <c:plotVisOnly val="1"/>
    <c:dispBlanksAs val="zero"/>
    <c:showDLblsOverMax val="0"/>
  </c:chart>
  <c:spPr>
    <a:ln>
      <a:solidFill>
        <a:schemeClr val="bg1">
          <a:lumMod val="85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3.6182717595598587E-2"/>
          <c:y val="0.16316129774242791"/>
          <c:w val="0.96019901064484159"/>
          <c:h val="0.82900708329851758"/>
        </c:manualLayout>
      </c:layout>
      <c:lineChart>
        <c:grouping val="stacked"/>
        <c:varyColors val="0"/>
        <c:ser>
          <c:idx val="0"/>
          <c:order val="0"/>
          <c:tx>
            <c:strRef>
              <c:f>'AV&amp;H BG'!$L$150</c:f>
              <c:strCache>
                <c:ptCount val="1"/>
                <c:pt idx="0">
                  <c:v>ACTIVO </c:v>
                </c:pt>
              </c:strCache>
            </c:strRef>
          </c:tx>
          <c:spPr>
            <a:ln w="25400">
              <a:solidFill>
                <a:srgbClr val="FFFF00"/>
              </a:solidFill>
            </a:ln>
          </c:spPr>
          <c:marker>
            <c:symbol val="diamond"/>
            <c:size val="5"/>
            <c:spPr>
              <a:solidFill>
                <a:srgbClr val="FFFF00"/>
              </a:solidFill>
              <a:ln>
                <a:solidFill>
                  <a:srgbClr val="FFFF00"/>
                </a:solidFill>
              </a:ln>
            </c:spPr>
          </c:marker>
          <c:dLbls>
            <c:dLbl>
              <c:idx val="1"/>
              <c:layout>
                <c:manualLayout>
                  <c:x val="-1.1977398998638908E-3"/>
                  <c:y val="-1.8963636469134144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b="1"/>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'AV&amp;H BG'!$M$149:$Q$149</c:f>
              <c:strCache>
                <c:ptCount val="5"/>
                <c:pt idx="0">
                  <c:v>2008-2009</c:v>
                </c:pt>
                <c:pt idx="1">
                  <c:v>2009-2010</c:v>
                </c:pt>
                <c:pt idx="2">
                  <c:v>2010-2011</c:v>
                </c:pt>
                <c:pt idx="3">
                  <c:v>2011-2012</c:v>
                </c:pt>
                <c:pt idx="4">
                  <c:v>2012-2013</c:v>
                </c:pt>
              </c:strCache>
            </c:strRef>
          </c:cat>
          <c:val>
            <c:numRef>
              <c:f>'AV&amp;H BG'!$M$150:$Q$150</c:f>
              <c:numCache>
                <c:formatCode>0.00%</c:formatCode>
                <c:ptCount val="5"/>
                <c:pt idx="0">
                  <c:v>0.22084264962400885</c:v>
                </c:pt>
                <c:pt idx="1">
                  <c:v>0.24787886893721808</c:v>
                </c:pt>
                <c:pt idx="2">
                  <c:v>0.37117679303439133</c:v>
                </c:pt>
                <c:pt idx="3">
                  <c:v>0.15977979098011416</c:v>
                </c:pt>
                <c:pt idx="4">
                  <c:v>5.9041857364301613E-2</c:v>
                </c:pt>
              </c:numCache>
            </c:numRef>
          </c:val>
          <c:smooth val="0"/>
        </c:ser>
        <c:ser>
          <c:idx val="1"/>
          <c:order val="1"/>
          <c:tx>
            <c:strRef>
              <c:f>'AV&amp;H BG'!$L$151</c:f>
              <c:strCache>
                <c:ptCount val="1"/>
                <c:pt idx="0">
                  <c:v>PASIVO</c:v>
                </c:pt>
              </c:strCache>
            </c:strRef>
          </c:tx>
          <c:spPr>
            <a:ln w="25400">
              <a:solidFill>
                <a:srgbClr val="92D050"/>
              </a:solidFill>
            </a:ln>
          </c:spPr>
          <c:marker>
            <c:symbol val="square"/>
            <c:size val="4"/>
            <c:spPr>
              <a:solidFill>
                <a:srgbClr val="92D050"/>
              </a:solidFill>
              <a:ln>
                <a:solidFill>
                  <a:srgbClr val="92D050"/>
                </a:solidFill>
              </a:ln>
            </c:spPr>
          </c:marker>
          <c:dLbls>
            <c:dLbl>
              <c:idx val="0"/>
              <c:layout>
                <c:manualLayout>
                  <c:x val="-6.7864394703608749E-2"/>
                  <c:y val="1.761748373882316E-3"/>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b="1">
                    <a:solidFill>
                      <a:srgbClr val="009900"/>
                    </a:solidFill>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'AV&amp;H BG'!$M$149:$Q$149</c:f>
              <c:strCache>
                <c:ptCount val="5"/>
                <c:pt idx="0">
                  <c:v>2008-2009</c:v>
                </c:pt>
                <c:pt idx="1">
                  <c:v>2009-2010</c:v>
                </c:pt>
                <c:pt idx="2">
                  <c:v>2010-2011</c:v>
                </c:pt>
                <c:pt idx="3">
                  <c:v>2011-2012</c:v>
                </c:pt>
                <c:pt idx="4">
                  <c:v>2012-2013</c:v>
                </c:pt>
              </c:strCache>
            </c:strRef>
          </c:cat>
          <c:val>
            <c:numRef>
              <c:f>'AV&amp;H BG'!$M$151:$Q$151</c:f>
              <c:numCache>
                <c:formatCode>0.00%</c:formatCode>
                <c:ptCount val="5"/>
                <c:pt idx="0">
                  <c:v>1.8818547107427381E-2</c:v>
                </c:pt>
                <c:pt idx="1">
                  <c:v>0.32896359047056478</c:v>
                </c:pt>
                <c:pt idx="2">
                  <c:v>0.53052334855831973</c:v>
                </c:pt>
                <c:pt idx="3">
                  <c:v>-0.26686955265633067</c:v>
                </c:pt>
                <c:pt idx="4">
                  <c:v>8.5903334996527622E-2</c:v>
                </c:pt>
              </c:numCache>
            </c:numRef>
          </c:val>
          <c:smooth val="0"/>
        </c:ser>
        <c:ser>
          <c:idx val="2"/>
          <c:order val="2"/>
          <c:tx>
            <c:strRef>
              <c:f>'AV&amp;H BG'!$L$152</c:f>
              <c:strCache>
                <c:ptCount val="1"/>
                <c:pt idx="0">
                  <c:v>PATRIMONIO</c:v>
                </c:pt>
              </c:strCache>
            </c:strRef>
          </c:tx>
          <c:spPr>
            <a:ln w="25400">
              <a:solidFill>
                <a:srgbClr val="FF0000"/>
              </a:solidFill>
            </a:ln>
          </c:spPr>
          <c:marker>
            <c:symbol val="triangle"/>
            <c:size val="5"/>
            <c:spPr>
              <a:solidFill>
                <a:srgbClr val="FF0000"/>
              </a:solidFill>
              <a:ln>
                <a:solidFill>
                  <a:srgbClr val="FF0000"/>
                </a:solidFill>
              </a:ln>
            </c:spPr>
          </c:marker>
          <c:dLbls>
            <c:dLbl>
              <c:idx val="0"/>
              <c:layout>
                <c:manualLayout>
                  <c:x val="-2.7887900812629648E-2"/>
                  <c:y val="-5.919717272388955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43541092834894E-2"/>
                  <c:y val="-5.479588669107535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1506172572189572E-2"/>
                  <c:y val="-4.744974428530773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7033085533950072E-2"/>
                  <c:y val="-7.094460116247118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028906857422714E-2"/>
                  <c:y val="-5.919717272388948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a:lstStyle/>
              <a:p>
                <a:pPr>
                  <a:defRPr sz="800" b="0">
                    <a:solidFill>
                      <a:srgbClr val="FF0000"/>
                    </a:solidFill>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'AV&amp;H BG'!$M$149:$Q$149</c:f>
              <c:strCache>
                <c:ptCount val="5"/>
                <c:pt idx="0">
                  <c:v>2008-2009</c:v>
                </c:pt>
                <c:pt idx="1">
                  <c:v>2009-2010</c:v>
                </c:pt>
                <c:pt idx="2">
                  <c:v>2010-2011</c:v>
                </c:pt>
                <c:pt idx="3">
                  <c:v>2011-2012</c:v>
                </c:pt>
                <c:pt idx="4">
                  <c:v>2012-2013</c:v>
                </c:pt>
              </c:strCache>
            </c:strRef>
          </c:cat>
          <c:val>
            <c:numRef>
              <c:f>'AV&amp;H BG'!$M$152:$Q$152</c:f>
              <c:numCache>
                <c:formatCode>0.00%</c:formatCode>
                <c:ptCount val="5"/>
                <c:pt idx="0">
                  <c:v>0.34004415128969567</c:v>
                </c:pt>
                <c:pt idx="1">
                  <c:v>0.21150452129024058</c:v>
                </c:pt>
                <c:pt idx="2">
                  <c:v>0.29276398038189322</c:v>
                </c:pt>
                <c:pt idx="3">
                  <c:v>0.40834257630662157</c:v>
                </c:pt>
                <c:pt idx="4">
                  <c:v>5.0895410611149931E-2</c:v>
                </c:pt>
              </c:numCache>
            </c:numRef>
          </c:val>
          <c:smooth val="0"/>
        </c:ser>
        <c:dLbls>
          <c:showLegendKey val="0"/>
          <c:showVal val="1"/>
          <c:showCatName val="0"/>
          <c:showSerName val="0"/>
          <c:showPercent val="0"/>
          <c:showBubbleSize val="0"/>
        </c:dLbls>
        <c:marker val="1"/>
        <c:smooth val="0"/>
        <c:axId val="94542848"/>
        <c:axId val="94561024"/>
      </c:lineChart>
      <c:catAx>
        <c:axId val="94542848"/>
        <c:scaling>
          <c:orientation val="minMax"/>
        </c:scaling>
        <c:delete val="0"/>
        <c:axPos val="b"/>
        <c:numFmt formatCode="General" sourceLinked="0"/>
        <c:majorTickMark val="none"/>
        <c:minorTickMark val="none"/>
        <c:tickLblPos val="nextTo"/>
        <c:spPr>
          <a:ln>
            <a:solidFill>
              <a:schemeClr val="tx1"/>
            </a:solidFill>
          </a:ln>
        </c:spPr>
        <c:txPr>
          <a:bodyPr/>
          <a:lstStyle/>
          <a:p>
            <a:pPr>
              <a:defRPr sz="1000" b="1"/>
            </a:pPr>
            <a:endParaRPr lang="es-CO"/>
          </a:p>
        </c:txPr>
        <c:crossAx val="94561024"/>
        <c:crosses val="autoZero"/>
        <c:auto val="1"/>
        <c:lblAlgn val="ctr"/>
        <c:lblOffset val="100"/>
        <c:noMultiLvlLbl val="0"/>
      </c:catAx>
      <c:valAx>
        <c:axId val="94561024"/>
        <c:scaling>
          <c:orientation val="minMax"/>
        </c:scaling>
        <c:delete val="1"/>
        <c:axPos val="l"/>
        <c:numFmt formatCode="0.00%" sourceLinked="1"/>
        <c:majorTickMark val="none"/>
        <c:minorTickMark val="none"/>
        <c:tickLblPos val="nextTo"/>
        <c:crossAx val="94542848"/>
        <c:crosses val="autoZero"/>
        <c:crossBetween val="between"/>
      </c:valAx>
    </c:plotArea>
    <c:legend>
      <c:legendPos val="t"/>
      <c:overlay val="0"/>
      <c:spPr>
        <a:ln>
          <a:solidFill>
            <a:schemeClr val="bg1">
              <a:lumMod val="95000"/>
            </a:schemeClr>
          </a:solidFill>
        </a:ln>
      </c:spPr>
      <c:txPr>
        <a:bodyPr/>
        <a:lstStyle/>
        <a:p>
          <a:pPr>
            <a:defRPr sz="800" b="1"/>
          </a:pPr>
          <a:endParaRPr lang="es-CO"/>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barChart>
        <c:barDir val="col"/>
        <c:grouping val="clustered"/>
        <c:varyColors val="0"/>
        <c:ser>
          <c:idx val="0"/>
          <c:order val="0"/>
          <c:tx>
            <c:strRef>
              <c:f>'AV&amp;H BG'!$C$175</c:f>
              <c:strCache>
                <c:ptCount val="1"/>
                <c:pt idx="0">
                  <c:v>ACTIVO CORRIENTE</c:v>
                </c:pt>
              </c:strCache>
            </c:strRef>
          </c:tx>
          <c:spPr>
            <a:solidFill>
              <a:srgbClr val="FF0000"/>
            </a:solidFill>
          </c:spPr>
          <c:invertIfNegative val="0"/>
          <c:dLbls>
            <c:delete val="1"/>
          </c:dLbls>
          <c:cat>
            <c:numRef>
              <c:f>'AV&amp;H BG'!$D$174:$E$174</c:f>
              <c:numCache>
                <c:formatCode>General</c:formatCode>
                <c:ptCount val="2"/>
                <c:pt idx="0">
                  <c:v>2012</c:v>
                </c:pt>
                <c:pt idx="1">
                  <c:v>2013</c:v>
                </c:pt>
              </c:numCache>
            </c:numRef>
          </c:cat>
          <c:val>
            <c:numRef>
              <c:f>'AV&amp;H BG'!$D$175:$E$175</c:f>
              <c:numCache>
                <c:formatCode>0.00%</c:formatCode>
                <c:ptCount val="2"/>
                <c:pt idx="0">
                  <c:v>0.28482530007428342</c:v>
                </c:pt>
                <c:pt idx="1">
                  <c:v>0.29046565273278901</c:v>
                </c:pt>
              </c:numCache>
            </c:numRef>
          </c:val>
        </c:ser>
        <c:ser>
          <c:idx val="1"/>
          <c:order val="1"/>
          <c:tx>
            <c:strRef>
              <c:f>'AV&amp;H BG'!$C$176</c:f>
              <c:strCache>
                <c:ptCount val="1"/>
                <c:pt idx="0">
                  <c:v>ACTIVO NO CORRIENTE</c:v>
                </c:pt>
              </c:strCache>
            </c:strRef>
          </c:tx>
          <c:invertIfNegative val="0"/>
          <c:dLbls>
            <c:delete val="1"/>
          </c:dLbls>
          <c:cat>
            <c:numRef>
              <c:f>'AV&amp;H BG'!$D$174:$E$174</c:f>
              <c:numCache>
                <c:formatCode>General</c:formatCode>
                <c:ptCount val="2"/>
                <c:pt idx="0">
                  <c:v>2012</c:v>
                </c:pt>
                <c:pt idx="1">
                  <c:v>2013</c:v>
                </c:pt>
              </c:numCache>
            </c:numRef>
          </c:cat>
          <c:val>
            <c:numRef>
              <c:f>'AV&amp;H BG'!$D$176:$E$176</c:f>
              <c:numCache>
                <c:formatCode>0.00%</c:formatCode>
                <c:ptCount val="2"/>
                <c:pt idx="0">
                  <c:v>0.71517469992571658</c:v>
                </c:pt>
                <c:pt idx="1">
                  <c:v>0.70953434726721099</c:v>
                </c:pt>
              </c:numCache>
            </c:numRef>
          </c:val>
        </c:ser>
        <c:dLbls>
          <c:showLegendKey val="0"/>
          <c:showVal val="1"/>
          <c:showCatName val="0"/>
          <c:showSerName val="0"/>
          <c:showPercent val="0"/>
          <c:showBubbleSize val="0"/>
        </c:dLbls>
        <c:gapWidth val="150"/>
        <c:overlap val="-25"/>
        <c:axId val="94927488"/>
        <c:axId val="94934528"/>
      </c:barChart>
      <c:lineChart>
        <c:grouping val="stacked"/>
        <c:varyColors val="0"/>
        <c:ser>
          <c:idx val="2"/>
          <c:order val="2"/>
          <c:tx>
            <c:strRef>
              <c:f>'AV&amp;H BG'!$C$177</c:f>
              <c:strCache>
                <c:ptCount val="1"/>
                <c:pt idx="0">
                  <c:v>VARIACION 2012-2013</c:v>
                </c:pt>
              </c:strCache>
            </c:strRef>
          </c:tx>
          <c:spPr>
            <a:ln w="34925">
              <a:solidFill>
                <a:schemeClr val="tx1"/>
              </a:solidFill>
              <a:prstDash val="dash"/>
            </a:ln>
          </c:spPr>
          <c:marker>
            <c:symbol val="none"/>
          </c:marker>
          <c:dLbls>
            <c:dLbl>
              <c:idx val="0"/>
              <c:layout>
                <c:manualLayout>
                  <c:x val="-8.4758422148915796E-2"/>
                  <c:y val="-7.9339310241695032E-3"/>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5.1373588576145699E-4"/>
                  <c:y val="-9.0411579073513531E-3"/>
                </c:manualLayout>
              </c:layout>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BG'!$D$174:$E$174</c:f>
              <c:numCache>
                <c:formatCode>General</c:formatCode>
                <c:ptCount val="2"/>
                <c:pt idx="0">
                  <c:v>2012</c:v>
                </c:pt>
                <c:pt idx="1">
                  <c:v>2013</c:v>
                </c:pt>
              </c:numCache>
            </c:numRef>
          </c:cat>
          <c:val>
            <c:numRef>
              <c:f>'AV&amp;H BG'!$D$177:$E$177</c:f>
              <c:numCache>
                <c:formatCode>0.00%</c:formatCode>
                <c:ptCount val="2"/>
                <c:pt idx="0">
                  <c:v>0.15977979098011416</c:v>
                </c:pt>
                <c:pt idx="1">
                  <c:v>5.9041857364301613E-2</c:v>
                </c:pt>
              </c:numCache>
            </c:numRef>
          </c:val>
          <c:smooth val="0"/>
        </c:ser>
        <c:dLbls>
          <c:showLegendKey val="0"/>
          <c:showVal val="1"/>
          <c:showCatName val="0"/>
          <c:showSerName val="0"/>
          <c:showPercent val="0"/>
          <c:showBubbleSize val="0"/>
        </c:dLbls>
        <c:marker val="1"/>
        <c:smooth val="0"/>
        <c:axId val="95552256"/>
        <c:axId val="94936064"/>
      </c:lineChart>
      <c:catAx>
        <c:axId val="94927488"/>
        <c:scaling>
          <c:orientation val="minMax"/>
        </c:scaling>
        <c:delete val="0"/>
        <c:axPos val="b"/>
        <c:numFmt formatCode="General" sourceLinked="1"/>
        <c:majorTickMark val="none"/>
        <c:minorTickMark val="none"/>
        <c:tickLblPos val="nextTo"/>
        <c:spPr>
          <a:ln>
            <a:solidFill>
              <a:schemeClr val="tx1"/>
            </a:solidFill>
          </a:ln>
        </c:spPr>
        <c:txPr>
          <a:bodyPr/>
          <a:lstStyle/>
          <a:p>
            <a:pPr>
              <a:defRPr b="1">
                <a:solidFill>
                  <a:sysClr val="windowText" lastClr="000000"/>
                </a:solidFill>
              </a:defRPr>
            </a:pPr>
            <a:endParaRPr lang="es-CO"/>
          </a:p>
        </c:txPr>
        <c:crossAx val="94934528"/>
        <c:crosses val="autoZero"/>
        <c:auto val="1"/>
        <c:lblAlgn val="ctr"/>
        <c:lblOffset val="100"/>
        <c:noMultiLvlLbl val="0"/>
      </c:catAx>
      <c:valAx>
        <c:axId val="94934528"/>
        <c:scaling>
          <c:orientation val="minMax"/>
        </c:scaling>
        <c:delete val="1"/>
        <c:axPos val="l"/>
        <c:numFmt formatCode="0.00%" sourceLinked="1"/>
        <c:majorTickMark val="out"/>
        <c:minorTickMark val="none"/>
        <c:tickLblPos val="nextTo"/>
        <c:crossAx val="94927488"/>
        <c:crosses val="autoZero"/>
        <c:crossBetween val="between"/>
      </c:valAx>
      <c:valAx>
        <c:axId val="94936064"/>
        <c:scaling>
          <c:orientation val="minMax"/>
        </c:scaling>
        <c:delete val="1"/>
        <c:axPos val="r"/>
        <c:numFmt formatCode="0.00%" sourceLinked="1"/>
        <c:majorTickMark val="out"/>
        <c:minorTickMark val="none"/>
        <c:tickLblPos val="nextTo"/>
        <c:crossAx val="95552256"/>
        <c:crosses val="max"/>
        <c:crossBetween val="between"/>
      </c:valAx>
      <c:catAx>
        <c:axId val="95552256"/>
        <c:scaling>
          <c:orientation val="minMax"/>
        </c:scaling>
        <c:delete val="1"/>
        <c:axPos val="b"/>
        <c:numFmt formatCode="General" sourceLinked="1"/>
        <c:majorTickMark val="out"/>
        <c:minorTickMark val="none"/>
        <c:tickLblPos val="nextTo"/>
        <c:crossAx val="94936064"/>
        <c:crosses val="autoZero"/>
        <c:auto val="1"/>
        <c:lblAlgn val="ctr"/>
        <c:lblOffset val="100"/>
        <c:noMultiLvlLbl val="0"/>
      </c:catAx>
    </c:plotArea>
    <c:legend>
      <c:legendPos val="b"/>
      <c:overlay val="0"/>
      <c:spPr>
        <a:ln>
          <a:solidFill>
            <a:schemeClr val="bg1">
              <a:lumMod val="95000"/>
            </a:schemeClr>
          </a:solidFill>
        </a:ln>
      </c:spPr>
      <c:txPr>
        <a:bodyPr/>
        <a:lstStyle/>
        <a:p>
          <a:pPr>
            <a:defRPr sz="800" b="1"/>
          </a:pPr>
          <a:endParaRPr lang="es-CO"/>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400"/>
            </a:pPr>
            <a:r>
              <a:rPr lang="es-CO" sz="1400"/>
              <a:t>Composición Histórica del Pasivo</a:t>
            </a:r>
          </a:p>
        </c:rich>
      </c:tx>
      <c:overlay val="0"/>
    </c:title>
    <c:autoTitleDeleted val="0"/>
    <c:view3D>
      <c:rotX val="15"/>
      <c:rotY val="20"/>
      <c:rAngAx val="1"/>
    </c:view3D>
    <c:floor>
      <c:thickness val="0"/>
      <c:spPr>
        <a:solidFill>
          <a:schemeClr val="bg1">
            <a:lumMod val="95000"/>
            <a:alpha val="11000"/>
          </a:schemeClr>
        </a:solidFill>
        <a:ln>
          <a:solidFill>
            <a:schemeClr val="bg1">
              <a:lumMod val="75000"/>
            </a:schemeClr>
          </a:solidFill>
        </a:ln>
      </c:spPr>
    </c:floor>
    <c:sideWall>
      <c:thickness val="0"/>
    </c:sideWall>
    <c:backWall>
      <c:thickness val="0"/>
    </c:backWall>
    <c:plotArea>
      <c:layout>
        <c:manualLayout>
          <c:layoutTarget val="inner"/>
          <c:xMode val="edge"/>
          <c:yMode val="edge"/>
          <c:x val="2.8686677323229333E-2"/>
          <c:y val="0.17171296296296296"/>
          <c:w val="0.94080003157500047"/>
          <c:h val="0.61199547973170021"/>
        </c:manualLayout>
      </c:layout>
      <c:bar3DChart>
        <c:barDir val="col"/>
        <c:grouping val="stacked"/>
        <c:varyColors val="0"/>
        <c:ser>
          <c:idx val="0"/>
          <c:order val="0"/>
          <c:tx>
            <c:strRef>
              <c:f>'AV&amp;H BG'!$C$123</c:f>
              <c:strCache>
                <c:ptCount val="1"/>
                <c:pt idx="0">
                  <c:v>PASIVO CORRIENTE</c:v>
                </c:pt>
              </c:strCache>
            </c:strRef>
          </c:tx>
          <c:spPr>
            <a:solidFill>
              <a:srgbClr val="00B050"/>
            </a:solidFill>
          </c:spPr>
          <c:invertIfNegative val="0"/>
          <c:dLbls>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BG'!$D$122:$I$122</c:f>
              <c:numCache>
                <c:formatCode>General</c:formatCode>
                <c:ptCount val="6"/>
                <c:pt idx="0">
                  <c:v>2008</c:v>
                </c:pt>
                <c:pt idx="1">
                  <c:v>2009</c:v>
                </c:pt>
                <c:pt idx="2">
                  <c:v>2010</c:v>
                </c:pt>
                <c:pt idx="3">
                  <c:v>2011</c:v>
                </c:pt>
                <c:pt idx="4">
                  <c:v>2012</c:v>
                </c:pt>
                <c:pt idx="5">
                  <c:v>2013</c:v>
                </c:pt>
              </c:numCache>
            </c:numRef>
          </c:cat>
          <c:val>
            <c:numRef>
              <c:f>'AV&amp;H BG'!$D$123:$I$123</c:f>
              <c:numCache>
                <c:formatCode>0.00%</c:formatCode>
                <c:ptCount val="6"/>
                <c:pt idx="0">
                  <c:v>0.50472420585668099</c:v>
                </c:pt>
                <c:pt idx="1">
                  <c:v>0.47220376552525217</c:v>
                </c:pt>
                <c:pt idx="2">
                  <c:v>0.5956087077479334</c:v>
                </c:pt>
                <c:pt idx="3">
                  <c:v>0.80986503951329325</c:v>
                </c:pt>
                <c:pt idx="4">
                  <c:v>0.70413787329160904</c:v>
                </c:pt>
                <c:pt idx="5">
                  <c:v>0.57706734380051028</c:v>
                </c:pt>
              </c:numCache>
            </c:numRef>
          </c:val>
        </c:ser>
        <c:ser>
          <c:idx val="1"/>
          <c:order val="1"/>
          <c:tx>
            <c:strRef>
              <c:f>'AV&amp;H BG'!$C$124</c:f>
              <c:strCache>
                <c:ptCount val="1"/>
                <c:pt idx="0">
                  <c:v>PASIVO NO CORRIENTE</c:v>
                </c:pt>
              </c:strCache>
            </c:strRef>
          </c:tx>
          <c:invertIfNegative val="0"/>
          <c:dLbls>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BG'!$D$122:$I$122</c:f>
              <c:numCache>
                <c:formatCode>General</c:formatCode>
                <c:ptCount val="6"/>
                <c:pt idx="0">
                  <c:v>2008</c:v>
                </c:pt>
                <c:pt idx="1">
                  <c:v>2009</c:v>
                </c:pt>
                <c:pt idx="2">
                  <c:v>2010</c:v>
                </c:pt>
                <c:pt idx="3">
                  <c:v>2011</c:v>
                </c:pt>
                <c:pt idx="4">
                  <c:v>2012</c:v>
                </c:pt>
                <c:pt idx="5">
                  <c:v>2013</c:v>
                </c:pt>
              </c:numCache>
            </c:numRef>
          </c:cat>
          <c:val>
            <c:numRef>
              <c:f>'AV&amp;H BG'!$D$124:$I$124</c:f>
              <c:numCache>
                <c:formatCode>0.00%</c:formatCode>
                <c:ptCount val="6"/>
                <c:pt idx="0">
                  <c:v>0.49527579414331901</c:v>
                </c:pt>
                <c:pt idx="1">
                  <c:v>0.52779623447474777</c:v>
                </c:pt>
                <c:pt idx="2">
                  <c:v>0.4043912922520666</c:v>
                </c:pt>
                <c:pt idx="3">
                  <c:v>0.19013496048670675</c:v>
                </c:pt>
                <c:pt idx="4">
                  <c:v>0.29586212670839102</c:v>
                </c:pt>
                <c:pt idx="5">
                  <c:v>0.42293265619948978</c:v>
                </c:pt>
              </c:numCache>
            </c:numRef>
          </c:val>
        </c:ser>
        <c:dLbls>
          <c:showLegendKey val="0"/>
          <c:showVal val="1"/>
          <c:showCatName val="0"/>
          <c:showSerName val="0"/>
          <c:showPercent val="0"/>
          <c:showBubbleSize val="0"/>
        </c:dLbls>
        <c:gapWidth val="68"/>
        <c:gapDepth val="70"/>
        <c:shape val="box"/>
        <c:axId val="95570560"/>
        <c:axId val="95605120"/>
        <c:axId val="0"/>
      </c:bar3DChart>
      <c:catAx>
        <c:axId val="95570560"/>
        <c:scaling>
          <c:orientation val="minMax"/>
        </c:scaling>
        <c:delete val="0"/>
        <c:axPos val="b"/>
        <c:numFmt formatCode="General" sourceLinked="1"/>
        <c:majorTickMark val="none"/>
        <c:minorTickMark val="none"/>
        <c:tickLblPos val="nextTo"/>
        <c:txPr>
          <a:bodyPr/>
          <a:lstStyle/>
          <a:p>
            <a:pPr>
              <a:defRPr b="1"/>
            </a:pPr>
            <a:endParaRPr lang="es-CO"/>
          </a:p>
        </c:txPr>
        <c:crossAx val="95605120"/>
        <c:crosses val="autoZero"/>
        <c:auto val="1"/>
        <c:lblAlgn val="ctr"/>
        <c:lblOffset val="100"/>
        <c:noMultiLvlLbl val="0"/>
      </c:catAx>
      <c:valAx>
        <c:axId val="95605120"/>
        <c:scaling>
          <c:orientation val="minMax"/>
        </c:scaling>
        <c:delete val="1"/>
        <c:axPos val="l"/>
        <c:numFmt formatCode="0.00%" sourceLinked="1"/>
        <c:majorTickMark val="out"/>
        <c:minorTickMark val="none"/>
        <c:tickLblPos val="nextTo"/>
        <c:crossAx val="95570560"/>
        <c:crosses val="autoZero"/>
        <c:crossBetween val="between"/>
      </c:valAx>
    </c:plotArea>
    <c:legend>
      <c:legendPos val="b"/>
      <c:overlay val="0"/>
      <c:spPr>
        <a:ln>
          <a:solidFill>
            <a:schemeClr val="bg1">
              <a:lumMod val="95000"/>
            </a:schemeClr>
          </a:solidFill>
        </a:ln>
      </c:spPr>
      <c:txPr>
        <a:bodyPr/>
        <a:lstStyle/>
        <a:p>
          <a:pPr>
            <a:defRPr sz="800" b="1"/>
          </a:pPr>
          <a:endParaRPr lang="es-CO"/>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5922260616703487"/>
          <c:y val="5.0925925925925923E-2"/>
          <c:w val="0.78742007968428407"/>
          <c:h val="0.72159922717993585"/>
        </c:manualLayout>
      </c:layout>
      <c:barChart>
        <c:barDir val="bar"/>
        <c:grouping val="stacked"/>
        <c:varyColors val="0"/>
        <c:ser>
          <c:idx val="0"/>
          <c:order val="0"/>
          <c:tx>
            <c:strRef>
              <c:f>'AV&amp;H BG'!$L$123</c:f>
              <c:strCache>
                <c:ptCount val="1"/>
                <c:pt idx="0">
                  <c:v>PASIVO CORRIENTE</c:v>
                </c:pt>
              </c:strCache>
            </c:strRef>
          </c:tx>
          <c:spPr>
            <a:solidFill>
              <a:schemeClr val="bg2">
                <a:lumMod val="50000"/>
              </a:schemeClr>
            </a:solidFill>
          </c:spPr>
          <c:invertIfNegative val="0"/>
          <c:cat>
            <c:strRef>
              <c:f>'AV&amp;H BG'!$M$122:$Q$122</c:f>
              <c:strCache>
                <c:ptCount val="5"/>
                <c:pt idx="0">
                  <c:v>2008-2009</c:v>
                </c:pt>
                <c:pt idx="1">
                  <c:v>2009-2010</c:v>
                </c:pt>
                <c:pt idx="2">
                  <c:v>2010-2011</c:v>
                </c:pt>
                <c:pt idx="3">
                  <c:v>2011-2012</c:v>
                </c:pt>
                <c:pt idx="4">
                  <c:v>2012-2013</c:v>
                </c:pt>
              </c:strCache>
            </c:strRef>
          </c:cat>
          <c:val>
            <c:numRef>
              <c:f>'AV&amp;H BG'!$M$123:$Q$123</c:f>
              <c:numCache>
                <c:formatCode>0.00%</c:formatCode>
                <c:ptCount val="5"/>
                <c:pt idx="0">
                  <c:v>-4.682607105294713E-2</c:v>
                </c:pt>
                <c:pt idx="1">
                  <c:v>0.67627271223422147</c:v>
                </c:pt>
                <c:pt idx="2">
                  <c:v>1.0810934024839269</c:v>
                </c:pt>
                <c:pt idx="3">
                  <c:v>-0.36257908558673635</c:v>
                </c:pt>
                <c:pt idx="4">
                  <c:v>-0.11006157044041322</c:v>
                </c:pt>
              </c:numCache>
            </c:numRef>
          </c:val>
        </c:ser>
        <c:ser>
          <c:idx val="1"/>
          <c:order val="1"/>
          <c:tx>
            <c:strRef>
              <c:f>'AV&amp;H BG'!$L$124</c:f>
              <c:strCache>
                <c:ptCount val="1"/>
                <c:pt idx="0">
                  <c:v>PASIVO NO CORRIENTE</c:v>
                </c:pt>
              </c:strCache>
            </c:strRef>
          </c:tx>
          <c:spPr>
            <a:solidFill>
              <a:schemeClr val="bg2">
                <a:lumMod val="90000"/>
              </a:schemeClr>
            </a:solidFill>
          </c:spPr>
          <c:invertIfNegative val="0"/>
          <c:cat>
            <c:strRef>
              <c:f>'AV&amp;H BG'!$M$122:$Q$122</c:f>
              <c:strCache>
                <c:ptCount val="5"/>
                <c:pt idx="0">
                  <c:v>2008-2009</c:v>
                </c:pt>
                <c:pt idx="1">
                  <c:v>2009-2010</c:v>
                </c:pt>
                <c:pt idx="2">
                  <c:v>2010-2011</c:v>
                </c:pt>
                <c:pt idx="3">
                  <c:v>2011-2012</c:v>
                </c:pt>
                <c:pt idx="4">
                  <c:v>2012-2013</c:v>
                </c:pt>
              </c:strCache>
            </c:strRef>
          </c:cat>
          <c:val>
            <c:numRef>
              <c:f>'AV&amp;H BG'!$M$124:$Q$124</c:f>
              <c:numCache>
                <c:formatCode>0.00%</c:formatCode>
                <c:ptCount val="5"/>
                <c:pt idx="0">
                  <c:v>8.5715472338892304E-2</c:v>
                </c:pt>
                <c:pt idx="1">
                  <c:v>1.8236335545608554E-2</c:v>
                </c:pt>
                <c:pt idx="2">
                  <c:v>-0.28038510725219246</c:v>
                </c:pt>
                <c:pt idx="3">
                  <c:v>0.14079774046045043</c:v>
                </c:pt>
                <c:pt idx="4">
                  <c:v>0.55229054477333506</c:v>
                </c:pt>
              </c:numCache>
            </c:numRef>
          </c:val>
        </c:ser>
        <c:ser>
          <c:idx val="2"/>
          <c:order val="2"/>
          <c:tx>
            <c:strRef>
              <c:f>'AV&amp;H BG'!$L$125</c:f>
              <c:strCache>
                <c:ptCount val="1"/>
                <c:pt idx="0">
                  <c:v>TOTAL PASIVO</c:v>
                </c:pt>
              </c:strCache>
            </c:strRef>
          </c:tx>
          <c:invertIfNegative val="0"/>
          <c:cat>
            <c:strRef>
              <c:f>'AV&amp;H BG'!$M$122:$Q$122</c:f>
              <c:strCache>
                <c:ptCount val="5"/>
                <c:pt idx="0">
                  <c:v>2008-2009</c:v>
                </c:pt>
                <c:pt idx="1">
                  <c:v>2009-2010</c:v>
                </c:pt>
                <c:pt idx="2">
                  <c:v>2010-2011</c:v>
                </c:pt>
                <c:pt idx="3">
                  <c:v>2011-2012</c:v>
                </c:pt>
                <c:pt idx="4">
                  <c:v>2012-2013</c:v>
                </c:pt>
              </c:strCache>
            </c:strRef>
          </c:cat>
          <c:val>
            <c:numRef>
              <c:f>'AV&amp;H BG'!$M$125:$Q$125</c:f>
              <c:numCache>
                <c:formatCode>0.00%</c:formatCode>
                <c:ptCount val="5"/>
                <c:pt idx="0">
                  <c:v>1.8818547107427381E-2</c:v>
                </c:pt>
                <c:pt idx="1">
                  <c:v>0.32896359047056478</c:v>
                </c:pt>
                <c:pt idx="2">
                  <c:v>0.53052334855831973</c:v>
                </c:pt>
                <c:pt idx="3">
                  <c:v>-0.26686955265633067</c:v>
                </c:pt>
                <c:pt idx="4">
                  <c:v>8.5903334996527622E-2</c:v>
                </c:pt>
              </c:numCache>
            </c:numRef>
          </c:val>
        </c:ser>
        <c:dLbls>
          <c:showLegendKey val="0"/>
          <c:showVal val="0"/>
          <c:showCatName val="0"/>
          <c:showSerName val="0"/>
          <c:showPercent val="0"/>
          <c:showBubbleSize val="0"/>
        </c:dLbls>
        <c:gapWidth val="150"/>
        <c:overlap val="100"/>
        <c:axId val="95688576"/>
        <c:axId val="95690112"/>
      </c:barChart>
      <c:catAx>
        <c:axId val="95688576"/>
        <c:scaling>
          <c:orientation val="minMax"/>
        </c:scaling>
        <c:delete val="0"/>
        <c:axPos val="l"/>
        <c:numFmt formatCode="General" sourceLinked="0"/>
        <c:majorTickMark val="out"/>
        <c:minorTickMark val="none"/>
        <c:tickLblPos val="low"/>
        <c:spPr>
          <a:ln w="15875">
            <a:solidFill>
              <a:schemeClr val="tx1"/>
            </a:solidFill>
          </a:ln>
        </c:spPr>
        <c:txPr>
          <a:bodyPr/>
          <a:lstStyle/>
          <a:p>
            <a:pPr>
              <a:defRPr b="1"/>
            </a:pPr>
            <a:endParaRPr lang="es-CO"/>
          </a:p>
        </c:txPr>
        <c:crossAx val="95690112"/>
        <c:crosses val="autoZero"/>
        <c:auto val="1"/>
        <c:lblAlgn val="ctr"/>
        <c:lblOffset val="100"/>
        <c:noMultiLvlLbl val="0"/>
      </c:catAx>
      <c:valAx>
        <c:axId val="95690112"/>
        <c:scaling>
          <c:orientation val="minMax"/>
        </c:scaling>
        <c:delete val="0"/>
        <c:axPos val="b"/>
        <c:majorGridlines>
          <c:spPr>
            <a:ln>
              <a:solidFill>
                <a:schemeClr val="bg1">
                  <a:lumMod val="95000"/>
                </a:schemeClr>
              </a:solidFill>
            </a:ln>
          </c:spPr>
        </c:majorGridlines>
        <c:numFmt formatCode="0%" sourceLinked="0"/>
        <c:majorTickMark val="out"/>
        <c:minorTickMark val="none"/>
        <c:tickLblPos val="nextTo"/>
        <c:spPr>
          <a:ln w="15875">
            <a:solidFill>
              <a:schemeClr val="tx1"/>
            </a:solidFill>
          </a:ln>
        </c:spPr>
        <c:txPr>
          <a:bodyPr/>
          <a:lstStyle/>
          <a:p>
            <a:pPr>
              <a:defRPr b="1"/>
            </a:pPr>
            <a:endParaRPr lang="es-CO"/>
          </a:p>
        </c:txPr>
        <c:crossAx val="95688576"/>
        <c:crosses val="autoZero"/>
        <c:crossBetween val="between"/>
      </c:valAx>
    </c:plotArea>
    <c:legend>
      <c:legendPos val="b"/>
      <c:overlay val="0"/>
      <c:spPr>
        <a:ln>
          <a:solidFill>
            <a:schemeClr val="bg1">
              <a:lumMod val="95000"/>
            </a:schemeClr>
          </a:solidFill>
        </a:ln>
      </c:spPr>
      <c:txPr>
        <a:bodyPr/>
        <a:lstStyle/>
        <a:p>
          <a:pPr>
            <a:defRPr sz="800" b="1"/>
          </a:pPr>
          <a:endParaRPr lang="es-CO"/>
        </a:p>
      </c:txPr>
    </c:legend>
    <c:plotVisOnly val="1"/>
    <c:dispBlanksAs val="zero"/>
    <c:showDLblsOverMax val="0"/>
  </c:chart>
  <c:spPr>
    <a:ln>
      <a:solidFill>
        <a:schemeClr val="bg1">
          <a:lumMod val="85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400"/>
            </a:pPr>
            <a:r>
              <a:rPr lang="es-CO" sz="1400"/>
              <a:t>Composición Histórica del Pasivo</a:t>
            </a:r>
          </a:p>
        </c:rich>
      </c:tx>
      <c:overlay val="0"/>
    </c:title>
    <c:autoTitleDeleted val="0"/>
    <c:view3D>
      <c:rotX val="15"/>
      <c:rotY val="20"/>
      <c:rAngAx val="1"/>
    </c:view3D>
    <c:floor>
      <c:thickness val="0"/>
      <c:spPr>
        <a:solidFill>
          <a:schemeClr val="bg1">
            <a:lumMod val="95000"/>
            <a:alpha val="11000"/>
          </a:schemeClr>
        </a:solidFill>
        <a:ln>
          <a:solidFill>
            <a:schemeClr val="bg1">
              <a:lumMod val="75000"/>
            </a:schemeClr>
          </a:solidFill>
        </a:ln>
      </c:spPr>
    </c:floor>
    <c:sideWall>
      <c:thickness val="0"/>
    </c:sideWall>
    <c:backWall>
      <c:thickness val="0"/>
    </c:backWall>
    <c:plotArea>
      <c:layout>
        <c:manualLayout>
          <c:layoutTarget val="inner"/>
          <c:xMode val="edge"/>
          <c:yMode val="edge"/>
          <c:x val="2.8686677323229333E-2"/>
          <c:y val="0.17171296296296296"/>
          <c:w val="0.94080003157500047"/>
          <c:h val="0.61199547973170021"/>
        </c:manualLayout>
      </c:layout>
      <c:bar3DChart>
        <c:barDir val="col"/>
        <c:grouping val="stacked"/>
        <c:varyColors val="0"/>
        <c:ser>
          <c:idx val="0"/>
          <c:order val="0"/>
          <c:tx>
            <c:strRef>
              <c:f>'AV&amp;H BG'!$C$150</c:f>
              <c:strCache>
                <c:ptCount val="1"/>
                <c:pt idx="0">
                  <c:v>PASIVO</c:v>
                </c:pt>
              </c:strCache>
            </c:strRef>
          </c:tx>
          <c:spPr>
            <a:solidFill>
              <a:srgbClr val="00B050"/>
            </a:solidFill>
          </c:spPr>
          <c:invertIfNegative val="0"/>
          <c:dLbls>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BG'!$D$149:$I$149</c:f>
              <c:numCache>
                <c:formatCode>General</c:formatCode>
                <c:ptCount val="6"/>
                <c:pt idx="0">
                  <c:v>2008</c:v>
                </c:pt>
                <c:pt idx="1">
                  <c:v>2009</c:v>
                </c:pt>
                <c:pt idx="2">
                  <c:v>2010</c:v>
                </c:pt>
                <c:pt idx="3">
                  <c:v>2011</c:v>
                </c:pt>
                <c:pt idx="4">
                  <c:v>2012</c:v>
                </c:pt>
                <c:pt idx="5">
                  <c:v>2013</c:v>
                </c:pt>
              </c:numCache>
            </c:numRef>
          </c:cat>
          <c:val>
            <c:numRef>
              <c:f>'AV&amp;H BG'!$D$150:$I$150</c:f>
              <c:numCache>
                <c:formatCode>0.00%</c:formatCode>
                <c:ptCount val="6"/>
                <c:pt idx="0">
                  <c:v>0.37108342896449026</c:v>
                </c:pt>
                <c:pt idx="1">
                  <c:v>0.30967682859841106</c:v>
                </c:pt>
                <c:pt idx="2">
                  <c:v>0.32979902157505597</c:v>
                </c:pt>
                <c:pt idx="3">
                  <c:v>0.36812547106728338</c:v>
                </c:pt>
                <c:pt idx="4">
                  <c:v>0.23270278839233882</c:v>
                </c:pt>
                <c:pt idx="5">
                  <c:v>0.23860504872500785</c:v>
                </c:pt>
              </c:numCache>
            </c:numRef>
          </c:val>
        </c:ser>
        <c:ser>
          <c:idx val="1"/>
          <c:order val="1"/>
          <c:tx>
            <c:strRef>
              <c:f>'AV&amp;H BG'!$C$151</c:f>
              <c:strCache>
                <c:ptCount val="1"/>
                <c:pt idx="0">
                  <c:v>PATRIMONIO</c:v>
                </c:pt>
              </c:strCache>
            </c:strRef>
          </c:tx>
          <c:invertIfNegative val="0"/>
          <c:dLbls>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BG'!$D$149:$I$149</c:f>
              <c:numCache>
                <c:formatCode>General</c:formatCode>
                <c:ptCount val="6"/>
                <c:pt idx="0">
                  <c:v>2008</c:v>
                </c:pt>
                <c:pt idx="1">
                  <c:v>2009</c:v>
                </c:pt>
                <c:pt idx="2">
                  <c:v>2010</c:v>
                </c:pt>
                <c:pt idx="3">
                  <c:v>2011</c:v>
                </c:pt>
                <c:pt idx="4">
                  <c:v>2012</c:v>
                </c:pt>
                <c:pt idx="5">
                  <c:v>2013</c:v>
                </c:pt>
              </c:numCache>
            </c:numRef>
          </c:cat>
          <c:val>
            <c:numRef>
              <c:f>'AV&amp;H BG'!$D$151:$I$151</c:f>
              <c:numCache>
                <c:formatCode>0.00%</c:formatCode>
                <c:ptCount val="6"/>
                <c:pt idx="0">
                  <c:v>0.62891657103550969</c:v>
                </c:pt>
                <c:pt idx="1">
                  <c:v>0.6903231738544362</c:v>
                </c:pt>
                <c:pt idx="2">
                  <c:v>0.67020098432178421</c:v>
                </c:pt>
                <c:pt idx="3">
                  <c:v>0.63187453036623964</c:v>
                </c:pt>
                <c:pt idx="4">
                  <c:v>0.76729721531575201</c:v>
                </c:pt>
                <c:pt idx="5">
                  <c:v>0.76139495010787073</c:v>
                </c:pt>
              </c:numCache>
            </c:numRef>
          </c:val>
        </c:ser>
        <c:dLbls>
          <c:showLegendKey val="0"/>
          <c:showVal val="1"/>
          <c:showCatName val="0"/>
          <c:showSerName val="0"/>
          <c:showPercent val="0"/>
          <c:showBubbleSize val="0"/>
        </c:dLbls>
        <c:gapWidth val="68"/>
        <c:gapDepth val="70"/>
        <c:shape val="box"/>
        <c:axId val="95720576"/>
        <c:axId val="95722112"/>
        <c:axId val="0"/>
      </c:bar3DChart>
      <c:catAx>
        <c:axId val="95720576"/>
        <c:scaling>
          <c:orientation val="minMax"/>
        </c:scaling>
        <c:delete val="0"/>
        <c:axPos val="b"/>
        <c:numFmt formatCode="General" sourceLinked="1"/>
        <c:majorTickMark val="none"/>
        <c:minorTickMark val="none"/>
        <c:tickLblPos val="nextTo"/>
        <c:txPr>
          <a:bodyPr/>
          <a:lstStyle/>
          <a:p>
            <a:pPr>
              <a:defRPr b="1"/>
            </a:pPr>
            <a:endParaRPr lang="es-CO"/>
          </a:p>
        </c:txPr>
        <c:crossAx val="95722112"/>
        <c:crosses val="autoZero"/>
        <c:auto val="1"/>
        <c:lblAlgn val="ctr"/>
        <c:lblOffset val="100"/>
        <c:noMultiLvlLbl val="0"/>
      </c:catAx>
      <c:valAx>
        <c:axId val="95722112"/>
        <c:scaling>
          <c:orientation val="minMax"/>
        </c:scaling>
        <c:delete val="1"/>
        <c:axPos val="l"/>
        <c:numFmt formatCode="0.00%" sourceLinked="1"/>
        <c:majorTickMark val="out"/>
        <c:minorTickMark val="none"/>
        <c:tickLblPos val="nextTo"/>
        <c:crossAx val="95720576"/>
        <c:crosses val="autoZero"/>
        <c:crossBetween val="between"/>
      </c:valAx>
    </c:plotArea>
    <c:legend>
      <c:legendPos val="b"/>
      <c:overlay val="0"/>
      <c:spPr>
        <a:ln>
          <a:solidFill>
            <a:schemeClr val="bg1">
              <a:lumMod val="95000"/>
            </a:schemeClr>
          </a:solidFill>
        </a:ln>
      </c:spPr>
      <c:txPr>
        <a:bodyPr/>
        <a:lstStyle/>
        <a:p>
          <a:pPr>
            <a:defRPr sz="800" b="1"/>
          </a:pPr>
          <a:endParaRPr lang="es-CO"/>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barChart>
        <c:barDir val="col"/>
        <c:grouping val="clustered"/>
        <c:varyColors val="0"/>
        <c:ser>
          <c:idx val="0"/>
          <c:order val="0"/>
          <c:tx>
            <c:strRef>
              <c:f>'AV&amp;H BG'!$L$175</c:f>
              <c:strCache>
                <c:ptCount val="1"/>
                <c:pt idx="0">
                  <c:v>PASIVO CORRIENTE</c:v>
                </c:pt>
              </c:strCache>
            </c:strRef>
          </c:tx>
          <c:spPr>
            <a:solidFill>
              <a:srgbClr val="FF0000"/>
            </a:solidFill>
          </c:spPr>
          <c:invertIfNegative val="0"/>
          <c:dLbls>
            <c:delete val="1"/>
          </c:dLbls>
          <c:cat>
            <c:numRef>
              <c:f>'AV&amp;H BG'!$M$174:$N$174</c:f>
              <c:numCache>
                <c:formatCode>General</c:formatCode>
                <c:ptCount val="2"/>
                <c:pt idx="0">
                  <c:v>2012</c:v>
                </c:pt>
                <c:pt idx="1">
                  <c:v>2013</c:v>
                </c:pt>
              </c:numCache>
            </c:numRef>
          </c:cat>
          <c:val>
            <c:numRef>
              <c:f>'AV&amp;H BG'!$M$175:$N$175</c:f>
              <c:numCache>
                <c:formatCode>0.00%</c:formatCode>
                <c:ptCount val="2"/>
                <c:pt idx="0">
                  <c:v>0.70413787329160904</c:v>
                </c:pt>
                <c:pt idx="1">
                  <c:v>0.57706734380051028</c:v>
                </c:pt>
              </c:numCache>
            </c:numRef>
          </c:val>
        </c:ser>
        <c:ser>
          <c:idx val="1"/>
          <c:order val="1"/>
          <c:tx>
            <c:strRef>
              <c:f>'AV&amp;H BG'!$L$176</c:f>
              <c:strCache>
                <c:ptCount val="1"/>
                <c:pt idx="0">
                  <c:v>PASIVO NO CORRIENTE</c:v>
                </c:pt>
              </c:strCache>
            </c:strRef>
          </c:tx>
          <c:invertIfNegative val="0"/>
          <c:dLbls>
            <c:delete val="1"/>
          </c:dLbls>
          <c:cat>
            <c:numRef>
              <c:f>'AV&amp;H BG'!$M$174:$N$174</c:f>
              <c:numCache>
                <c:formatCode>General</c:formatCode>
                <c:ptCount val="2"/>
                <c:pt idx="0">
                  <c:v>2012</c:v>
                </c:pt>
                <c:pt idx="1">
                  <c:v>2013</c:v>
                </c:pt>
              </c:numCache>
            </c:numRef>
          </c:cat>
          <c:val>
            <c:numRef>
              <c:f>'AV&amp;H BG'!$M$176:$N$176</c:f>
              <c:numCache>
                <c:formatCode>0.00%</c:formatCode>
                <c:ptCount val="2"/>
                <c:pt idx="0">
                  <c:v>0.29586212670839102</c:v>
                </c:pt>
                <c:pt idx="1">
                  <c:v>0.42293265619948978</c:v>
                </c:pt>
              </c:numCache>
            </c:numRef>
          </c:val>
        </c:ser>
        <c:dLbls>
          <c:showLegendKey val="0"/>
          <c:showVal val="1"/>
          <c:showCatName val="0"/>
          <c:showSerName val="0"/>
          <c:showPercent val="0"/>
          <c:showBubbleSize val="0"/>
        </c:dLbls>
        <c:gapWidth val="150"/>
        <c:overlap val="-25"/>
        <c:axId val="95758592"/>
        <c:axId val="95764480"/>
      </c:barChart>
      <c:lineChart>
        <c:grouping val="stacked"/>
        <c:varyColors val="0"/>
        <c:ser>
          <c:idx val="2"/>
          <c:order val="2"/>
          <c:tx>
            <c:strRef>
              <c:f>'AV&amp;H BG'!$L$177</c:f>
              <c:strCache>
                <c:ptCount val="1"/>
                <c:pt idx="0">
                  <c:v>VARIACION 2012-2013</c:v>
                </c:pt>
              </c:strCache>
            </c:strRef>
          </c:tx>
          <c:spPr>
            <a:ln w="34925">
              <a:solidFill>
                <a:schemeClr val="tx1"/>
              </a:solidFill>
              <a:prstDash val="dash"/>
            </a:ln>
          </c:spPr>
          <c:marker>
            <c:symbol val="none"/>
          </c:marker>
          <c:dLbls>
            <c:dLbl>
              <c:idx val="0"/>
              <c:layout>
                <c:manualLayout>
                  <c:x val="-8.4758422148915796E-2"/>
                  <c:y val="-7.9339310241695032E-3"/>
                </c:manualLayout>
              </c:layout>
              <c:numFmt formatCode="0%" sourceLinked="0"/>
              <c:spPr/>
              <c:txPr>
                <a:bodyPr/>
                <a:lstStyle/>
                <a:p>
                  <a:pPr>
                    <a:defRPr b="1">
                      <a:solidFill>
                        <a:sysClr val="windowText" lastClr="000000"/>
                      </a:solidFill>
                    </a:defRPr>
                  </a:pPr>
                  <a:endParaRPr lang="es-CO"/>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5.1373588576145699E-4"/>
                  <c:y val="-9.0411579073513531E-3"/>
                </c:manualLayout>
              </c:layout>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'AV&amp;H BG'!$M$174:$N$174</c:f>
              <c:numCache>
                <c:formatCode>General</c:formatCode>
                <c:ptCount val="2"/>
                <c:pt idx="0">
                  <c:v>2012</c:v>
                </c:pt>
                <c:pt idx="1">
                  <c:v>2013</c:v>
                </c:pt>
              </c:numCache>
            </c:numRef>
          </c:cat>
          <c:val>
            <c:numRef>
              <c:f>'AV&amp;H BG'!$M$177:$N$177</c:f>
              <c:numCache>
                <c:formatCode>0.00%</c:formatCode>
                <c:ptCount val="2"/>
                <c:pt idx="0">
                  <c:v>-0.26686955265633067</c:v>
                </c:pt>
                <c:pt idx="1">
                  <c:v>8.5903334996527622E-2</c:v>
                </c:pt>
              </c:numCache>
            </c:numRef>
          </c:val>
          <c:smooth val="0"/>
        </c:ser>
        <c:dLbls>
          <c:showLegendKey val="0"/>
          <c:showVal val="1"/>
          <c:showCatName val="0"/>
          <c:showSerName val="0"/>
          <c:showPercent val="0"/>
          <c:showBubbleSize val="0"/>
        </c:dLbls>
        <c:marker val="1"/>
        <c:smooth val="0"/>
        <c:axId val="95767552"/>
        <c:axId val="95766016"/>
      </c:lineChart>
      <c:catAx>
        <c:axId val="95758592"/>
        <c:scaling>
          <c:orientation val="minMax"/>
        </c:scaling>
        <c:delete val="0"/>
        <c:axPos val="b"/>
        <c:numFmt formatCode="General" sourceLinked="1"/>
        <c:majorTickMark val="none"/>
        <c:minorTickMark val="none"/>
        <c:tickLblPos val="nextTo"/>
        <c:spPr>
          <a:ln>
            <a:solidFill>
              <a:schemeClr val="tx1"/>
            </a:solidFill>
          </a:ln>
        </c:spPr>
        <c:txPr>
          <a:bodyPr/>
          <a:lstStyle/>
          <a:p>
            <a:pPr>
              <a:defRPr b="1">
                <a:solidFill>
                  <a:sysClr val="windowText" lastClr="000000"/>
                </a:solidFill>
              </a:defRPr>
            </a:pPr>
            <a:endParaRPr lang="es-CO"/>
          </a:p>
        </c:txPr>
        <c:crossAx val="95764480"/>
        <c:crosses val="autoZero"/>
        <c:auto val="1"/>
        <c:lblAlgn val="ctr"/>
        <c:lblOffset val="100"/>
        <c:noMultiLvlLbl val="0"/>
      </c:catAx>
      <c:valAx>
        <c:axId val="95764480"/>
        <c:scaling>
          <c:orientation val="minMax"/>
        </c:scaling>
        <c:delete val="1"/>
        <c:axPos val="l"/>
        <c:numFmt formatCode="0.00%" sourceLinked="1"/>
        <c:majorTickMark val="out"/>
        <c:minorTickMark val="none"/>
        <c:tickLblPos val="nextTo"/>
        <c:crossAx val="95758592"/>
        <c:crosses val="autoZero"/>
        <c:crossBetween val="between"/>
      </c:valAx>
      <c:valAx>
        <c:axId val="95766016"/>
        <c:scaling>
          <c:orientation val="minMax"/>
        </c:scaling>
        <c:delete val="1"/>
        <c:axPos val="r"/>
        <c:numFmt formatCode="0.00%" sourceLinked="1"/>
        <c:majorTickMark val="out"/>
        <c:minorTickMark val="none"/>
        <c:tickLblPos val="nextTo"/>
        <c:crossAx val="95767552"/>
        <c:crosses val="max"/>
        <c:crossBetween val="between"/>
      </c:valAx>
      <c:catAx>
        <c:axId val="95767552"/>
        <c:scaling>
          <c:orientation val="minMax"/>
        </c:scaling>
        <c:delete val="1"/>
        <c:axPos val="b"/>
        <c:numFmt formatCode="General" sourceLinked="1"/>
        <c:majorTickMark val="out"/>
        <c:minorTickMark val="none"/>
        <c:tickLblPos val="nextTo"/>
        <c:crossAx val="95766016"/>
        <c:crosses val="autoZero"/>
        <c:auto val="1"/>
        <c:lblAlgn val="ctr"/>
        <c:lblOffset val="100"/>
        <c:noMultiLvlLbl val="0"/>
      </c:catAx>
    </c:plotArea>
    <c:legend>
      <c:legendPos val="b"/>
      <c:overlay val="0"/>
      <c:spPr>
        <a:ln>
          <a:solidFill>
            <a:schemeClr val="bg1">
              <a:lumMod val="95000"/>
            </a:schemeClr>
          </a:solidFill>
        </a:ln>
      </c:spPr>
      <c:txPr>
        <a:bodyPr/>
        <a:lstStyle/>
        <a:p>
          <a:pPr>
            <a:defRPr sz="800" b="1"/>
          </a:pPr>
          <a:endParaRPr lang="es-CO"/>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25.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4.xml"/><Relationship Id="rId7" Type="http://schemas.openxmlformats.org/officeDocument/2006/relationships/chart" Target="../charts/chart7.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6.xml"/><Relationship Id="rId5" Type="http://schemas.openxmlformats.org/officeDocument/2006/relationships/image" Target="../media/image1.jpg"/><Relationship Id="rId4" Type="http://schemas.openxmlformats.org/officeDocument/2006/relationships/chart" Target="../charts/chart5.xml"/><Relationship Id="rId9"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168087</xdr:colOff>
      <xdr:row>1</xdr:row>
      <xdr:rowOff>0</xdr:rowOff>
    </xdr:from>
    <xdr:to>
      <xdr:col>12</xdr:col>
      <xdr:colOff>235323</xdr:colOff>
      <xdr:row>11</xdr:row>
      <xdr:rowOff>52804</xdr:rowOff>
    </xdr:to>
    <xdr:pic>
      <xdr:nvPicPr>
        <xdr:cNvPr id="6"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087" y="156882"/>
          <a:ext cx="14982265" cy="1621628"/>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twoCellAnchor>
    <xdr:from>
      <xdr:col>11</xdr:col>
      <xdr:colOff>76200</xdr:colOff>
      <xdr:row>28</xdr:row>
      <xdr:rowOff>0</xdr:rowOff>
    </xdr:from>
    <xdr:to>
      <xdr:col>11</xdr:col>
      <xdr:colOff>152400</xdr:colOff>
      <xdr:row>31</xdr:row>
      <xdr:rowOff>0</xdr:rowOff>
    </xdr:to>
    <xdr:sp macro="" textlink="">
      <xdr:nvSpPr>
        <xdr:cNvPr id="7" name="AutoShape 6"/>
        <xdr:cNvSpPr>
          <a:spLocks/>
        </xdr:cNvSpPr>
      </xdr:nvSpPr>
      <xdr:spPr bwMode="auto">
        <a:xfrm>
          <a:off x="14778318" y="2398059"/>
          <a:ext cx="76200" cy="806823"/>
        </a:xfrm>
        <a:prstGeom prst="rightBrace">
          <a:avLst>
            <a:gd name="adj1" fmla="val 11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66675</xdr:colOff>
      <xdr:row>31</xdr:row>
      <xdr:rowOff>9525</xdr:rowOff>
    </xdr:from>
    <xdr:to>
      <xdr:col>11</xdr:col>
      <xdr:colOff>142875</xdr:colOff>
      <xdr:row>34</xdr:row>
      <xdr:rowOff>9525</xdr:rowOff>
    </xdr:to>
    <xdr:sp macro="" textlink="">
      <xdr:nvSpPr>
        <xdr:cNvPr id="8" name="AutoShape 7"/>
        <xdr:cNvSpPr>
          <a:spLocks/>
        </xdr:cNvSpPr>
      </xdr:nvSpPr>
      <xdr:spPr bwMode="auto">
        <a:xfrm>
          <a:off x="14768793" y="3214407"/>
          <a:ext cx="76200" cy="1288677"/>
        </a:xfrm>
        <a:prstGeom prst="rightBrace">
          <a:avLst>
            <a:gd name="adj1" fmla="val 127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28575</xdr:colOff>
      <xdr:row>34</xdr:row>
      <xdr:rowOff>361950</xdr:rowOff>
    </xdr:from>
    <xdr:to>
      <xdr:col>11</xdr:col>
      <xdr:colOff>200025</xdr:colOff>
      <xdr:row>34</xdr:row>
      <xdr:rowOff>361950</xdr:rowOff>
    </xdr:to>
    <xdr:sp macro="" textlink="">
      <xdr:nvSpPr>
        <xdr:cNvPr id="9" name="Line 10"/>
        <xdr:cNvSpPr>
          <a:spLocks noChangeShapeType="1"/>
        </xdr:cNvSpPr>
      </xdr:nvSpPr>
      <xdr:spPr bwMode="auto">
        <a:xfrm>
          <a:off x="14730693" y="4855509"/>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28575</xdr:colOff>
      <xdr:row>35</xdr:row>
      <xdr:rowOff>200025</xdr:rowOff>
    </xdr:from>
    <xdr:to>
      <xdr:col>11</xdr:col>
      <xdr:colOff>142875</xdr:colOff>
      <xdr:row>35</xdr:row>
      <xdr:rowOff>200025</xdr:rowOff>
    </xdr:to>
    <xdr:sp macro="" textlink="">
      <xdr:nvSpPr>
        <xdr:cNvPr id="10" name="Line 11"/>
        <xdr:cNvSpPr>
          <a:spLocks noChangeShapeType="1"/>
        </xdr:cNvSpPr>
      </xdr:nvSpPr>
      <xdr:spPr bwMode="auto">
        <a:xfrm>
          <a:off x="14730693" y="53435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57150</xdr:colOff>
      <xdr:row>47</xdr:row>
      <xdr:rowOff>476250</xdr:rowOff>
    </xdr:from>
    <xdr:to>
      <xdr:col>12</xdr:col>
      <xdr:colOff>0</xdr:colOff>
      <xdr:row>47</xdr:row>
      <xdr:rowOff>495300</xdr:rowOff>
    </xdr:to>
    <xdr:sp macro="" textlink="">
      <xdr:nvSpPr>
        <xdr:cNvPr id="11" name="Line 10"/>
        <xdr:cNvSpPr>
          <a:spLocks noChangeShapeType="1"/>
        </xdr:cNvSpPr>
      </xdr:nvSpPr>
      <xdr:spPr bwMode="auto">
        <a:xfrm>
          <a:off x="10639425" y="5172075"/>
          <a:ext cx="3429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49</xdr:row>
      <xdr:rowOff>238125</xdr:rowOff>
    </xdr:from>
    <xdr:to>
      <xdr:col>12</xdr:col>
      <xdr:colOff>0</xdr:colOff>
      <xdr:row>49</xdr:row>
      <xdr:rowOff>238125</xdr:rowOff>
    </xdr:to>
    <xdr:sp macro="" textlink="">
      <xdr:nvSpPr>
        <xdr:cNvPr id="12" name="Line 12"/>
        <xdr:cNvSpPr>
          <a:spLocks noChangeShapeType="1"/>
        </xdr:cNvSpPr>
      </xdr:nvSpPr>
      <xdr:spPr bwMode="auto">
        <a:xfrm>
          <a:off x="10648950" y="6029325"/>
          <a:ext cx="3333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1495425</xdr:colOff>
      <xdr:row>49</xdr:row>
      <xdr:rowOff>209550</xdr:rowOff>
    </xdr:from>
    <xdr:to>
      <xdr:col>12</xdr:col>
      <xdr:colOff>1828800</xdr:colOff>
      <xdr:row>49</xdr:row>
      <xdr:rowOff>219075</xdr:rowOff>
    </xdr:to>
    <xdr:sp macro="" textlink="">
      <xdr:nvSpPr>
        <xdr:cNvPr id="13" name="Line 14"/>
        <xdr:cNvSpPr>
          <a:spLocks noChangeShapeType="1"/>
        </xdr:cNvSpPr>
      </xdr:nvSpPr>
      <xdr:spPr bwMode="auto">
        <a:xfrm>
          <a:off x="12477750" y="6000750"/>
          <a:ext cx="33337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862851</xdr:colOff>
      <xdr:row>25</xdr:row>
      <xdr:rowOff>12325</xdr:rowOff>
    </xdr:from>
    <xdr:to>
      <xdr:col>22</xdr:col>
      <xdr:colOff>291352</xdr:colOff>
      <xdr:row>42</xdr:row>
      <xdr:rowOff>638734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628651</xdr:colOff>
      <xdr:row>1</xdr:row>
      <xdr:rowOff>0</xdr:rowOff>
    </xdr:from>
    <xdr:to>
      <xdr:col>9</xdr:col>
      <xdr:colOff>238126</xdr:colOff>
      <xdr:row>5</xdr:row>
      <xdr:rowOff>48627</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14651" y="190500"/>
          <a:ext cx="7696200" cy="810627"/>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628651</xdr:colOff>
      <xdr:row>1</xdr:row>
      <xdr:rowOff>0</xdr:rowOff>
    </xdr:from>
    <xdr:to>
      <xdr:col>9</xdr:col>
      <xdr:colOff>238126</xdr:colOff>
      <xdr:row>5</xdr:row>
      <xdr:rowOff>48627</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14651" y="190500"/>
          <a:ext cx="7696200" cy="810627"/>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20</xdr:col>
      <xdr:colOff>142875</xdr:colOff>
      <xdr:row>5</xdr:row>
      <xdr:rowOff>74711</xdr:rowOff>
    </xdr:to>
    <xdr:pic>
      <xdr:nvPicPr>
        <xdr:cNvPr id="3"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190500"/>
          <a:ext cx="9810750" cy="836711"/>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1228725</xdr:colOff>
      <xdr:row>1</xdr:row>
      <xdr:rowOff>0</xdr:rowOff>
    </xdr:from>
    <xdr:to>
      <xdr:col>19</xdr:col>
      <xdr:colOff>295275</xdr:colOff>
      <xdr:row>5</xdr:row>
      <xdr:rowOff>74711</xdr:rowOff>
    </xdr:to>
    <xdr:pic>
      <xdr:nvPicPr>
        <xdr:cNvPr id="3"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14575" y="190500"/>
          <a:ext cx="9810750" cy="836711"/>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28575</xdr:colOff>
      <xdr:row>1</xdr:row>
      <xdr:rowOff>28575</xdr:rowOff>
    </xdr:from>
    <xdr:to>
      <xdr:col>9</xdr:col>
      <xdr:colOff>190500</xdr:colOff>
      <xdr:row>5</xdr:row>
      <xdr:rowOff>103286</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0575" y="219075"/>
          <a:ext cx="9810750" cy="836711"/>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47625</xdr:colOff>
      <xdr:row>1</xdr:row>
      <xdr:rowOff>0</xdr:rowOff>
    </xdr:from>
    <xdr:to>
      <xdr:col>13</xdr:col>
      <xdr:colOff>809625</xdr:colOff>
      <xdr:row>5</xdr:row>
      <xdr:rowOff>74711</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33625" y="190500"/>
          <a:ext cx="9810750" cy="836711"/>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55908</xdr:colOff>
      <xdr:row>19</xdr:row>
      <xdr:rowOff>57150</xdr:rowOff>
    </xdr:from>
    <xdr:to>
      <xdr:col>9</xdr:col>
      <xdr:colOff>523875</xdr:colOff>
      <xdr:row>36</xdr:row>
      <xdr:rowOff>142875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276224</xdr:colOff>
      <xdr:row>1</xdr:row>
      <xdr:rowOff>0</xdr:rowOff>
    </xdr:from>
    <xdr:to>
      <xdr:col>15</xdr:col>
      <xdr:colOff>51048</xdr:colOff>
      <xdr:row>5</xdr:row>
      <xdr:rowOff>57150</xdr:rowOff>
    </xdr:to>
    <xdr:pic>
      <xdr:nvPicPr>
        <xdr:cNvPr id="3" name="3 Marcador de contenido"/>
        <xdr:cNvPicPr>
          <a:picLocks noGrp="1"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14874" y="190500"/>
          <a:ext cx="8518774" cy="819150"/>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742950</xdr:colOff>
      <xdr:row>1</xdr:row>
      <xdr:rowOff>0</xdr:rowOff>
    </xdr:from>
    <xdr:to>
      <xdr:col>14</xdr:col>
      <xdr:colOff>28575</xdr:colOff>
      <xdr:row>5</xdr:row>
      <xdr:rowOff>180976</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190500"/>
          <a:ext cx="6953250" cy="942976"/>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761999</xdr:colOff>
      <xdr:row>1</xdr:row>
      <xdr:rowOff>190499</xdr:rowOff>
    </xdr:from>
    <xdr:to>
      <xdr:col>11</xdr:col>
      <xdr:colOff>314674</xdr:colOff>
      <xdr:row>7</xdr:row>
      <xdr:rowOff>85724</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1999" y="190499"/>
          <a:ext cx="10811225" cy="1038225"/>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171450</xdr:colOff>
      <xdr:row>1</xdr:row>
      <xdr:rowOff>0</xdr:rowOff>
    </xdr:from>
    <xdr:to>
      <xdr:col>10</xdr:col>
      <xdr:colOff>8866</xdr:colOff>
      <xdr:row>5</xdr:row>
      <xdr:rowOff>161925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3450" y="190500"/>
          <a:ext cx="8771866" cy="923925"/>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xdr:colOff>
      <xdr:row>0</xdr:row>
      <xdr:rowOff>85725</xdr:rowOff>
    </xdr:from>
    <xdr:to>
      <xdr:col>9</xdr:col>
      <xdr:colOff>1009453</xdr:colOff>
      <xdr:row>5</xdr:row>
      <xdr:rowOff>47624</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14575" y="85725"/>
          <a:ext cx="8181778" cy="914399"/>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15</xdr:col>
      <xdr:colOff>713716</xdr:colOff>
      <xdr:row>5</xdr:row>
      <xdr:rowOff>161925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0" y="190500"/>
          <a:ext cx="8771866" cy="923925"/>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6</xdr:col>
      <xdr:colOff>132521</xdr:colOff>
      <xdr:row>4</xdr:row>
      <xdr:rowOff>91525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90500"/>
          <a:ext cx="6891129" cy="663025"/>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47625</xdr:colOff>
      <xdr:row>0</xdr:row>
      <xdr:rowOff>76200</xdr:rowOff>
    </xdr:from>
    <xdr:to>
      <xdr:col>8</xdr:col>
      <xdr:colOff>858831</xdr:colOff>
      <xdr:row>5</xdr:row>
      <xdr:rowOff>47625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2200" y="76200"/>
          <a:ext cx="8450256" cy="923925"/>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oneCellAnchor>
    <xdr:from>
      <xdr:col>2</xdr:col>
      <xdr:colOff>3565491</xdr:colOff>
      <xdr:row>30</xdr:row>
      <xdr:rowOff>3651</xdr:rowOff>
    </xdr:from>
    <xdr:ext cx="1863759" cy="377349"/>
    <mc:AlternateContent xmlns:mc="http://schemas.openxmlformats.org/markup-compatibility/2006" xmlns:a14="http://schemas.microsoft.com/office/drawing/2010/main">
      <mc:Choice Requires="a14">
        <xdr:sp macro="" textlink="">
          <xdr:nvSpPr>
            <xdr:cNvPr id="3" name="2 CuadroTexto"/>
            <xdr:cNvSpPr txBox="1"/>
          </xdr:nvSpPr>
          <xdr:spPr>
            <a:xfrm>
              <a:off x="5880066" y="5775801"/>
              <a:ext cx="1863759" cy="377349"/>
            </a:xfrm>
            <a:prstGeom prst="rect">
              <a:avLst/>
            </a:prstGeom>
            <a:solidFill>
              <a:srgbClr val="F5F5F5"/>
            </a:solidFill>
            <a:ln>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CO" sz="1200" b="1"/>
                <a:t>ROIC</a:t>
              </a:r>
              <a:r>
                <a:rPr lang="es-CO" sz="1200" baseline="0"/>
                <a:t> </a:t>
              </a:r>
              <a14:m>
                <m:oMath xmlns:m="http://schemas.openxmlformats.org/officeDocument/2006/math">
                  <m:r>
                    <a:rPr lang="es-CO" sz="1200" i="1">
                      <a:latin typeface="Cambria Math"/>
                    </a:rPr>
                    <m:t>=</m:t>
                  </m:r>
                  <m:f>
                    <m:fPr>
                      <m:ctrlPr>
                        <a:rPr lang="es-CO" sz="1200" b="0" i="1">
                          <a:latin typeface="Cambria Math"/>
                        </a:rPr>
                      </m:ctrlPr>
                    </m:fPr>
                    <m:num>
                      <m:r>
                        <a:rPr lang="es-CO" sz="1200" b="0" i="1">
                          <a:latin typeface="Cambria Math"/>
                        </a:rPr>
                        <m:t>𝑁𝑂𝑃𝐿𝐴𝑇</m:t>
                      </m:r>
                    </m:num>
                    <m:den>
                      <m:r>
                        <a:rPr lang="es-CO" sz="1200" b="0" i="1">
                          <a:latin typeface="Cambria Math"/>
                        </a:rPr>
                        <m:t>𝐶𝐴𝑃𝐼𝑇𝐴𝐿</m:t>
                      </m:r>
                      <m:r>
                        <a:rPr lang="es-CO" sz="1200" b="0" i="1">
                          <a:latin typeface="Cambria Math"/>
                        </a:rPr>
                        <m:t> </m:t>
                      </m:r>
                      <m:r>
                        <a:rPr lang="es-CO" sz="1200" b="0" i="1">
                          <a:latin typeface="Cambria Math"/>
                        </a:rPr>
                        <m:t>𝐼𝑁𝑉𝐸𝑅𝑇𝐼𝐷𝑂</m:t>
                      </m:r>
                    </m:den>
                  </m:f>
                </m:oMath>
              </a14:m>
              <a:endParaRPr lang="es-CO" sz="1200"/>
            </a:p>
          </xdr:txBody>
        </xdr:sp>
      </mc:Choice>
      <mc:Fallback xmlns="">
        <xdr:sp macro="" textlink="">
          <xdr:nvSpPr>
            <xdr:cNvPr id="3" name="2 CuadroTexto"/>
            <xdr:cNvSpPr txBox="1"/>
          </xdr:nvSpPr>
          <xdr:spPr>
            <a:xfrm>
              <a:off x="5880066" y="5775801"/>
              <a:ext cx="1863759" cy="377349"/>
            </a:xfrm>
            <a:prstGeom prst="rect">
              <a:avLst/>
            </a:prstGeom>
            <a:solidFill>
              <a:srgbClr val="F5F5F5"/>
            </a:solidFill>
            <a:ln>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CO" sz="1200" b="1"/>
                <a:t>ROIC</a:t>
              </a:r>
              <a:r>
                <a:rPr lang="es-CO" sz="1200" baseline="0"/>
                <a:t> </a:t>
              </a:r>
              <a:r>
                <a:rPr lang="es-CO" sz="1200" i="0">
                  <a:latin typeface="Cambria Math"/>
                </a:rPr>
                <a:t>=</a:t>
              </a:r>
              <a:r>
                <a:rPr lang="es-CO" sz="1200" b="0" i="0">
                  <a:latin typeface="Cambria Math"/>
                </a:rPr>
                <a:t>𝑁𝑂𝑃𝐿𝐴𝑇/(𝐶𝐴𝑃𝐼𝑇𝐴𝐿 𝐼𝑁𝑉𝐸𝑅𝑇𝐼𝐷𝑂)</a:t>
              </a:r>
              <a:endParaRPr lang="es-CO" sz="1200"/>
            </a:p>
          </xdr:txBody>
        </xdr:sp>
      </mc:Fallback>
    </mc:AlternateContent>
    <xdr:clientData/>
  </xdr:oneCellAnchor>
</xdr:wsDr>
</file>

<file path=xl/drawings/drawing23.xml><?xml version="1.0" encoding="utf-8"?>
<xdr:wsDr xmlns:xdr="http://schemas.openxmlformats.org/drawingml/2006/spreadsheetDrawing" xmlns:a="http://schemas.openxmlformats.org/drawingml/2006/main">
  <xdr:twoCellAnchor editAs="oneCell">
    <xdr:from>
      <xdr:col>2</xdr:col>
      <xdr:colOff>1314450</xdr:colOff>
      <xdr:row>1</xdr:row>
      <xdr:rowOff>9525</xdr:rowOff>
    </xdr:from>
    <xdr:to>
      <xdr:col>14</xdr:col>
      <xdr:colOff>485775</xdr:colOff>
      <xdr:row>5</xdr:row>
      <xdr:rowOff>84236</xdr:rowOff>
    </xdr:to>
    <xdr:pic>
      <xdr:nvPicPr>
        <xdr:cNvPr id="4"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38400" y="200025"/>
          <a:ext cx="9810750" cy="836711"/>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twoCellAnchor editAs="oneCell">
    <xdr:from>
      <xdr:col>1</xdr:col>
      <xdr:colOff>0</xdr:colOff>
      <xdr:row>0</xdr:row>
      <xdr:rowOff>190499</xdr:rowOff>
    </xdr:from>
    <xdr:to>
      <xdr:col>15</xdr:col>
      <xdr:colOff>43277</xdr:colOff>
      <xdr:row>7</xdr:row>
      <xdr:rowOff>114299</xdr:rowOff>
    </xdr:to>
    <xdr:pic>
      <xdr:nvPicPr>
        <xdr:cNvPr id="3"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90499"/>
          <a:ext cx="12968702" cy="1247775"/>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133350</xdr:colOff>
      <xdr:row>1</xdr:row>
      <xdr:rowOff>47625</xdr:rowOff>
    </xdr:from>
    <xdr:to>
      <xdr:col>6</xdr:col>
      <xdr:colOff>176443</xdr:colOff>
      <xdr:row>7</xdr:row>
      <xdr:rowOff>85724</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57350" y="190500"/>
          <a:ext cx="9396643" cy="895349"/>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190498</xdr:colOff>
      <xdr:row>0</xdr:row>
      <xdr:rowOff>176212</xdr:rowOff>
    </xdr:from>
    <xdr:to>
      <xdr:col>20</xdr:col>
      <xdr:colOff>514349</xdr:colOff>
      <xdr:row>25</xdr:row>
      <xdr:rowOff>38100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581025</xdr:colOff>
      <xdr:row>15</xdr:row>
      <xdr:rowOff>23812</xdr:rowOff>
    </xdr:from>
    <xdr:to>
      <xdr:col>10</xdr:col>
      <xdr:colOff>523875</xdr:colOff>
      <xdr:row>29</xdr:row>
      <xdr:rowOff>100012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571500</xdr:colOff>
      <xdr:row>37</xdr:row>
      <xdr:rowOff>119062</xdr:rowOff>
    </xdr:from>
    <xdr:to>
      <xdr:col>10</xdr:col>
      <xdr:colOff>514350</xdr:colOff>
      <xdr:row>52</xdr:row>
      <xdr:rowOff>4762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762000</xdr:colOff>
      <xdr:row>55</xdr:row>
      <xdr:rowOff>157162</xdr:rowOff>
    </xdr:from>
    <xdr:to>
      <xdr:col>9</xdr:col>
      <xdr:colOff>704850</xdr:colOff>
      <xdr:row>70</xdr:row>
      <xdr:rowOff>42862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28575</xdr:colOff>
      <xdr:row>0</xdr:row>
      <xdr:rowOff>85725</xdr:rowOff>
    </xdr:from>
    <xdr:to>
      <xdr:col>9</xdr:col>
      <xdr:colOff>561711</xdr:colOff>
      <xdr:row>5</xdr:row>
      <xdr:rowOff>85725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4425" y="85725"/>
          <a:ext cx="8381736" cy="952500"/>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561974</xdr:colOff>
      <xdr:row>0</xdr:row>
      <xdr:rowOff>85725</xdr:rowOff>
    </xdr:from>
    <xdr:to>
      <xdr:col>8</xdr:col>
      <xdr:colOff>442537</xdr:colOff>
      <xdr:row>5</xdr:row>
      <xdr:rowOff>9525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76549" y="85725"/>
          <a:ext cx="8319713" cy="876300"/>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495299</xdr:colOff>
      <xdr:row>0</xdr:row>
      <xdr:rowOff>85725</xdr:rowOff>
    </xdr:from>
    <xdr:to>
      <xdr:col>8</xdr:col>
      <xdr:colOff>452062</xdr:colOff>
      <xdr:row>5</xdr:row>
      <xdr:rowOff>9525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09874" y="85725"/>
          <a:ext cx="8319713" cy="876300"/>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285751</xdr:colOff>
      <xdr:row>101</xdr:row>
      <xdr:rowOff>61912</xdr:rowOff>
    </xdr:from>
    <xdr:to>
      <xdr:col>8</xdr:col>
      <xdr:colOff>257176</xdr:colOff>
      <xdr:row>115</xdr:row>
      <xdr:rowOff>138112</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200025</xdr:colOff>
      <xdr:row>101</xdr:row>
      <xdr:rowOff>52387</xdr:rowOff>
    </xdr:from>
    <xdr:to>
      <xdr:col>16</xdr:col>
      <xdr:colOff>619125</xdr:colOff>
      <xdr:row>115</xdr:row>
      <xdr:rowOff>128587</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219074</xdr:colOff>
      <xdr:row>153</xdr:row>
      <xdr:rowOff>128586</xdr:rowOff>
    </xdr:from>
    <xdr:to>
      <xdr:col>18</xdr:col>
      <xdr:colOff>428625</xdr:colOff>
      <xdr:row>170</xdr:row>
      <xdr:rowOff>133349</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57151</xdr:colOff>
      <xdr:row>179</xdr:row>
      <xdr:rowOff>138111</xdr:rowOff>
    </xdr:from>
    <xdr:to>
      <xdr:col>7</xdr:col>
      <xdr:colOff>504825</xdr:colOff>
      <xdr:row>195</xdr:row>
      <xdr:rowOff>19050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2057400</xdr:colOff>
      <xdr:row>0</xdr:row>
      <xdr:rowOff>180975</xdr:rowOff>
    </xdr:from>
    <xdr:to>
      <xdr:col>14</xdr:col>
      <xdr:colOff>213938</xdr:colOff>
      <xdr:row>5</xdr:row>
      <xdr:rowOff>104775</xdr:rowOff>
    </xdr:to>
    <xdr:pic>
      <xdr:nvPicPr>
        <xdr:cNvPr id="12" name="3 Marcador de contenido"/>
        <xdr:cNvPicPr>
          <a:picLocks noGrp="1"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581400" y="180975"/>
          <a:ext cx="8319713" cy="876300"/>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twoCellAnchor>
    <xdr:from>
      <xdr:col>2</xdr:col>
      <xdr:colOff>276225</xdr:colOff>
      <xdr:row>127</xdr:row>
      <xdr:rowOff>9525</xdr:rowOff>
    </xdr:from>
    <xdr:to>
      <xdr:col>8</xdr:col>
      <xdr:colOff>247650</xdr:colOff>
      <xdr:row>141</xdr:row>
      <xdr:rowOff>85725</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190500</xdr:colOff>
      <xdr:row>127</xdr:row>
      <xdr:rowOff>0</xdr:rowOff>
    </xdr:from>
    <xdr:to>
      <xdr:col>16</xdr:col>
      <xdr:colOff>609600</xdr:colOff>
      <xdr:row>141</xdr:row>
      <xdr:rowOff>76200</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238125</xdr:colOff>
      <xdr:row>153</xdr:row>
      <xdr:rowOff>123825</xdr:rowOff>
    </xdr:from>
    <xdr:to>
      <xdr:col>8</xdr:col>
      <xdr:colOff>209550</xdr:colOff>
      <xdr:row>168</xdr:row>
      <xdr:rowOff>9525</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19050</xdr:colOff>
      <xdr:row>179</xdr:row>
      <xdr:rowOff>133350</xdr:rowOff>
    </xdr:from>
    <xdr:to>
      <xdr:col>15</xdr:col>
      <xdr:colOff>209549</xdr:colOff>
      <xdr:row>195</xdr:row>
      <xdr:rowOff>14289</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509874</xdr:colOff>
      <xdr:row>1</xdr:row>
      <xdr:rowOff>0</xdr:rowOff>
    </xdr:from>
    <xdr:to>
      <xdr:col>10</xdr:col>
      <xdr:colOff>3427730</xdr:colOff>
      <xdr:row>5</xdr:row>
      <xdr:rowOff>114300</xdr:rowOff>
    </xdr:to>
    <xdr:pic>
      <xdr:nvPicPr>
        <xdr:cNvPr id="3"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74541" y="190500"/>
          <a:ext cx="8325939" cy="876300"/>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0</xdr:row>
      <xdr:rowOff>190499</xdr:rowOff>
    </xdr:from>
    <xdr:to>
      <xdr:col>9</xdr:col>
      <xdr:colOff>838114</xdr:colOff>
      <xdr:row>5</xdr:row>
      <xdr:rowOff>66675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0" y="190499"/>
          <a:ext cx="7867564" cy="828676"/>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752475</xdr:colOff>
      <xdr:row>0</xdr:row>
      <xdr:rowOff>190499</xdr:rowOff>
    </xdr:from>
    <xdr:to>
      <xdr:col>14</xdr:col>
      <xdr:colOff>390439</xdr:colOff>
      <xdr:row>5</xdr:row>
      <xdr:rowOff>66675</xdr:rowOff>
    </xdr:to>
    <xdr:pic>
      <xdr:nvPicPr>
        <xdr:cNvPr id="2" name="3 Marcador de contenido"/>
        <xdr:cNvPicPr>
          <a:picLocks noGrp="1"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6925" y="190499"/>
          <a:ext cx="7867564" cy="828676"/>
        </a:xfrm>
        <a:prstGeom prst="rect">
          <a:avLst/>
        </a:prstGeom>
        <a:ln w="19050">
          <a:solidFill>
            <a:schemeClr val="accent1"/>
          </a:solid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Vic.%20Mercado%20de%20Capitales\Proyectos%20en%20Ejecuci&#243;n\ISAGEN%20-%20Acciones\Modelos\Oficiales\8-Valoracion%20Consejo%20Ministros%2030%20o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mdesp2w2/bancainversion/Documents/Gcia.%20Mercado%20de%20Capitales/Proyectos%20en%20Ejecuci&#243;n/ISAGEN%20-%20Acciones/Due%20Diligence/INFORMACION%20-%20ISAGEN/FINANCIERA/Proyecciones%2011%20enero%202006/ProyFcras_Dic23_2004_Esc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mdesp2w2/bancainversion/Documents/Gcia.%20Mercado%20de%20Capitales/Proyectos%20en%20Ejecuci&#243;n/ISAGEN%20-%20Acciones/Modelos/Proyecciones%2023%20agosto%202006/Esc4_ProyFcras_16Ago06_Esc(CxConf_PreciosM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Mis%20Documentos\dugrajal\DUVAN\1.%20BIB\6.%20Herramientas\Documents%20and%20Settings\johurtado.CORFINSURAK2\Escritorio\Modelo%20PM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s Mar-Jul-Ago"/>
      <sheetName val="Escenarios"/>
      <sheetName val="Macroec"/>
      <sheetName val="P&amp;G&gt;&gt;"/>
      <sheetName val="Analisis vertical"/>
      <sheetName val="Analisis horizontal"/>
      <sheetName val="INGRESOS ENERGIA &gt;&gt;"/>
      <sheetName val="Generacion"/>
      <sheetName val="Precios"/>
      <sheetName val="COSTO VENTAS&gt;&gt;"/>
      <sheetName val="Cargos MEM - Aportes"/>
      <sheetName val="Grls, Personales y otros"/>
      <sheetName val="Proyecciones Gas"/>
      <sheetName val="Combustible"/>
      <sheetName val="GASTOS ADMN&gt;&gt;"/>
      <sheetName val="Pensiones"/>
      <sheetName val="Otros Ingr.Gastos"/>
      <sheetName val="Deuda"/>
      <sheetName val="ImpoRenta"/>
      <sheetName val="DeprecContable"/>
      <sheetName val="DeprecFiscal"/>
      <sheetName val="BALANCE&gt;&gt;"/>
      <sheetName val="Soporte Balance"/>
      <sheetName val="Inversion y Mmto"/>
      <sheetName val="TESORERIA"/>
      <sheetName val="FCL"/>
      <sheetName val="ImpuestosValoracion"/>
      <sheetName val="RESUMEN VALORACION&gt;&gt;"/>
      <sheetName val="g"/>
      <sheetName val="beta"/>
      <sheetName val="WACC"/>
      <sheetName val="prima"/>
      <sheetName val="Prima compañia"/>
      <sheetName val="Valoracion FCL"/>
      <sheetName val="Prospecto"/>
      <sheetName val="Road Show"/>
      <sheetName val="Valoración FlujoDiv"/>
      <sheetName val="Valoracion Multiplos&gt;&gt;"/>
      <sheetName val="CostoCapital Damodaran"/>
      <sheetName val="S&amp;P V.S. IGBC"/>
      <sheetName val="EMBI"/>
      <sheetName val="Precio accion"/>
      <sheetName val="Indicadores Balance"/>
      <sheetName val="Indicadores P&amp;G"/>
      <sheetName val="Proyecciones Gas (nuevo)"/>
      <sheetName val="Graficas Presentacion"/>
      <sheetName val="Contingencias"/>
      <sheetName val="Acciones PrivSebastian"/>
      <sheetName val="PrimaMercado"/>
      <sheetName val="Generadoras Hídricas"/>
      <sheetName val="Generadoras Térmicas"/>
      <sheetName val="Transacciones Energia Electrica"/>
      <sheetName val="Múltliplos"/>
      <sheetName val="Mult Cias Emerg DAMODARAN"/>
      <sheetName val="IPC-IPP"/>
      <sheetName val="WACC (IS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Supuestos Generales"/>
      <sheetName val="Supuestos Generación - Precios"/>
      <sheetName val="EscGen-Precios"/>
      <sheetName val="Supuestos cargos MEM - Aportes"/>
      <sheetName val="Supuestos Combustibles"/>
      <sheetName val="Modelo Proyecciones"/>
      <sheetName val="Modelo Proyecciones (Amoyá)"/>
      <sheetName val="Resumen-Energ"/>
      <sheetName val="Resumen-Energ (Amoyá)"/>
    </sheetNames>
    <sheetDataSet>
      <sheetData sheetId="0" refreshError="1"/>
      <sheetData sheetId="1" refreshError="1"/>
      <sheetData sheetId="2" refreshError="1">
        <row r="40">
          <cell r="B40">
            <v>13423</v>
          </cell>
          <cell r="C40">
            <v>13447</v>
          </cell>
          <cell r="D40">
            <v>13447</v>
          </cell>
          <cell r="E40">
            <v>13453.5</v>
          </cell>
          <cell r="F40">
            <v>13552</v>
          </cell>
          <cell r="G40">
            <v>13882</v>
          </cell>
          <cell r="H40">
            <v>14212</v>
          </cell>
          <cell r="I40">
            <v>14212</v>
          </cell>
          <cell r="J40">
            <v>14212</v>
          </cell>
          <cell r="K40">
            <v>14212</v>
          </cell>
          <cell r="L40">
            <v>14212</v>
          </cell>
          <cell r="M40">
            <v>14212</v>
          </cell>
        </row>
        <row r="180">
          <cell r="B180">
            <v>2241</v>
          </cell>
          <cell r="C180">
            <v>2265</v>
          </cell>
          <cell r="D180">
            <v>2265</v>
          </cell>
          <cell r="E180">
            <v>2271.5</v>
          </cell>
          <cell r="F180">
            <v>2370</v>
          </cell>
          <cell r="G180">
            <v>2370</v>
          </cell>
          <cell r="H180">
            <v>2370</v>
          </cell>
          <cell r="I180">
            <v>2370</v>
          </cell>
          <cell r="J180">
            <v>2370</v>
          </cell>
          <cell r="K180">
            <v>2370</v>
          </cell>
          <cell r="L180">
            <v>2370</v>
          </cell>
          <cell r="M180">
            <v>2370</v>
          </cell>
        </row>
        <row r="218">
          <cell r="B218">
            <v>7920.5621100022099</v>
          </cell>
          <cell r="C218">
            <v>7977.5090700000001</v>
          </cell>
          <cell r="D218">
            <v>7902.3887199999999</v>
          </cell>
          <cell r="E218">
            <v>8593.6005909999985</v>
          </cell>
          <cell r="F218">
            <v>9092.8063199999997</v>
          </cell>
          <cell r="G218">
            <v>9779.4384399999999</v>
          </cell>
          <cell r="H218">
            <v>9795.2497999999996</v>
          </cell>
          <cell r="I218">
            <v>9875.2988650000007</v>
          </cell>
          <cell r="J218">
            <v>10097.61637</v>
          </cell>
          <cell r="K218">
            <v>10097.61637</v>
          </cell>
          <cell r="L218">
            <v>10097.61637</v>
          </cell>
          <cell r="M218">
            <v>10097.61637</v>
          </cell>
        </row>
        <row r="250">
          <cell r="B250">
            <v>68.75166887723978</v>
          </cell>
          <cell r="C250">
            <v>74.586152994287033</v>
          </cell>
          <cell r="D250">
            <v>81.511019081090467</v>
          </cell>
          <cell r="E250">
            <v>87.223985201918879</v>
          </cell>
          <cell r="F250">
            <v>95.925527083936444</v>
          </cell>
          <cell r="G250">
            <v>96.45585233550112</v>
          </cell>
          <cell r="H250">
            <v>96.114349787974461</v>
          </cell>
          <cell r="I250">
            <v>95.798920018904255</v>
          </cell>
          <cell r="J250">
            <v>94.298274782188287</v>
          </cell>
          <cell r="K250">
            <v>91.549880556741655</v>
          </cell>
          <cell r="L250">
            <v>88.881583584955536</v>
          </cell>
          <cell r="M250">
            <v>86.916384896118103</v>
          </cell>
        </row>
        <row r="272">
          <cell r="B272">
            <v>77.257300000000001</v>
          </cell>
          <cell r="C272">
            <v>78.741000544716002</v>
          </cell>
          <cell r="D272">
            <v>76.771957361839455</v>
          </cell>
          <cell r="E272">
            <v>89.840704757976454</v>
          </cell>
          <cell r="F272">
            <v>98.803292896454536</v>
          </cell>
          <cell r="G272">
            <v>99.349527905566163</v>
          </cell>
          <cell r="H272">
            <v>98.9977802816137</v>
          </cell>
          <cell r="I272">
            <v>98.672887619471382</v>
          </cell>
          <cell r="J272">
            <v>97.127223025653933</v>
          </cell>
          <cell r="K272">
            <v>94.296376973443913</v>
          </cell>
          <cell r="L272">
            <v>91.548031092504203</v>
          </cell>
          <cell r="M272">
            <v>89.523876443001654</v>
          </cell>
        </row>
        <row r="292">
          <cell r="B292">
            <v>71.790000000000006</v>
          </cell>
          <cell r="C292">
            <v>73.787302432005518</v>
          </cell>
          <cell r="D292">
            <v>72.933359493747474</v>
          </cell>
          <cell r="E292">
            <v>80.856634282178817</v>
          </cell>
          <cell r="F292">
            <v>88.922963606809091</v>
          </cell>
          <cell r="G292">
            <v>89.414575115009555</v>
          </cell>
          <cell r="H292">
            <v>89.098002253452336</v>
          </cell>
          <cell r="I292">
            <v>88.805598857524245</v>
          </cell>
          <cell r="J292">
            <v>87.414500723088537</v>
          </cell>
          <cell r="K292">
            <v>84.866739276099523</v>
          </cell>
          <cell r="L292">
            <v>82.39322798325378</v>
          </cell>
          <cell r="M292">
            <v>80.571488798701495</v>
          </cell>
        </row>
        <row r="323">
          <cell r="B323">
            <v>72.189252321101776</v>
          </cell>
          <cell r="C323">
            <v>78.315460644001391</v>
          </cell>
          <cell r="D323">
            <v>85.586570035144987</v>
          </cell>
          <cell r="E323">
            <v>91.585184462014823</v>
          </cell>
          <cell r="F323">
            <v>100.72180343813326</v>
          </cell>
          <cell r="G323">
            <v>101.27864495227618</v>
          </cell>
          <cell r="H323">
            <v>100.92006727737319</v>
          </cell>
          <cell r="I323">
            <v>100.58886601984948</v>
          </cell>
          <cell r="J323">
            <v>99.013188521297707</v>
          </cell>
          <cell r="K323">
            <v>96.127374584578746</v>
          </cell>
          <cell r="L323">
            <v>93.325662764203315</v>
          </cell>
          <cell r="M323">
            <v>91.262204140924013</v>
          </cell>
        </row>
        <row r="324">
          <cell r="B324">
            <v>63.251535367060598</v>
          </cell>
          <cell r="C324">
            <v>68.619260754744076</v>
          </cell>
          <cell r="D324">
            <v>74.990137554603237</v>
          </cell>
          <cell r="E324">
            <v>80.246066385765374</v>
          </cell>
          <cell r="F324">
            <v>88.251484917221532</v>
          </cell>
          <cell r="G324">
            <v>88.739384148661031</v>
          </cell>
          <cell r="H324">
            <v>88.425201804936506</v>
          </cell>
          <cell r="I324">
            <v>88.135006417391921</v>
          </cell>
          <cell r="J324">
            <v>86.754412799613235</v>
          </cell>
          <cell r="K324">
            <v>84.225890112202322</v>
          </cell>
          <cell r="L324">
            <v>81.771056898159102</v>
          </cell>
          <cell r="M324">
            <v>79.963074104428657</v>
          </cell>
        </row>
        <row r="340">
          <cell r="B340">
            <v>8734.4266034676912</v>
          </cell>
          <cell r="C340">
            <v>9427.0588851075463</v>
          </cell>
          <cell r="D340">
            <v>9748.6697615792473</v>
          </cell>
          <cell r="E340">
            <v>10134.104289499888</v>
          </cell>
          <cell r="F340">
            <v>10499.185111309729</v>
          </cell>
          <cell r="G340">
            <v>10874.637547375531</v>
          </cell>
          <cell r="H340">
            <v>11261.498759122891</v>
          </cell>
          <cell r="I340">
            <v>11656.657262275021</v>
          </cell>
          <cell r="J340">
            <v>12063.224541108706</v>
          </cell>
          <cell r="K340">
            <v>12483.972296257261</v>
          </cell>
          <cell r="L340">
            <v>12919.395122143271</v>
          </cell>
          <cell r="M340">
            <v>13370.004863924582</v>
          </cell>
        </row>
        <row r="346">
          <cell r="B346">
            <v>31.910509111568839</v>
          </cell>
          <cell r="C346">
            <v>35.056223695254282</v>
          </cell>
          <cell r="D346">
            <v>35.478617330216075</v>
          </cell>
          <cell r="E346">
            <v>35.787744801967733</v>
          </cell>
          <cell r="F346">
            <v>36.101727446727217</v>
          </cell>
          <cell r="G346">
            <v>36.33873186742445</v>
          </cell>
          <cell r="H346">
            <v>36.570740673911772</v>
          </cell>
          <cell r="I346">
            <v>36.751440433530682</v>
          </cell>
          <cell r="J346">
            <v>37.068772909153786</v>
          </cell>
          <cell r="K346">
            <v>37.388845410715923</v>
          </cell>
          <cell r="L346">
            <v>37.711681597132362</v>
          </cell>
          <cell r="M346">
            <v>37.853550233382329</v>
          </cell>
        </row>
        <row r="347">
          <cell r="B347">
            <v>31.910509111568839</v>
          </cell>
          <cell r="C347">
            <v>33.708296966726465</v>
          </cell>
          <cell r="D347">
            <v>32.960820663345586</v>
          </cell>
          <cell r="E347">
            <v>32.123681556530663</v>
          </cell>
          <cell r="F347">
            <v>31.309678897135765</v>
          </cell>
          <cell r="G347">
            <v>30.449491761415942</v>
          </cell>
          <cell r="H347">
            <v>29.60763288711912</v>
          </cell>
          <cell r="I347">
            <v>28.74775576906012</v>
          </cell>
          <cell r="J347">
            <v>28.015439573283864</v>
          </cell>
          <cell r="K347">
            <v>27.301778294952442</v>
          </cell>
          <cell r="L347">
            <v>26.606296721381938</v>
          </cell>
          <cell r="M347">
            <v>25.80327313792235</v>
          </cell>
        </row>
        <row r="371">
          <cell r="B371">
            <v>1330.74</v>
          </cell>
          <cell r="C371">
            <v>1330.74</v>
          </cell>
          <cell r="D371">
            <v>1343.74</v>
          </cell>
          <cell r="E371">
            <v>1343.74</v>
          </cell>
          <cell r="F371">
            <v>1358.365</v>
          </cell>
          <cell r="G371">
            <v>1358.365</v>
          </cell>
          <cell r="H371">
            <v>1358.365</v>
          </cell>
          <cell r="I371">
            <v>1358.365</v>
          </cell>
          <cell r="J371">
            <v>1358.365</v>
          </cell>
          <cell r="K371">
            <v>1358.365</v>
          </cell>
          <cell r="L371">
            <v>1358.365</v>
          </cell>
          <cell r="M371">
            <v>1358.365</v>
          </cell>
        </row>
        <row r="395">
          <cell r="B395">
            <v>7368.0757835265094</v>
          </cell>
          <cell r="C395">
            <v>7073.0499567935312</v>
          </cell>
          <cell r="D395">
            <v>7139.8857446499815</v>
          </cell>
          <cell r="E395">
            <v>7112.5730780847416</v>
          </cell>
          <cell r="F395">
            <v>7351.8636352770272</v>
          </cell>
          <cell r="G395">
            <v>7339.3700247616844</v>
          </cell>
          <cell r="H395">
            <v>7328.2102348271837</v>
          </cell>
          <cell r="I395">
            <v>7327.5777618377906</v>
          </cell>
          <cell r="J395">
            <v>7300.1152528345865</v>
          </cell>
          <cell r="K395">
            <v>7272.755668621161</v>
          </cell>
          <cell r="L395">
            <v>7245.4986234530024</v>
          </cell>
          <cell r="M395">
            <v>7218.3437330312881</v>
          </cell>
        </row>
      </sheetData>
      <sheetData sheetId="3" refreshError="1">
        <row r="13">
          <cell r="C13">
            <v>160.2490249306322</v>
          </cell>
        </row>
      </sheetData>
      <sheetData sheetId="4" refreshError="1">
        <row r="154">
          <cell r="B154">
            <v>2.7214249464388574</v>
          </cell>
          <cell r="C154">
            <v>2.7214249464388574</v>
          </cell>
          <cell r="D154">
            <v>2.7214249464388574</v>
          </cell>
          <cell r="E154">
            <v>2.7214249464388574</v>
          </cell>
          <cell r="F154">
            <v>2.7214249464388574</v>
          </cell>
          <cell r="G154">
            <v>2.7214249464388574</v>
          </cell>
          <cell r="H154">
            <v>2.7214249464388574</v>
          </cell>
          <cell r="I154">
            <v>2.7214249464388574</v>
          </cell>
          <cell r="J154">
            <v>2.7214249464388574</v>
          </cell>
          <cell r="K154">
            <v>2.7214249464388574</v>
          </cell>
          <cell r="L154">
            <v>2.7214249464388574</v>
          </cell>
          <cell r="M154">
            <v>2.7214249464388574</v>
          </cell>
        </row>
      </sheetData>
      <sheetData sheetId="5" refreshError="1"/>
      <sheetData sheetId="6" refreshError="1">
        <row r="32">
          <cell r="B32">
            <v>1566.7416158839696</v>
          </cell>
          <cell r="C32">
            <v>2989.1659049999998</v>
          </cell>
          <cell r="D32">
            <v>2501.5665259000007</v>
          </cell>
          <cell r="E32">
            <v>3209.0894706999989</v>
          </cell>
          <cell r="F32">
            <v>3309.9388680000002</v>
          </cell>
          <cell r="G32">
            <v>3530.761004</v>
          </cell>
          <cell r="H32">
            <v>3540.9885429999995</v>
          </cell>
          <cell r="I32">
            <v>3560.1793105000002</v>
          </cell>
          <cell r="J32">
            <v>3625.8639089999988</v>
          </cell>
          <cell r="K32">
            <v>3625.8639089999988</v>
          </cell>
          <cell r="L32">
            <v>3625.8639089999988</v>
          </cell>
          <cell r="M32">
            <v>3625.8639089999988</v>
          </cell>
        </row>
        <row r="70">
          <cell r="B70">
            <v>1348.5212189686968</v>
          </cell>
          <cell r="C70">
            <v>1394.1439189999999</v>
          </cell>
          <cell r="D70">
            <v>1383.3731340000002</v>
          </cell>
          <cell r="E70">
            <v>1490.3693524999999</v>
          </cell>
          <cell r="F70">
            <v>1491.377604</v>
          </cell>
          <cell r="G70">
            <v>1574.8733159999999</v>
          </cell>
          <cell r="H70">
            <v>1581.9385829999999</v>
          </cell>
          <cell r="I70">
            <v>1585.1195375000002</v>
          </cell>
          <cell r="J70">
            <v>1606.3406349999998</v>
          </cell>
          <cell r="K70">
            <v>1606.3406349999998</v>
          </cell>
          <cell r="L70">
            <v>1606.3406349999998</v>
          </cell>
          <cell r="M70">
            <v>1606.3406349999998</v>
          </cell>
        </row>
      </sheetData>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Supuestos Generales"/>
      <sheetName val="Supuestos Generación - Precios"/>
      <sheetName val="EscGen-Precios"/>
      <sheetName val="Supuestos cargos MEM - Aportes"/>
      <sheetName val="Supuestos Combustibles"/>
      <sheetName val="Modelo Proyecciones"/>
      <sheetName val="Modelo Proyecciones (Amoyá)"/>
      <sheetName val="Resumen-Energ"/>
      <sheetName val="Resumen-Energ (Amoyá)"/>
      <sheetName val="Tablas para Calificadora"/>
      <sheetName val="Tablas"/>
    </sheetNames>
    <sheetDataSet>
      <sheetData sheetId="0"/>
      <sheetData sheetId="1">
        <row r="92">
          <cell r="B92">
            <v>3.3095107201759122E-2</v>
          </cell>
          <cell r="C92">
            <v>3.3095107201759122E-2</v>
          </cell>
          <cell r="D92">
            <v>3.6398467432950277E-2</v>
          </cell>
          <cell r="E92">
            <v>3.6968576709796697E-2</v>
          </cell>
          <cell r="F92">
            <v>3.5353535353535248E-2</v>
          </cell>
          <cell r="G92">
            <v>3.5485413677666111E-2</v>
          </cell>
          <cell r="H92">
            <v>3.6948087936449214E-2</v>
          </cell>
          <cell r="I92">
            <v>3.7769463744877996E-2</v>
          </cell>
          <cell r="J92">
            <v>3.7339055793991438E-2</v>
          </cell>
          <cell r="K92">
            <v>3.7339055793991438E-2</v>
          </cell>
          <cell r="L92">
            <v>3.7339055793991438E-2</v>
          </cell>
          <cell r="M92">
            <v>3.7339055793991438E-2</v>
          </cell>
        </row>
      </sheetData>
      <sheetData sheetId="2">
        <row r="468">
          <cell r="C468">
            <v>6782.2204200588712</v>
          </cell>
          <cell r="D468">
            <v>6782.2204200588712</v>
          </cell>
          <cell r="E468">
            <v>6782.2204200588712</v>
          </cell>
          <cell r="F468">
            <v>7451.9172837815331</v>
          </cell>
          <cell r="G468">
            <v>7451.9172837815331</v>
          </cell>
          <cell r="H468">
            <v>7451.9172837815331</v>
          </cell>
          <cell r="I468">
            <v>7451.9172837815331</v>
          </cell>
          <cell r="J468">
            <v>7451.9172837815331</v>
          </cell>
          <cell r="K468">
            <v>7451.9172837815331</v>
          </cell>
          <cell r="L468">
            <v>7451.9172837815331</v>
          </cell>
          <cell r="M468">
            <v>7451.9172837815331</v>
          </cell>
        </row>
      </sheetData>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mpresion"/>
      <sheetName val="E R y Balance Hist."/>
      <sheetName val="Supuestos"/>
      <sheetName val="Supuestos Deuda"/>
      <sheetName val="Ventas y CMV"/>
      <sheetName val="Matriz Indicadores"/>
      <sheetName val="E R Proyectado"/>
      <sheetName val="B.G. Proyectado"/>
      <sheetName val="F.Caja"/>
      <sheetName val="FCL e Indices Proy."/>
      <sheetName val="Cto de Patrimonio y Capital"/>
      <sheetName val="Valoración"/>
      <sheetName val="Múltiplos"/>
      <sheetName val="Gráficos"/>
      <sheetName val="Betas"/>
      <sheetName val="Beta"/>
      <sheetName val="Datos"/>
      <sheetName val="Modelo PMX"/>
    </sheetNames>
    <sheetDataSet>
      <sheetData sheetId="0"/>
      <sheetData sheetId="1" refreshError="1"/>
      <sheetData sheetId="2"/>
      <sheetData sheetId="3" refreshError="1"/>
      <sheetData sheetId="4" refreshError="1"/>
      <sheetData sheetId="5"/>
      <sheetData sheetId="6" refreshError="1"/>
      <sheetData sheetId="7"/>
      <sheetData sheetId="8" refreshError="1"/>
      <sheetData sheetId="9" refreshError="1"/>
      <sheetData sheetId="10" refreshError="1"/>
      <sheetData sheetId="11">
        <row r="1">
          <cell r="C1" t="str">
            <v>C.I. PROMOT. DE MANUFACT. PARA LA EXPORTACIÓN S.A  -PMX</v>
          </cell>
        </row>
      </sheetData>
      <sheetData sheetId="12" refreshError="1"/>
      <sheetData sheetId="13" refreshError="1"/>
      <sheetData sheetId="14" refreshError="1"/>
      <sheetData sheetId="15" refreshError="1"/>
      <sheetData sheetId="16" refreshError="1"/>
      <sheetData sheetId="17"/>
      <sheetData sheetId="18" refreshError="1"/>
    </sheetDataSet>
  </externalBook>
</externalLink>
</file>

<file path=xl/theme/theme1.xml><?xml version="1.0" encoding="utf-8"?>
<a:theme xmlns:a="http://schemas.openxmlformats.org/drawingml/2006/main" name="Tema de Office">
  <a:themeElements>
    <a:clrScheme name="Elemental">
      <a:dk1>
        <a:sysClr val="windowText" lastClr="000000"/>
      </a:dk1>
      <a:lt1>
        <a:sysClr val="window" lastClr="FFFFFF"/>
      </a:lt1>
      <a:dk2>
        <a:srgbClr val="242852"/>
      </a:dk2>
      <a:lt2>
        <a:srgbClr val="ACCBF9"/>
      </a:lt2>
      <a:accent1>
        <a:srgbClr val="629DD1"/>
      </a:accent1>
      <a:accent2>
        <a:srgbClr val="297FD5"/>
      </a:accent2>
      <a:accent3>
        <a:srgbClr val="7F8FA9"/>
      </a:accent3>
      <a:accent4>
        <a:srgbClr val="4A66AC"/>
      </a:accent4>
      <a:accent5>
        <a:srgbClr val="5AA2AE"/>
      </a:accent5>
      <a:accent6>
        <a:srgbClr val="9D90A0"/>
      </a:accent6>
      <a:hlink>
        <a:srgbClr val="9454C3"/>
      </a:hlink>
      <a:folHlink>
        <a:srgbClr val="3EBBF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0.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8" Type="http://schemas.openxmlformats.org/officeDocument/2006/relationships/drawing" Target="../drawings/drawing24.xml"/><Relationship Id="rId3" Type="http://schemas.openxmlformats.org/officeDocument/2006/relationships/hyperlink" Target="http://www.elcondor.com/inversionistas/wp-content/uploads/sites/2/2014/03/Info-relevante-reforma.pdf" TargetMode="External"/><Relationship Id="rId7" Type="http://schemas.openxmlformats.org/officeDocument/2006/relationships/printerSettings" Target="../printerSettings/printerSettings16.bin"/><Relationship Id="rId2" Type="http://schemas.openxmlformats.org/officeDocument/2006/relationships/hyperlink" Target="http://www.larepublica.co/finanzas-personales/nutresa-eeb-e-isagen-anuncian-distribuci%C3%B3n-de-dividendos_119211" TargetMode="External"/><Relationship Id="rId1" Type="http://schemas.openxmlformats.org/officeDocument/2006/relationships/hyperlink" Target="http://www.larepublica.co/resultados-empresariales/avianca-y-procafecol-mejoran-los-balances-empresariales_118276" TargetMode="External"/><Relationship Id="rId6" Type="http://schemas.openxmlformats.org/officeDocument/2006/relationships/hyperlink" Target="http://www.elcondor.com/inversionistas/wp-content/uploads/sites/2/2014/03/Decisiones-de-Junta-28-febrero.pdf" TargetMode="External"/><Relationship Id="rId5" Type="http://schemas.openxmlformats.org/officeDocument/2006/relationships/hyperlink" Target="http://www.elcondor.com/inversionistas/wp-content/uploads/sites/2/2014/05/Cambios-en-la-composicion-accionaria-del-emisor.pdf" TargetMode="External"/><Relationship Id="rId4" Type="http://schemas.openxmlformats.org/officeDocument/2006/relationships/hyperlink" Target="http://www.elcondor.com/inversionistas/wp-content/uploads/sites/2/2014/01/Oficinas.pdf"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hyperlink" Target="http://www.damodaran.com/"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3:S50"/>
  <sheetViews>
    <sheetView showGridLines="0" tabSelected="1" zoomScale="85" zoomScaleNormal="85" workbookViewId="0">
      <selection activeCell="I16" sqref="I16"/>
    </sheetView>
  </sheetViews>
  <sheetFormatPr baseColWidth="10" defaultRowHeight="12.75" x14ac:dyDescent="0.2"/>
  <cols>
    <col min="1" max="1" width="2.5703125" style="33" customWidth="1"/>
    <col min="2" max="2" width="47.7109375" style="33" customWidth="1"/>
    <col min="3" max="3" width="49" style="33" customWidth="1"/>
    <col min="4" max="9" width="7.42578125" style="33" bestFit="1" customWidth="1"/>
    <col min="10" max="10" width="53.140625" style="33" customWidth="1"/>
    <col min="11" max="11" width="14.42578125" style="33" bestFit="1" customWidth="1"/>
    <col min="12" max="12" width="12.42578125" style="33" customWidth="1"/>
    <col min="13" max="13" width="48.28515625" style="33" customWidth="1"/>
    <col min="14" max="16384" width="11.42578125" style="33"/>
  </cols>
  <sheetData>
    <row r="13" spans="2:19" ht="24" customHeight="1" x14ac:dyDescent="0.2">
      <c r="B13" s="378" t="s">
        <v>301</v>
      </c>
      <c r="C13" s="379"/>
      <c r="D13" s="379"/>
      <c r="E13" s="379"/>
      <c r="F13" s="379"/>
      <c r="G13" s="379"/>
      <c r="H13" s="379"/>
      <c r="I13" s="379"/>
      <c r="J13" s="379"/>
      <c r="K13" s="379"/>
      <c r="L13" s="39"/>
    </row>
    <row r="14" spans="2:19" x14ac:dyDescent="0.2">
      <c r="B14" s="39"/>
    </row>
    <row r="15" spans="2:19" ht="20.100000000000001" customHeight="1" x14ac:dyDescent="0.2">
      <c r="B15" s="40" t="s">
        <v>224</v>
      </c>
      <c r="C15" s="40" t="s">
        <v>225</v>
      </c>
      <c r="D15" s="40">
        <v>2008</v>
      </c>
      <c r="E15" s="40">
        <v>2009</v>
      </c>
      <c r="F15" s="40">
        <v>2010</v>
      </c>
      <c r="G15" s="40">
        <v>2011</v>
      </c>
      <c r="H15" s="40">
        <v>2012</v>
      </c>
      <c r="I15" s="40">
        <v>2013</v>
      </c>
      <c r="J15" s="40" t="s">
        <v>226</v>
      </c>
      <c r="K15" s="40" t="s">
        <v>227</v>
      </c>
      <c r="L15" s="41"/>
      <c r="M15" s="272" t="s">
        <v>224</v>
      </c>
      <c r="N15" s="272">
        <v>2008</v>
      </c>
      <c r="O15" s="272">
        <v>2009</v>
      </c>
      <c r="P15" s="272">
        <v>2010</v>
      </c>
      <c r="Q15" s="272">
        <v>2011</v>
      </c>
      <c r="R15" s="272">
        <v>2012</v>
      </c>
      <c r="S15" s="272">
        <v>2013</v>
      </c>
    </row>
    <row r="16" spans="2:19" ht="29.25" customHeight="1" x14ac:dyDescent="0.2">
      <c r="B16" s="42" t="s">
        <v>302</v>
      </c>
      <c r="C16" s="42" t="s">
        <v>303</v>
      </c>
      <c r="D16" s="267">
        <f>+'BG2008-2013'!E25/'BG2008-2013'!E60</f>
        <v>1.5428834478575839</v>
      </c>
      <c r="E16" s="267">
        <f>+'BG2008-2013'!F25/'BG2008-2013'!F60</f>
        <v>1.7687315011854572</v>
      </c>
      <c r="F16" s="267">
        <f>+'BG2008-2013'!G25/'BG2008-2013'!G60</f>
        <v>2.6516638913787878</v>
      </c>
      <c r="G16" s="267">
        <f>+'BG2008-2013'!H25/'BG2008-2013'!H60</f>
        <v>1.9334722911392426</v>
      </c>
      <c r="H16" s="267">
        <f>+'BG2008-2013'!I25/'BG2008-2013'!I60</f>
        <v>1.7382781535625293</v>
      </c>
      <c r="I16" s="267">
        <f>+'BG2008-2013'!J25/'BG2008-2013'!J60</f>
        <v>2.1095443381190373</v>
      </c>
      <c r="J16" s="42" t="s">
        <v>319</v>
      </c>
      <c r="K16" s="42" t="s">
        <v>241</v>
      </c>
      <c r="L16" s="39"/>
      <c r="M16" s="272" t="s">
        <v>302</v>
      </c>
      <c r="N16" s="273">
        <v>1.5428834478575839</v>
      </c>
      <c r="O16" s="273">
        <v>1.7687315011854572</v>
      </c>
      <c r="P16" s="273">
        <v>2.6516638913787878</v>
      </c>
      <c r="Q16" s="273">
        <v>1.9334722911392426</v>
      </c>
      <c r="R16" s="273">
        <v>1.7382781535625293</v>
      </c>
      <c r="S16" s="273">
        <v>2.1095443381190373</v>
      </c>
    </row>
    <row r="17" spans="2:19" ht="24.75" customHeight="1" x14ac:dyDescent="0.2">
      <c r="B17" s="42" t="s">
        <v>304</v>
      </c>
      <c r="C17" s="42" t="s">
        <v>305</v>
      </c>
      <c r="D17" s="267">
        <f>+('BG2008-2013'!E25-'BG2008-2013'!E20)/'BG2008-2013'!E60</f>
        <v>1.485704883174968</v>
      </c>
      <c r="E17" s="267">
        <f>+('BG2008-2013'!F25-'BG2008-2013'!F20)/'BG2008-2013'!F60</f>
        <v>1.7035837533865115</v>
      </c>
      <c r="F17" s="267">
        <f>+('BG2008-2013'!G25-'BG2008-2013'!G20)/'BG2008-2013'!G60</f>
        <v>2.6037227833388106</v>
      </c>
      <c r="G17" s="267">
        <f>+('BG2008-2013'!H25-'BG2008-2013'!H20)/'BG2008-2013'!H60</f>
        <v>1.8705340977354188</v>
      </c>
      <c r="H17" s="267">
        <f>+('BG2008-2013'!I25-'BG2008-2013'!I20)/'BG2008-2013'!I60</f>
        <v>1.5397039841444597</v>
      </c>
      <c r="I17" s="267">
        <f>+('BG2008-2013'!J25-'BG2008-2013'!J20)/'BG2008-2013'!J60</f>
        <v>1.8985802700661019</v>
      </c>
      <c r="J17" s="42" t="s">
        <v>320</v>
      </c>
      <c r="K17" s="42" t="s">
        <v>241</v>
      </c>
      <c r="L17" s="44"/>
      <c r="M17" s="272" t="s">
        <v>304</v>
      </c>
      <c r="N17" s="273">
        <v>1.485704883174968</v>
      </c>
      <c r="O17" s="273">
        <v>1.7035837533865115</v>
      </c>
      <c r="P17" s="273">
        <v>2.6037227833388106</v>
      </c>
      <c r="Q17" s="273">
        <v>1.8705340977354188</v>
      </c>
      <c r="R17" s="273">
        <v>1.5397039841444597</v>
      </c>
      <c r="S17" s="273">
        <v>1.8985802700661019</v>
      </c>
    </row>
    <row r="18" spans="2:19" ht="25.5" x14ac:dyDescent="0.2">
      <c r="B18" s="42" t="s">
        <v>306</v>
      </c>
      <c r="C18" s="42" t="s">
        <v>307</v>
      </c>
      <c r="D18" s="267">
        <f>+'ER2008-2013'!E13/'BG2008-2013'!E25</f>
        <v>1.9835535095420032</v>
      </c>
      <c r="E18" s="267">
        <f>+'ER2008-2013'!F13/'BG2008-2013'!F25</f>
        <v>2.1121864233248564</v>
      </c>
      <c r="F18" s="267">
        <f>+'ER2008-2013'!G13/'BG2008-2013'!G25</f>
        <v>0.8091384633340537</v>
      </c>
      <c r="G18" s="267">
        <f>+'ER2008-2013'!H13/'BG2008-2013'!H25</f>
        <v>0.5964248178717545</v>
      </c>
      <c r="H18" s="267">
        <f>+'ER2008-2013'!I13/'BG2008-2013'!I25</f>
        <v>1.1499147286470837</v>
      </c>
      <c r="I18" s="267">
        <f>+'ER2008-2013'!J13/'BG2008-2013'!J25</f>
        <v>1.233023561873887</v>
      </c>
      <c r="J18" s="42" t="s">
        <v>321</v>
      </c>
      <c r="K18" s="42" t="s">
        <v>241</v>
      </c>
      <c r="L18" s="39"/>
      <c r="M18" s="272" t="s">
        <v>306</v>
      </c>
      <c r="N18" s="273">
        <v>1.9835535095420032</v>
      </c>
      <c r="O18" s="273">
        <v>2.1121864233248564</v>
      </c>
      <c r="P18" s="273">
        <v>0.8091384633340537</v>
      </c>
      <c r="Q18" s="273">
        <v>0.5964248178717545</v>
      </c>
      <c r="R18" s="273">
        <v>1.1499147286470837</v>
      </c>
      <c r="S18" s="273">
        <v>1.233023561873887</v>
      </c>
    </row>
    <row r="19" spans="2:19" ht="25.5" x14ac:dyDescent="0.2">
      <c r="B19" s="42" t="s">
        <v>308</v>
      </c>
      <c r="C19" s="42" t="s">
        <v>309</v>
      </c>
      <c r="D19" s="267">
        <f>+'ER2008-2013'!E13/('BG2008-2013'!E31+'BG2008-2013'!E32)</f>
        <v>2.2107166704654668</v>
      </c>
      <c r="E19" s="267">
        <f>+'ER2008-2013'!F13/('BG2008-2013'!F31+'BG2008-2013'!F32)</f>
        <v>2.2078802320873665</v>
      </c>
      <c r="F19" s="267">
        <f>+'ER2008-2013'!G13/('BG2008-2013'!G31+'BG2008-2013'!G32)</f>
        <v>1.7329232682630993</v>
      </c>
      <c r="G19" s="267">
        <f>+'ER2008-2013'!H13/('BG2008-2013'!H31+'BG2008-2013'!H32)</f>
        <v>2.1388842782940145</v>
      </c>
      <c r="H19" s="267">
        <f>+'ER2008-2013'!I13/('BG2008-2013'!I31+'BG2008-2013'!I32)</f>
        <v>2.9828187816354572</v>
      </c>
      <c r="I19" s="267">
        <f>+'ER2008-2013'!J13/('BG2008-2013'!J31+'BG2008-2013'!J32)</f>
        <v>3.9067529383399826</v>
      </c>
      <c r="J19" s="42" t="s">
        <v>322</v>
      </c>
      <c r="K19" s="42" t="s">
        <v>241</v>
      </c>
      <c r="L19" s="39"/>
      <c r="M19" s="272" t="s">
        <v>308</v>
      </c>
      <c r="N19" s="273">
        <v>2.2107166704654668</v>
      </c>
      <c r="O19" s="273">
        <v>2.2078802320873665</v>
      </c>
      <c r="P19" s="273">
        <v>1.7329232682630993</v>
      </c>
      <c r="Q19" s="273">
        <v>2.1388842782940145</v>
      </c>
      <c r="R19" s="273">
        <v>2.9828187816354572</v>
      </c>
      <c r="S19" s="273">
        <v>3.9067529383399826</v>
      </c>
    </row>
    <row r="20" spans="2:19" ht="56.25" customHeight="1" x14ac:dyDescent="0.2">
      <c r="B20" s="42" t="s">
        <v>310</v>
      </c>
      <c r="C20" s="42" t="s">
        <v>311</v>
      </c>
      <c r="D20" s="267">
        <f>+'ER2008-2013'!E13/('BG2008-2013'!E25+'BG2008-2013'!E32+'BG2008-2013'!E31)</f>
        <v>1.0454917356556603</v>
      </c>
      <c r="E20" s="267">
        <f>+'ER2008-2013'!F13/('BG2008-2013'!F25+'BG2008-2013'!F32+'BG2008-2013'!F31)</f>
        <v>1.0794867353955859</v>
      </c>
      <c r="F20" s="267">
        <f>+'ER2008-2013'!G13/('BG2008-2013'!G25+'BG2008-2013'!G32+'BG2008-2013'!G31)</f>
        <v>0.55158962228555219</v>
      </c>
      <c r="G20" s="267">
        <f>+'ER2008-2013'!H13/('BG2008-2013'!H25+'BG2008-2013'!H32+'BG2008-2013'!H31)</f>
        <v>0.4663764208288057</v>
      </c>
      <c r="H20" s="267">
        <f>+'ER2008-2013'!I13/('BG2008-2013'!I25+'BG2008-2013'!I32+'BG2008-2013'!I31)</f>
        <v>0.8299560669357714</v>
      </c>
      <c r="I20" s="267">
        <f>+'ER2008-2013'!J13/('BG2008-2013'!J25+'BG2008-2013'!J32+'BG2008-2013'!J31)</f>
        <v>0.93722332540973252</v>
      </c>
      <c r="J20" s="42" t="s">
        <v>323</v>
      </c>
      <c r="K20" s="42" t="s">
        <v>241</v>
      </c>
      <c r="L20" s="44"/>
      <c r="M20" s="272" t="s">
        <v>310</v>
      </c>
      <c r="N20" s="273">
        <v>1.0454917356556603</v>
      </c>
      <c r="O20" s="273">
        <v>1.0794867353955859</v>
      </c>
      <c r="P20" s="273">
        <v>0.55158962228555219</v>
      </c>
      <c r="Q20" s="273">
        <v>0.4663764208288057</v>
      </c>
      <c r="R20" s="273">
        <v>0.8299560669357714</v>
      </c>
      <c r="S20" s="273">
        <v>0.93722332540973252</v>
      </c>
    </row>
    <row r="21" spans="2:19" ht="25.5" hidden="1" x14ac:dyDescent="0.2">
      <c r="B21" s="42" t="s">
        <v>312</v>
      </c>
      <c r="C21" s="42" t="s">
        <v>313</v>
      </c>
      <c r="D21" s="54"/>
      <c r="E21" s="54"/>
      <c r="F21" s="54"/>
      <c r="G21" s="54"/>
      <c r="H21" s="54"/>
      <c r="I21" s="54"/>
      <c r="J21" s="43" t="s">
        <v>324</v>
      </c>
      <c r="K21" s="42" t="s">
        <v>325</v>
      </c>
      <c r="L21" s="39"/>
    </row>
    <row r="22" spans="2:19" ht="38.25" hidden="1" x14ac:dyDescent="0.2">
      <c r="B22" s="42" t="s">
        <v>314</v>
      </c>
      <c r="C22" s="42" t="s">
        <v>315</v>
      </c>
      <c r="D22" s="54"/>
      <c r="E22" s="54"/>
      <c r="F22" s="54"/>
      <c r="G22" s="54"/>
      <c r="H22" s="54"/>
      <c r="I22" s="54"/>
      <c r="J22" s="43" t="s">
        <v>326</v>
      </c>
      <c r="K22" s="42" t="s">
        <v>325</v>
      </c>
      <c r="L22" s="44"/>
    </row>
    <row r="23" spans="2:19" ht="25.5" hidden="1" x14ac:dyDescent="0.2">
      <c r="B23" s="42" t="s">
        <v>316</v>
      </c>
      <c r="C23" s="42" t="s">
        <v>317</v>
      </c>
      <c r="D23" s="54"/>
      <c r="E23" s="54"/>
      <c r="F23" s="54"/>
      <c r="G23" s="54"/>
      <c r="H23" s="54"/>
      <c r="I23" s="54"/>
      <c r="J23" s="43" t="s">
        <v>327</v>
      </c>
      <c r="K23" s="42" t="s">
        <v>328</v>
      </c>
      <c r="L23" s="44"/>
    </row>
    <row r="24" spans="2:19" ht="25.5" hidden="1" x14ac:dyDescent="0.2">
      <c r="B24" s="42" t="s">
        <v>318</v>
      </c>
      <c r="C24" s="42"/>
      <c r="D24" s="54"/>
      <c r="E24" s="54"/>
      <c r="F24" s="54"/>
      <c r="G24" s="54"/>
      <c r="H24" s="54"/>
      <c r="I24" s="54"/>
      <c r="J24" s="42" t="s">
        <v>329</v>
      </c>
      <c r="K24" s="45" t="s">
        <v>245</v>
      </c>
      <c r="L24" s="44"/>
    </row>
    <row r="26" spans="2:19" ht="18.75" x14ac:dyDescent="0.2">
      <c r="B26" s="378" t="s">
        <v>223</v>
      </c>
      <c r="C26" s="379"/>
      <c r="D26" s="379"/>
      <c r="E26" s="379"/>
      <c r="F26" s="379"/>
      <c r="G26" s="379"/>
      <c r="H26" s="379"/>
      <c r="I26" s="379"/>
      <c r="J26" s="379"/>
      <c r="K26" s="379"/>
    </row>
    <row r="28" spans="2:19" x14ac:dyDescent="0.2">
      <c r="B28" s="40" t="s">
        <v>224</v>
      </c>
      <c r="C28" s="40" t="s">
        <v>225</v>
      </c>
      <c r="D28" s="40">
        <v>2008</v>
      </c>
      <c r="E28" s="40">
        <v>2009</v>
      </c>
      <c r="F28" s="40">
        <v>2010</v>
      </c>
      <c r="G28" s="40">
        <v>2011</v>
      </c>
      <c r="H28" s="40">
        <v>2012</v>
      </c>
      <c r="I28" s="40">
        <v>2013</v>
      </c>
      <c r="J28" s="40" t="s">
        <v>226</v>
      </c>
      <c r="K28" s="40" t="s">
        <v>227</v>
      </c>
      <c r="L28" s="41"/>
    </row>
    <row r="29" spans="2:19" ht="23.25" customHeight="1" x14ac:dyDescent="0.2">
      <c r="B29" s="42" t="s">
        <v>228</v>
      </c>
      <c r="C29" s="42" t="s">
        <v>229</v>
      </c>
      <c r="D29" s="267">
        <f>+'BG2008-2013'!E74/'BG2008-2013'!E38</f>
        <v>0.37108342896449026</v>
      </c>
      <c r="E29" s="267">
        <f>+'BG2008-2013'!F74/'BG2008-2013'!F38</f>
        <v>0.30967682859841106</v>
      </c>
      <c r="F29" s="267">
        <f>+'BG2008-2013'!G74/'BG2008-2013'!G38</f>
        <v>0.32979902157505597</v>
      </c>
      <c r="G29" s="267">
        <f>+'BG2008-2013'!H74/'BG2008-2013'!H38</f>
        <v>0.36812547106728338</v>
      </c>
      <c r="H29" s="267">
        <f>+'BG2008-2013'!I74/'BG2008-2013'!I38</f>
        <v>0.23270278839233882</v>
      </c>
      <c r="I29" s="267">
        <f>+'BG2008-2013'!J74/'BG2008-2013'!J38</f>
        <v>0.23860504872500785</v>
      </c>
      <c r="J29" s="42" t="s">
        <v>230</v>
      </c>
      <c r="K29" s="42"/>
      <c r="L29" s="39"/>
    </row>
    <row r="30" spans="2:19" ht="38.25" x14ac:dyDescent="0.2">
      <c r="B30" s="42" t="s">
        <v>231</v>
      </c>
      <c r="C30" s="42" t="s">
        <v>232</v>
      </c>
      <c r="D30" s="265">
        <f>+'BG2008-2013'!E60/'BG2008-2013'!E74</f>
        <v>0.50472420585668099</v>
      </c>
      <c r="E30" s="265">
        <f>+'BG2008-2013'!F60/'BG2008-2013'!F74</f>
        <v>0.47220376552525217</v>
      </c>
      <c r="F30" s="265">
        <f>+'BG2008-2013'!G60/'BG2008-2013'!G74</f>
        <v>0.5956087077479334</v>
      </c>
      <c r="G30" s="265">
        <f>+'BG2008-2013'!H60/'BG2008-2013'!H74</f>
        <v>0.80986503951329325</v>
      </c>
      <c r="H30" s="265">
        <f>+'BG2008-2013'!I60/'BG2008-2013'!I74</f>
        <v>0.70413787329160904</v>
      </c>
      <c r="I30" s="265">
        <f>+'BG2008-2013'!J60/'BG2008-2013'!J74</f>
        <v>0.57706734380051028</v>
      </c>
      <c r="J30" s="42" t="s">
        <v>233</v>
      </c>
      <c r="K30" s="42"/>
      <c r="L30" s="44" t="s">
        <v>234</v>
      </c>
    </row>
    <row r="31" spans="2:19" ht="25.5" x14ac:dyDescent="0.2">
      <c r="B31" s="42" t="s">
        <v>235</v>
      </c>
      <c r="C31" s="42" t="s">
        <v>236</v>
      </c>
      <c r="D31" s="266">
        <f>+'BG2008-2013'!E38/'BG2008-2013'!E74</f>
        <v>2.6948117914898648</v>
      </c>
      <c r="E31" s="266">
        <f>+'BG2008-2013'!F38/'BG2008-2013'!F74</f>
        <v>3.2291728268013236</v>
      </c>
      <c r="F31" s="266">
        <f>+'BG2008-2013'!G38/'BG2008-2013'!G74</f>
        <v>3.032149686873522</v>
      </c>
      <c r="G31" s="266">
        <f>+'BG2008-2013'!H38/'BG2008-2013'!H74</f>
        <v>2.7164651147359131</v>
      </c>
      <c r="H31" s="266">
        <f>+'BG2008-2013'!I38/'BG2008-2013'!I74</f>
        <v>4.2973271051397619</v>
      </c>
      <c r="I31" s="266">
        <f>+'BG2008-2013'!J38/'BG2008-2013'!J74</f>
        <v>4.191026155328756</v>
      </c>
      <c r="J31" s="42" t="s">
        <v>237</v>
      </c>
      <c r="K31" s="42"/>
      <c r="L31" s="39"/>
    </row>
    <row r="32" spans="2:19" ht="25.5" x14ac:dyDescent="0.2">
      <c r="B32" s="42" t="s">
        <v>238</v>
      </c>
      <c r="C32" s="42" t="s">
        <v>239</v>
      </c>
      <c r="D32" s="266">
        <f>-'ER2008-2013'!E31/'ER2008-2013'!E35</f>
        <v>3.6064608916665941</v>
      </c>
      <c r="E32" s="266">
        <f>-'ER2008-2013'!F31/'ER2008-2013'!F35</f>
        <v>3.9033664387271108</v>
      </c>
      <c r="F32" s="266">
        <f>-'ER2008-2013'!G31/'ER2008-2013'!G35</f>
        <v>3.354790371507133</v>
      </c>
      <c r="G32" s="266">
        <f>-'ER2008-2013'!H31/'ER2008-2013'!H35</f>
        <v>5.6352399285297849</v>
      </c>
      <c r="H32" s="266">
        <f>-'ER2008-2013'!I31/'ER2008-2013'!I35</f>
        <v>2.9492038245486016</v>
      </c>
      <c r="I32" s="266">
        <f>-'ER2008-2013'!J31/'ER2008-2013'!J35</f>
        <v>11.707119114692674</v>
      </c>
      <c r="J32" s="42" t="s">
        <v>240</v>
      </c>
      <c r="K32" s="42" t="s">
        <v>241</v>
      </c>
      <c r="L32" s="39"/>
    </row>
    <row r="33" spans="2:13" ht="46.5" customHeight="1" x14ac:dyDescent="0.2">
      <c r="B33" s="42" t="s">
        <v>242</v>
      </c>
      <c r="C33" s="42" t="s">
        <v>243</v>
      </c>
      <c r="D33" s="265">
        <f>-'ER2008-2013'!E35/'ER2008-2013'!E13</f>
        <v>4.1668413974842528E-2</v>
      </c>
      <c r="E33" s="265">
        <f>-'ER2008-2013'!F35/'ER2008-2013'!F13</f>
        <v>4.4187499323145162E-2</v>
      </c>
      <c r="F33" s="265">
        <f>-'ER2008-2013'!G35/'ER2008-2013'!G13</f>
        <v>4.219471636862699E-2</v>
      </c>
      <c r="G33" s="265">
        <f>-'ER2008-2013'!H35/'ER2008-2013'!H13</f>
        <v>4.0187939707347263E-2</v>
      </c>
      <c r="H33" s="265">
        <f>-'ER2008-2013'!I35/'ER2008-2013'!I13</f>
        <v>6.1286702214494317E-2</v>
      </c>
      <c r="I33" s="265">
        <f>-'ER2008-2013'!J35/'ER2008-2013'!J13</f>
        <v>2.1937074216385338E-2</v>
      </c>
      <c r="J33" s="42" t="s">
        <v>244</v>
      </c>
      <c r="K33" s="42" t="s">
        <v>245</v>
      </c>
      <c r="L33" s="44" t="s">
        <v>246</v>
      </c>
    </row>
    <row r="34" spans="2:13" ht="38.25" x14ac:dyDescent="0.2">
      <c r="B34" s="42" t="s">
        <v>247</v>
      </c>
      <c r="C34" s="42" t="s">
        <v>248</v>
      </c>
      <c r="D34" s="267">
        <f>-'ERPR2008-2023'!E35/FCLHISTORICO!E12</f>
        <v>0.3809143381445883</v>
      </c>
      <c r="E34" s="267">
        <f>-'ERPR2008-2023'!F35/FCLHISTORICO!F12</f>
        <v>0.38368875476901476</v>
      </c>
      <c r="F34" s="267">
        <f>-'ERPR2008-2023'!G35/FCLHISTORICO!G12</f>
        <v>0.89006705547475629</v>
      </c>
      <c r="G34" s="267">
        <f>-'ERPR2008-2023'!H35/FCLHISTORICO!H12</f>
        <v>0.40908917657045862</v>
      </c>
      <c r="H34" s="267">
        <f>-'ERPR2008-2023'!I35/FCLHISTORICO!I12</f>
        <v>0.75334237817814542</v>
      </c>
      <c r="I34" s="267">
        <f>-'ERPR2008-2023'!J35/FCLHISTORICO!J12</f>
        <v>0.1521813687530178</v>
      </c>
      <c r="J34" s="42" t="s">
        <v>249</v>
      </c>
      <c r="K34" s="42" t="s">
        <v>245</v>
      </c>
      <c r="L34" s="39"/>
    </row>
    <row r="35" spans="2:13" ht="33.75" customHeight="1" x14ac:dyDescent="0.2">
      <c r="B35" s="42" t="s">
        <v>250</v>
      </c>
      <c r="C35" s="42" t="s">
        <v>251</v>
      </c>
      <c r="D35" s="266">
        <f>+('BG2008-2013'!E49+'BG2008-2013'!E50+'BG2008-2013'!E64+'BG2008-2013'!E65)/FCLHISTORICO!E12</f>
        <v>3.8096265510307186</v>
      </c>
      <c r="E35" s="266">
        <f>+('BG2008-2013'!F49+'BG2008-2013'!F50+'BG2008-2013'!F64+'BG2008-2013'!F65)/FCLHISTORICO!F12</f>
        <v>3.8297045761681909</v>
      </c>
      <c r="F35" s="266">
        <f>+('BG2008-2013'!G49+'BG2008-2013'!G50+'BG2008-2013'!G64+'BG2008-2013'!G65)/FCLHISTORICO!G12</f>
        <v>13.422273979349232</v>
      </c>
      <c r="G35" s="266">
        <f>+('BG2008-2013'!H49+'BG2008-2013'!H50+'BG2008-2013'!H64+'BG2008-2013'!H65)/FCLHISTORICO!H12</f>
        <v>5.7251158319185089</v>
      </c>
      <c r="H35" s="266">
        <f>+('BG2008-2013'!I49+'BG2008-2013'!I50+'BG2008-2013'!I64+'BG2008-2013'!I65)/FCLHISTORICO!I12</f>
        <v>3.6866375058791734</v>
      </c>
      <c r="I35" s="266">
        <f>+('BG2008-2013'!J49+'BG2008-2013'!J50+'BG2008-2013'!J64+'BG2008-2013'!J65)/FCLHISTORICO!J12</f>
        <v>1.3816313315981663</v>
      </c>
      <c r="J35" s="42" t="s">
        <v>252</v>
      </c>
      <c r="K35" s="42" t="s">
        <v>245</v>
      </c>
      <c r="L35" s="44" t="s">
        <v>253</v>
      </c>
    </row>
    <row r="36" spans="2:13" ht="36" customHeight="1" x14ac:dyDescent="0.2">
      <c r="B36" s="42" t="s">
        <v>254</v>
      </c>
      <c r="C36" s="42" t="s">
        <v>255</v>
      </c>
      <c r="D36" s="268">
        <f>+'BG2008-2013'!E74/'BG2008-2013'!E95</f>
        <v>0.59003601758099999</v>
      </c>
      <c r="E36" s="268">
        <f>+'BG2008-2013'!F74/'BG2008-2013'!F95</f>
        <v>0.44859688958335697</v>
      </c>
      <c r="F36" s="268">
        <f>+'BG2008-2013'!G74/'BG2008-2013'!G95</f>
        <v>0.49208973023040098</v>
      </c>
      <c r="G36" s="268">
        <f>+'BG2008-2013'!H74/'BG2008-2013'!H95</f>
        <v>0.58259267208303978</v>
      </c>
      <c r="H36" s="268">
        <f>+'BG2008-2013'!I74/'BG2008-2013'!I95</f>
        <v>0.30327594541911485</v>
      </c>
      <c r="I36" s="268">
        <f>+'BG2008-2013'!J74/'BG2008-2013'!J95</f>
        <v>0.31337881698743003</v>
      </c>
      <c r="J36" s="42" t="s">
        <v>256</v>
      </c>
      <c r="K36" s="45" t="s">
        <v>257</v>
      </c>
      <c r="L36" s="44" t="s">
        <v>258</v>
      </c>
    </row>
    <row r="37" spans="2:13" ht="13.5" thickBot="1" x14ac:dyDescent="0.25"/>
    <row r="38" spans="2:13" ht="24" customHeight="1" thickBot="1" x14ac:dyDescent="0.25">
      <c r="B38" s="380" t="s">
        <v>359</v>
      </c>
      <c r="C38" s="381"/>
      <c r="D38" s="381"/>
      <c r="E38" s="381"/>
      <c r="F38" s="381"/>
      <c r="G38" s="381"/>
      <c r="H38" s="381"/>
      <c r="I38" s="381"/>
      <c r="J38" s="381"/>
      <c r="K38" s="382"/>
    </row>
    <row r="40" spans="2:13" x14ac:dyDescent="0.2">
      <c r="B40" s="40" t="s">
        <v>224</v>
      </c>
      <c r="C40" s="40" t="s">
        <v>225</v>
      </c>
      <c r="D40" s="40">
        <v>2008</v>
      </c>
      <c r="E40" s="40">
        <v>2009</v>
      </c>
      <c r="F40" s="40">
        <v>2010</v>
      </c>
      <c r="G40" s="40">
        <v>2011</v>
      </c>
      <c r="H40" s="40">
        <v>2012</v>
      </c>
      <c r="I40" s="40">
        <v>2013</v>
      </c>
      <c r="J40" s="40" t="s">
        <v>226</v>
      </c>
      <c r="K40" s="40" t="s">
        <v>227</v>
      </c>
    </row>
    <row r="41" spans="2:13" x14ac:dyDescent="0.2">
      <c r="B41" s="42" t="s">
        <v>334</v>
      </c>
      <c r="C41" s="42" t="s">
        <v>335</v>
      </c>
      <c r="D41" s="265">
        <f>+'ER2008-2013'!E38/'BG2008-2013'!E95</f>
        <v>0.10643671447306634</v>
      </c>
      <c r="E41" s="265">
        <f>+'ER2008-2013'!F38/'BG2008-2013'!F95</f>
        <v>0.12987587832697739</v>
      </c>
      <c r="F41" s="265">
        <f>+'ER2008-2013'!G38/'BG2008-2013'!G95</f>
        <v>7.5569634551098872E-2</v>
      </c>
      <c r="G41" s="265">
        <f>+'ER2008-2013'!H38/'BG2008-2013'!H95</f>
        <v>0.10811243816531803</v>
      </c>
      <c r="H41" s="265">
        <f>+'ER2008-2013'!I38/'BG2008-2013'!I95</f>
        <v>6.4476914809297958E-2</v>
      </c>
      <c r="I41" s="265">
        <f>+'ER2008-2013'!J38/'BG2008-2013'!J95</f>
        <v>0.11459453253066458</v>
      </c>
      <c r="J41" s="42" t="s">
        <v>336</v>
      </c>
      <c r="K41" s="42" t="s">
        <v>337</v>
      </c>
    </row>
    <row r="42" spans="2:13" ht="25.5" x14ac:dyDescent="0.2">
      <c r="B42" s="42" t="s">
        <v>338</v>
      </c>
      <c r="C42" s="42" t="s">
        <v>339</v>
      </c>
      <c r="D42" s="265">
        <f>+'ER2008-2013'!E31/('BG2008-2013'!E25+'BG2008-2013'!E31+'BG2008-2013'!E32)</f>
        <v>0.15711179898604175</v>
      </c>
      <c r="E42" s="265">
        <f>+'ER2008-2013'!F31/('BG2008-2013'!F25+'BG2008-2013'!F31+'BG2008-2013'!F32)</f>
        <v>0.18618987413885235</v>
      </c>
      <c r="F42" s="265">
        <f>+'ER2008-2013'!G31/('BG2008-2013'!G25+'BG2008-2013'!G31+'BG2008-2013'!G32)</f>
        <v>7.8079953584757736E-2</v>
      </c>
      <c r="G42" s="265">
        <f>+'ER2008-2013'!H31/('BG2008-2013'!H25+'BG2008-2013'!H31+'BG2008-2013'!H32)</f>
        <v>0.10561965356679219</v>
      </c>
      <c r="H42" s="265">
        <f>+'ER2008-2013'!I31/('BG2008-2013'!I25+'BG2008-2013'!I31+'BG2008-2013'!I32)</f>
        <v>0.15001204978038449</v>
      </c>
      <c r="I42" s="265">
        <f>+'ER2008-2013'!J31/('BG2008-2013'!J25+'BG2008-2013'!J31+'BG2008-2013'!J32)</f>
        <v>0.24069763902221902</v>
      </c>
      <c r="J42" s="42" t="s">
        <v>340</v>
      </c>
      <c r="K42" s="42" t="s">
        <v>337</v>
      </c>
    </row>
    <row r="43" spans="2:13" ht="76.5" x14ac:dyDescent="0.2">
      <c r="B43" s="42" t="s">
        <v>341</v>
      </c>
      <c r="C43" s="42" t="s">
        <v>342</v>
      </c>
      <c r="D43" s="265">
        <f>+'ER2008-2013'!E20/'ER2008-2013'!E13</f>
        <v>0.15003680226758548</v>
      </c>
      <c r="E43" s="265">
        <f>+'ER2008-2013'!F20/'ER2008-2013'!F13</f>
        <v>0.17665295673809681</v>
      </c>
      <c r="F43" s="265">
        <f>+'ER2008-2013'!G20/'ER2008-2013'!G13</f>
        <v>8.9912120994912151E-2</v>
      </c>
      <c r="G43" s="265">
        <f>+'ER2008-2013'!H20/'ER2008-2013'!H13</f>
        <v>0.14818441754740222</v>
      </c>
      <c r="H43" s="265">
        <f>+'ER2008-2013'!I20/'ER2008-2013'!I13</f>
        <v>0.12945116736537907</v>
      </c>
      <c r="I43" s="265">
        <f>+'ER2008-2013'!J20/'ER2008-2013'!J13</f>
        <v>0.19548984859378477</v>
      </c>
      <c r="J43" s="42" t="s">
        <v>343</v>
      </c>
      <c r="K43" s="42" t="s">
        <v>337</v>
      </c>
    </row>
    <row r="44" spans="2:13" x14ac:dyDescent="0.2">
      <c r="B44" s="42" t="s">
        <v>344</v>
      </c>
      <c r="C44" s="42" t="s">
        <v>1983</v>
      </c>
      <c r="D44" s="377">
        <f>+'ER2008-2013'!E24/'ER2008-2013'!E14</f>
        <v>0.10939051067966347</v>
      </c>
      <c r="E44" s="377">
        <f>+'ER2008-2013'!F24/'ER2008-2013'!F14</f>
        <v>0.11516495798722734</v>
      </c>
      <c r="F44" s="377">
        <f>+'ER2008-2013'!G24/'ER2008-2013'!G14</f>
        <v>4.7406221934728932E-2</v>
      </c>
      <c r="G44" s="377">
        <f>+'ER2008-2013'!H24/'ER2008-2013'!H14</f>
        <v>9.8237601992448645E-2</v>
      </c>
      <c r="H44" s="377">
        <f>+'ER2008-2013'!I24/'ER2008-2013'!I14</f>
        <v>8.1353052728439026E-2</v>
      </c>
      <c r="I44" s="377">
        <f>+'ER2008-2013'!J24/'ER2008-2013'!J14</f>
        <v>0.14415085365665251</v>
      </c>
      <c r="J44" s="42"/>
      <c r="K44" s="42" t="s">
        <v>337</v>
      </c>
    </row>
    <row r="45" spans="2:13" x14ac:dyDescent="0.2">
      <c r="B45" s="42" t="s">
        <v>345</v>
      </c>
      <c r="C45" s="42" t="s">
        <v>346</v>
      </c>
      <c r="D45" s="266">
        <f>-'ER2008-2013'!E22/'ER2008-2013'!E13</f>
        <v>4.064629158792199E-2</v>
      </c>
      <c r="E45" s="266">
        <f>-'ER2008-2013'!F22/'ER2008-2013'!F13</f>
        <v>6.1487998750869452E-2</v>
      </c>
      <c r="F45" s="266">
        <f>-'ER2008-2013'!G22/'ER2008-2013'!G13</f>
        <v>4.2505899060183219E-2</v>
      </c>
      <c r="G45" s="266">
        <f>-'ER2008-2013'!H22/'ER2008-2013'!H13</f>
        <v>4.9946815554953575E-2</v>
      </c>
      <c r="H45" s="266">
        <f>-'ER2008-2013'!I22/'ER2008-2013'!I13</f>
        <v>4.809811463694004E-2</v>
      </c>
      <c r="I45" s="266">
        <f>-'ER2008-2013'!J22/'ER2008-2013'!J13</f>
        <v>5.133899493713226E-2</v>
      </c>
      <c r="J45" s="42" t="s">
        <v>347</v>
      </c>
      <c r="K45" s="42" t="s">
        <v>348</v>
      </c>
    </row>
    <row r="46" spans="2:13" x14ac:dyDescent="0.2">
      <c r="B46" s="42" t="s">
        <v>349</v>
      </c>
      <c r="C46" s="42" t="s">
        <v>350</v>
      </c>
      <c r="D46" s="265">
        <f>+'ER2008-2013'!E38/'ER2008-2013'!E13</f>
        <v>0.11678357423077382</v>
      </c>
      <c r="E46" s="265">
        <f>+'ER2008-2013'!F38/'ER2008-2013'!F13</f>
        <v>0.16411513570618444</v>
      </c>
      <c r="F46" s="265">
        <f>+'ER2008-2013'!G38/'ER2008-2013'!G13</f>
        <v>0.12017127276701065</v>
      </c>
      <c r="G46" s="265">
        <f>+'ER2008-2013'!H38/'ER2008-2013'!H13</f>
        <v>0.19870295843330635</v>
      </c>
      <c r="H46" s="265">
        <f>+'ER2008-2013'!I38/'ER2008-2013'!I13</f>
        <v>0.15105102279362304</v>
      </c>
      <c r="I46" s="265">
        <f>+'ER2008-2013'!J38/'ER2008-2013'!J13</f>
        <v>0.24361707744827416</v>
      </c>
      <c r="J46" s="42"/>
      <c r="K46" s="42" t="s">
        <v>337</v>
      </c>
    </row>
    <row r="47" spans="2:13" x14ac:dyDescent="0.2">
      <c r="B47" s="42" t="s">
        <v>351</v>
      </c>
      <c r="C47" s="42" t="s">
        <v>352</v>
      </c>
      <c r="D47" s="265">
        <f>+'ER2008-2013'!E42/'ER2008-2013'!E13</f>
        <v>9.8714903966767284E-2</v>
      </c>
      <c r="E47" s="265">
        <f>+'ER2008-2013'!F42/'ER2008-2013'!F13</f>
        <v>0.14210103266451596</v>
      </c>
      <c r="F47" s="265">
        <f>+'ER2008-2013'!G42/'ER2008-2013'!G13</f>
        <v>0.11597257773538078</v>
      </c>
      <c r="G47" s="265">
        <f>+'ER2008-2013'!H42/'ER2008-2013'!H13</f>
        <v>0.17343264042980763</v>
      </c>
      <c r="H47" s="265">
        <f>+'ER2008-2013'!I42/'ER2008-2013'!I13</f>
        <v>0.1198231151613168</v>
      </c>
      <c r="I47" s="265">
        <f>+'ER2008-2013'!J42/'ER2008-2013'!J13</f>
        <v>0.18184999453492873</v>
      </c>
      <c r="J47" s="42"/>
      <c r="K47" s="42" t="s">
        <v>337</v>
      </c>
    </row>
    <row r="48" spans="2:13" ht="89.25" x14ac:dyDescent="0.2">
      <c r="B48" s="42" t="s">
        <v>707</v>
      </c>
      <c r="C48" s="42" t="s">
        <v>353</v>
      </c>
      <c r="D48" s="274">
        <f>+FCLHISTORICO!E20</f>
        <v>25871.768880000011</v>
      </c>
      <c r="E48" s="274">
        <f>+FCLHISTORICO!F20</f>
        <v>31816.062059999989</v>
      </c>
      <c r="F48" s="274">
        <f>+FCLHISTORICO!G20</f>
        <v>22096.004540000009</v>
      </c>
      <c r="G48" s="274">
        <f>+FCLHISTORICO!H20</f>
        <v>33560.385999999991</v>
      </c>
      <c r="H48" s="274">
        <f>+FCLHISTORICO!I20</f>
        <v>31706.174459999995</v>
      </c>
      <c r="I48" s="274">
        <f>+FCLHISTORICO!J20</f>
        <v>46629.545740000001</v>
      </c>
      <c r="J48" s="42" t="s">
        <v>354</v>
      </c>
      <c r="K48" s="42" t="s">
        <v>337</v>
      </c>
      <c r="L48" s="27"/>
      <c r="M48" s="27" t="s">
        <v>360</v>
      </c>
    </row>
    <row r="49" spans="2:13" ht="15" x14ac:dyDescent="0.2">
      <c r="B49" s="42" t="s">
        <v>355</v>
      </c>
      <c r="C49" s="42" t="s">
        <v>708</v>
      </c>
      <c r="D49" s="265">
        <f>+'EBITDA - ROIC'!D16/'EBITDA - ROIC'!D12</f>
        <v>0.10939051067966347</v>
      </c>
      <c r="E49" s="265">
        <f>+'EBITDA - ROIC'!E16/'EBITDA - ROIC'!E12</f>
        <v>0.11516495798722734</v>
      </c>
      <c r="F49" s="265">
        <f>+'EBITDA - ROIC'!F16/'EBITDA - ROIC'!F12</f>
        <v>4.7406221934728932E-2</v>
      </c>
      <c r="G49" s="265">
        <f>+'EBITDA - ROIC'!G16/'EBITDA - ROIC'!G12</f>
        <v>9.8237601992448645E-2</v>
      </c>
      <c r="H49" s="265">
        <f>+'EBITDA - ROIC'!H16/'EBITDA - ROIC'!H12</f>
        <v>8.1353052728439026E-2</v>
      </c>
      <c r="I49" s="265">
        <f>+'EBITDA - ROIC'!I16/'EBITDA - ROIC'!I12</f>
        <v>0.14415085365665251</v>
      </c>
      <c r="J49" s="42"/>
      <c r="K49" s="42" t="s">
        <v>337</v>
      </c>
      <c r="L49" s="27"/>
      <c r="M49" s="56"/>
    </row>
    <row r="50" spans="2:13" ht="38.25" x14ac:dyDescent="0.2">
      <c r="B50" s="42" t="s">
        <v>356</v>
      </c>
      <c r="C50" s="42" t="s">
        <v>357</v>
      </c>
      <c r="D50" s="266">
        <f>+D48/'ECAMBIO SF 2008-2012 ajust'!D72</f>
        <v>1.5026844275268325</v>
      </c>
      <c r="E50" s="266">
        <f>+E48/'ECAMBIO SF 2008-2012 ajust'!E72</f>
        <v>0.93701027452026719</v>
      </c>
      <c r="F50" s="266">
        <f>+F48/'ECAMBIO SF 2008-2013 '!F80</f>
        <v>0.11264568786624503</v>
      </c>
      <c r="G50" s="266">
        <f>+G48/'ECAMBIO SF 2008-2013 '!G80</f>
        <v>0.20332602533314983</v>
      </c>
      <c r="H50" s="266">
        <f>+H48/'ECAMBIO SF 2008-2012 ajust'!H76</f>
        <v>-1.221274513466956</v>
      </c>
      <c r="I50" s="266">
        <f>+I48/'ECAMBIO SF 2008-2012 ajust'!I76</f>
        <v>0.47644303171981806</v>
      </c>
      <c r="J50" s="42" t="s">
        <v>358</v>
      </c>
      <c r="K50" s="42" t="s">
        <v>337</v>
      </c>
      <c r="L50" s="27"/>
      <c r="M50" s="57" t="s">
        <v>361</v>
      </c>
    </row>
  </sheetData>
  <mergeCells count="3">
    <mergeCell ref="B13:K13"/>
    <mergeCell ref="B26:K26"/>
    <mergeCell ref="B38:K38"/>
  </mergeCell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D7:J28"/>
  <sheetViews>
    <sheetView showGridLines="0" workbookViewId="0">
      <selection activeCell="D9" sqref="D9"/>
    </sheetView>
  </sheetViews>
  <sheetFormatPr baseColWidth="10" defaultRowHeight="15" x14ac:dyDescent="0.25"/>
  <cols>
    <col min="4" max="4" width="57.28515625" customWidth="1"/>
    <col min="5" max="5" width="12.5703125" bestFit="1" customWidth="1"/>
    <col min="6" max="6" width="13.28515625" bestFit="1" customWidth="1"/>
    <col min="7" max="7" width="12.5703125" bestFit="1" customWidth="1"/>
    <col min="8" max="8" width="12.28515625" bestFit="1" customWidth="1"/>
    <col min="9" max="9" width="13.28515625" bestFit="1" customWidth="1"/>
  </cols>
  <sheetData>
    <row r="7" spans="4:10" ht="15.75" thickBot="1" x14ac:dyDescent="0.3"/>
    <row r="8" spans="4:10" ht="19.5" thickBot="1" x14ac:dyDescent="0.3">
      <c r="D8" s="380" t="s">
        <v>222</v>
      </c>
      <c r="E8" s="381"/>
      <c r="F8" s="381"/>
      <c r="G8" s="381"/>
      <c r="H8" s="381"/>
      <c r="I8" s="381"/>
      <c r="J8" s="382"/>
    </row>
    <row r="9" spans="4:10" x14ac:dyDescent="0.25">
      <c r="D9" s="34" t="s">
        <v>209</v>
      </c>
      <c r="E9" s="59">
        <v>1000</v>
      </c>
      <c r="F9" s="2"/>
      <c r="G9" s="2"/>
      <c r="H9" s="2"/>
      <c r="I9" s="2"/>
    </row>
    <row r="10" spans="4:10" x14ac:dyDescent="0.25">
      <c r="D10" s="3"/>
      <c r="E10" s="4">
        <v>2008</v>
      </c>
      <c r="F10" s="4">
        <v>2009</v>
      </c>
      <c r="G10" s="4">
        <v>2010</v>
      </c>
      <c r="H10" s="4">
        <v>2011</v>
      </c>
      <c r="I10" s="4">
        <v>2012</v>
      </c>
      <c r="J10" s="4">
        <v>2013</v>
      </c>
    </row>
    <row r="12" spans="4:10" x14ac:dyDescent="0.25">
      <c r="D12" s="21" t="s">
        <v>212</v>
      </c>
      <c r="E12" s="22">
        <f>+'ER2008-2013'!E24</f>
        <v>20938.818000000021</v>
      </c>
      <c r="F12" s="22">
        <f>+'ER2008-2013'!F24</f>
        <v>25649.690999999984</v>
      </c>
      <c r="G12" s="22">
        <f>+'ER2008-2013'!G24</f>
        <v>10164.569000000012</v>
      </c>
      <c r="H12" s="22">
        <f>+'ER2008-2013'!H24</f>
        <v>23559.999999999985</v>
      </c>
      <c r="I12" s="22">
        <f>+'ER2008-2013'!I24</f>
        <v>21557.030999999995</v>
      </c>
      <c r="J12" s="22">
        <f>+'ER2008-2013'!J24</f>
        <v>44235.13900000001</v>
      </c>
    </row>
    <row r="13" spans="4:10" x14ac:dyDescent="0.25">
      <c r="D13" s="21" t="s">
        <v>213</v>
      </c>
      <c r="E13" s="22">
        <f>-E12*34%</f>
        <v>-7119.1981200000073</v>
      </c>
      <c r="F13" s="22">
        <f t="shared" ref="F13:J13" si="0">-F12*34%</f>
        <v>-8720.8949399999947</v>
      </c>
      <c r="G13" s="22">
        <f t="shared" si="0"/>
        <v>-3455.9534600000043</v>
      </c>
      <c r="H13" s="22">
        <f t="shared" si="0"/>
        <v>-8010.399999999996</v>
      </c>
      <c r="I13" s="22">
        <f t="shared" si="0"/>
        <v>-7329.3905399999985</v>
      </c>
      <c r="J13" s="22">
        <f t="shared" si="0"/>
        <v>-15039.947260000004</v>
      </c>
    </row>
    <row r="15" spans="4:10" x14ac:dyDescent="0.25">
      <c r="D15" s="5" t="s">
        <v>214</v>
      </c>
      <c r="E15" s="7">
        <f>SUM(E12:E13)</f>
        <v>13819.619880000013</v>
      </c>
      <c r="F15" s="7">
        <f t="shared" ref="F15:I15" si="1">SUM(F12:F13)</f>
        <v>16928.79605999999</v>
      </c>
      <c r="G15" s="7">
        <f t="shared" si="1"/>
        <v>6708.615540000008</v>
      </c>
      <c r="H15" s="7">
        <f t="shared" si="1"/>
        <v>15549.599999999989</v>
      </c>
      <c r="I15" s="7">
        <f t="shared" si="1"/>
        <v>14227.640459999997</v>
      </c>
      <c r="J15" s="7">
        <f t="shared" ref="J15" si="2">SUM(J12:J13)</f>
        <v>29195.191740000006</v>
      </c>
    </row>
    <row r="17" spans="4:10" x14ac:dyDescent="0.25">
      <c r="D17" s="21" t="s">
        <v>215</v>
      </c>
      <c r="E17" s="22">
        <f>+'ECAMBIO SF 2008-2012 ajust'!D16</f>
        <v>12052.148999999999</v>
      </c>
      <c r="F17" s="22">
        <f>+'ECAMBIO SF 2008-2012 ajust'!E16</f>
        <v>14887.266</v>
      </c>
      <c r="G17" s="22">
        <f>+'ECAMBIO SF 2008-2012 ajust'!F16</f>
        <v>15387.388999999999</v>
      </c>
      <c r="H17" s="22">
        <f>+'ECAMBIO SF 2008-2012 ajust'!G16</f>
        <v>18010.786</v>
      </c>
      <c r="I17" s="22">
        <f>+'ECAMBIO SF 2008-2012 ajust'!H16</f>
        <v>17478.534</v>
      </c>
      <c r="J17" s="22">
        <f>+'ECAMBIO SF 2008-2012 ajust'!I16</f>
        <v>17434.353999999999</v>
      </c>
    </row>
    <row r="18" spans="4:10" x14ac:dyDescent="0.25">
      <c r="D18" s="21" t="s">
        <v>216</v>
      </c>
      <c r="E18" s="22"/>
      <c r="F18" s="22"/>
      <c r="G18" s="22"/>
      <c r="H18" s="22"/>
      <c r="I18" s="22"/>
      <c r="J18" s="22"/>
    </row>
    <row r="20" spans="4:10" x14ac:dyDescent="0.25">
      <c r="D20" s="5" t="s">
        <v>217</v>
      </c>
      <c r="E20" s="7">
        <f>SUM(E15:E18)</f>
        <v>25871.768880000011</v>
      </c>
      <c r="F20" s="7">
        <f t="shared" ref="F20:I20" si="3">SUM(F15:F18)</f>
        <v>31816.062059999989</v>
      </c>
      <c r="G20" s="7">
        <f t="shared" si="3"/>
        <v>22096.004540000009</v>
      </c>
      <c r="H20" s="7">
        <f t="shared" si="3"/>
        <v>33560.385999999991</v>
      </c>
      <c r="I20" s="7">
        <f t="shared" si="3"/>
        <v>31706.174459999995</v>
      </c>
      <c r="J20" s="7">
        <f t="shared" ref="J20" si="4">SUM(J15:J18)</f>
        <v>46629.545740000001</v>
      </c>
    </row>
    <row r="22" spans="4:10" x14ac:dyDescent="0.25">
      <c r="D22" s="21" t="s">
        <v>218</v>
      </c>
      <c r="E22" s="22">
        <f>+'ECAMBIO SF 2008-2012 ajust'!D79</f>
        <v>-17183.079129999998</v>
      </c>
      <c r="F22" s="22">
        <f>+'ECAMBIO SF 2008-2012 ajust'!E79</f>
        <v>162200.038</v>
      </c>
      <c r="G22" s="22">
        <f>+'ECAMBIO SF 2008-2012 ajust'!F79</f>
        <v>-31097.896999999997</v>
      </c>
      <c r="H22" s="22">
        <f>+'ECAMBIO SF 2008-2012 ajust'!G79</f>
        <v>29078.64499999999</v>
      </c>
      <c r="I22" s="22">
        <f>+'ECAMBIO SF 2008-2012 ajust'!H79</f>
        <v>123831.683</v>
      </c>
      <c r="J22" s="22">
        <f>+'ECAMBIO SF 2008-2012 ajust'!I79</f>
        <v>33028.400000000009</v>
      </c>
    </row>
    <row r="24" spans="4:10" x14ac:dyDescent="0.25">
      <c r="D24" s="5" t="s">
        <v>219</v>
      </c>
      <c r="E24" s="7">
        <f>SUM(E19:E22)</f>
        <v>8688.6897500000123</v>
      </c>
      <c r="F24" s="7">
        <f t="shared" ref="F24:I24" si="5">SUM(F19:F22)</f>
        <v>194016.10006</v>
      </c>
      <c r="G24" s="7">
        <f t="shared" si="5"/>
        <v>-9001.8924599999882</v>
      </c>
      <c r="H24" s="7">
        <f t="shared" si="5"/>
        <v>62639.030999999981</v>
      </c>
      <c r="I24" s="7">
        <f t="shared" si="5"/>
        <v>155537.85746</v>
      </c>
      <c r="J24" s="7">
        <f t="shared" ref="J24" si="6">SUM(J19:J22)</f>
        <v>79657.94574000001</v>
      </c>
    </row>
    <row r="26" spans="4:10" x14ac:dyDescent="0.25">
      <c r="D26" s="21" t="s">
        <v>220</v>
      </c>
      <c r="E26" s="22">
        <v>0</v>
      </c>
      <c r="F26" s="22">
        <f>+'AF&amp;DEP'!F40-'AF&amp;DEP'!E40</f>
        <v>-8606.6130000000048</v>
      </c>
      <c r="G26" s="22">
        <f>+'AF&amp;DEP'!G40-'AF&amp;DEP'!F40</f>
        <v>-9143.8660000000018</v>
      </c>
      <c r="H26" s="22">
        <f>+'AF&amp;DEP'!H40-'AF&amp;DEP'!G40</f>
        <v>-10466.554999999993</v>
      </c>
      <c r="I26" s="22">
        <f>+'AF&amp;DEP'!I40-'AF&amp;DEP'!H40</f>
        <v>4213.208999999988</v>
      </c>
      <c r="J26" s="22">
        <f>+'AF&amp;DEP'!J40-'AF&amp;DEP'!I40</f>
        <v>-1913.1059999999998</v>
      </c>
    </row>
    <row r="28" spans="4:10" x14ac:dyDescent="0.25">
      <c r="D28" s="5" t="s">
        <v>221</v>
      </c>
      <c r="E28" s="7">
        <f t="shared" ref="E28:I28" si="7">SUM(E23:E26)</f>
        <v>8688.6897500000123</v>
      </c>
      <c r="F28" s="7">
        <f t="shared" si="7"/>
        <v>185409.48705999998</v>
      </c>
      <c r="G28" s="7">
        <f t="shared" si="7"/>
        <v>-18145.75845999999</v>
      </c>
      <c r="H28" s="7">
        <f t="shared" si="7"/>
        <v>52172.475999999988</v>
      </c>
      <c r="I28" s="7">
        <f t="shared" si="7"/>
        <v>159751.06646</v>
      </c>
      <c r="J28" s="7">
        <f t="shared" ref="J28" si="8">SUM(J23:J26)</f>
        <v>77744.83974000001</v>
      </c>
    </row>
  </sheetData>
  <mergeCells count="1">
    <mergeCell ref="D8:J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D7:N35"/>
  <sheetViews>
    <sheetView showGridLines="0" topLeftCell="D1" workbookViewId="0">
      <selection activeCell="F12" sqref="F12"/>
    </sheetView>
  </sheetViews>
  <sheetFormatPr baseColWidth="10" defaultRowHeight="15" x14ac:dyDescent="0.25"/>
  <cols>
    <col min="4" max="4" width="57.28515625" customWidth="1"/>
    <col min="5" max="5" width="12.5703125" bestFit="1" customWidth="1"/>
    <col min="6" max="6" width="13.28515625" bestFit="1" customWidth="1"/>
    <col min="7" max="7" width="12.5703125" bestFit="1" customWidth="1"/>
    <col min="8" max="8" width="12.28515625" bestFit="1" customWidth="1"/>
    <col min="9" max="9" width="13.28515625" bestFit="1" customWidth="1"/>
    <col min="10" max="14" width="12.5703125" bestFit="1" customWidth="1"/>
  </cols>
  <sheetData>
    <row r="7" spans="4:14" ht="15.75" thickBot="1" x14ac:dyDescent="0.3"/>
    <row r="8" spans="4:14" ht="19.5" thickBot="1" x14ac:dyDescent="0.3">
      <c r="D8" s="380" t="s">
        <v>429</v>
      </c>
      <c r="E8" s="381"/>
      <c r="F8" s="381"/>
      <c r="G8" s="381"/>
      <c r="H8" s="381"/>
      <c r="I8" s="381"/>
      <c r="J8" s="381"/>
      <c r="K8" s="381"/>
      <c r="L8" s="381"/>
      <c r="M8" s="381"/>
      <c r="N8" s="382"/>
    </row>
    <row r="9" spans="4:14" x14ac:dyDescent="0.25">
      <c r="D9" s="34" t="s">
        <v>209</v>
      </c>
      <c r="E9" s="59">
        <v>1000</v>
      </c>
      <c r="F9" s="2"/>
      <c r="G9" s="2"/>
      <c r="H9" s="2"/>
      <c r="I9" s="2"/>
    </row>
    <row r="10" spans="4:14" x14ac:dyDescent="0.25">
      <c r="D10" s="3"/>
      <c r="E10" s="4" t="str">
        <f>+'BGPR2008-2023'!K11</f>
        <v>2014E</v>
      </c>
      <c r="F10" s="4" t="str">
        <f>+'BGPR2008-2023'!L11</f>
        <v>2015E</v>
      </c>
      <c r="G10" s="4" t="str">
        <f>+'BGPR2008-2023'!M11</f>
        <v>2016E</v>
      </c>
      <c r="H10" s="4" t="str">
        <f>+'BGPR2008-2023'!N11</f>
        <v>2017E</v>
      </c>
      <c r="I10" s="4" t="str">
        <f>+'BGPR2008-2023'!O11</f>
        <v>2018E</v>
      </c>
      <c r="J10" s="4" t="str">
        <f>+'BGPR2008-2023'!P11</f>
        <v>2019E</v>
      </c>
      <c r="K10" s="4" t="str">
        <f>+'BGPR2008-2023'!Q11</f>
        <v>2020E</v>
      </c>
      <c r="L10" s="4" t="str">
        <f>+'BGPR2008-2023'!R11</f>
        <v>2021E</v>
      </c>
      <c r="M10" s="4" t="str">
        <f>+'BGPR2008-2023'!S11</f>
        <v>2022E</v>
      </c>
      <c r="N10" s="4" t="str">
        <f>+'BGPR2008-2023'!T11</f>
        <v>2023E</v>
      </c>
    </row>
    <row r="12" spans="4:14" x14ac:dyDescent="0.25">
      <c r="D12" s="21" t="s">
        <v>212</v>
      </c>
      <c r="E12" s="22">
        <f>+'ERPR2008-2023'!K24</f>
        <v>65483.331474999999</v>
      </c>
      <c r="F12" s="22">
        <f>+'ERPR2008-2023'!L24</f>
        <v>70141.155462500014</v>
      </c>
      <c r="G12" s="22">
        <f>+'ERPR2008-2023'!M24</f>
        <v>74886.660016750015</v>
      </c>
      <c r="H12" s="22">
        <f>+'ERPR2008-2023'!N24</f>
        <v>79652.992828025061</v>
      </c>
      <c r="I12" s="22">
        <f>+'ERPR2008-2023'!O24</f>
        <v>84351.49228234755</v>
      </c>
      <c r="J12" s="22">
        <f>+'ERPR2008-2023'!P24</f>
        <v>88866.481716406328</v>
      </c>
      <c r="K12" s="22">
        <f>+'ERPR2008-2023'!Q24</f>
        <v>93048.938135035773</v>
      </c>
      <c r="L12" s="22">
        <f>+'ERPR2008-2023'!R24</f>
        <v>96708.801844925969</v>
      </c>
      <c r="M12" s="22">
        <f>+'ERPR2008-2023'!S24</f>
        <v>99605.645905082463</v>
      </c>
      <c r="N12" s="22">
        <f>+'ERPR2008-2023'!T24</f>
        <v>101437.36714638735</v>
      </c>
    </row>
    <row r="13" spans="4:14" x14ac:dyDescent="0.25">
      <c r="D13" s="21" t="s">
        <v>213</v>
      </c>
      <c r="E13" s="22">
        <f>+E12*34%</f>
        <v>22264.3327015</v>
      </c>
      <c r="F13" s="22">
        <f t="shared" ref="F13:N13" si="0">+F12*34%</f>
        <v>23847.992857250007</v>
      </c>
      <c r="G13" s="22">
        <f t="shared" si="0"/>
        <v>25461.464405695006</v>
      </c>
      <c r="H13" s="22">
        <f t="shared" si="0"/>
        <v>27082.017561528522</v>
      </c>
      <c r="I13" s="22">
        <f t="shared" si="0"/>
        <v>28679.507375998168</v>
      </c>
      <c r="J13" s="22">
        <f t="shared" si="0"/>
        <v>30214.603783578154</v>
      </c>
      <c r="K13" s="22">
        <f t="shared" si="0"/>
        <v>31636.638965912163</v>
      </c>
      <c r="L13" s="22">
        <f t="shared" si="0"/>
        <v>32880.992627274834</v>
      </c>
      <c r="M13" s="22">
        <f t="shared" si="0"/>
        <v>33865.919607728043</v>
      </c>
      <c r="N13" s="22">
        <f t="shared" si="0"/>
        <v>34488.704829771697</v>
      </c>
    </row>
    <row r="15" spans="4:14" x14ac:dyDescent="0.25">
      <c r="D15" s="5" t="s">
        <v>214</v>
      </c>
      <c r="E15" s="7">
        <f>+E12-E13</f>
        <v>43218.998773500003</v>
      </c>
      <c r="F15" s="7">
        <f t="shared" ref="F15:N15" si="1">+F12-F13</f>
        <v>46293.162605250007</v>
      </c>
      <c r="G15" s="7">
        <f t="shared" si="1"/>
        <v>49425.195611055009</v>
      </c>
      <c r="H15" s="7">
        <f t="shared" si="1"/>
        <v>52570.975266496534</v>
      </c>
      <c r="I15" s="7">
        <f t="shared" si="1"/>
        <v>55671.984906349382</v>
      </c>
      <c r="J15" s="7">
        <f t="shared" si="1"/>
        <v>58651.877932828174</v>
      </c>
      <c r="K15" s="7">
        <f t="shared" si="1"/>
        <v>61412.299169123609</v>
      </c>
      <c r="L15" s="7">
        <f t="shared" si="1"/>
        <v>63827.809217651135</v>
      </c>
      <c r="M15" s="7">
        <f t="shared" si="1"/>
        <v>65739.726297354413</v>
      </c>
      <c r="N15" s="7">
        <f t="shared" si="1"/>
        <v>66948.66231661565</v>
      </c>
    </row>
    <row r="17" spans="4:14" x14ac:dyDescent="0.25">
      <c r="D17" s="21" t="s">
        <v>215</v>
      </c>
      <c r="E17" s="22">
        <f>+'SUPUESTOS DE PROYECCIÓN'!I158</f>
        <v>21426.157500000001</v>
      </c>
      <c r="F17" s="22">
        <f>+'SUPUESTOS DE PROYECCIÓN'!J158</f>
        <v>24529.657500000001</v>
      </c>
      <c r="G17" s="22">
        <f>+'SUPUESTOS DE PROYECCIÓN'!K158</f>
        <v>27633.157500000001</v>
      </c>
      <c r="H17" s="22">
        <f>+'SUPUESTOS DE PROYECCIÓN'!L158</f>
        <v>30736.657500000001</v>
      </c>
      <c r="I17" s="22">
        <f>+'SUPUESTOS DE PROYECCIÓN'!M158</f>
        <v>33840.157500000001</v>
      </c>
      <c r="J17" s="22">
        <f>+'SUPUESTOS DE PROYECCIÓN'!N158</f>
        <v>36943.657500000001</v>
      </c>
      <c r="K17" s="22">
        <f>+'SUPUESTOS DE PROYECCIÓN'!O158</f>
        <v>40047.157500000001</v>
      </c>
      <c r="L17" s="22">
        <f>+'SUPUESTOS DE PROYECCIÓN'!P158</f>
        <v>43150.657500000001</v>
      </c>
      <c r="M17" s="22">
        <f>+'SUPUESTOS DE PROYECCIÓN'!Q158</f>
        <v>46254.157500000001</v>
      </c>
      <c r="N17" s="22">
        <f>+'SUPUESTOS DE PROYECCIÓN'!R158</f>
        <v>49357.657500000001</v>
      </c>
    </row>
    <row r="18" spans="4:14" x14ac:dyDescent="0.25">
      <c r="D18" s="21" t="s">
        <v>216</v>
      </c>
      <c r="E18" s="22"/>
      <c r="F18" s="22"/>
      <c r="G18" s="22"/>
      <c r="H18" s="22"/>
      <c r="I18" s="22"/>
      <c r="J18" s="22"/>
      <c r="K18" s="22"/>
      <c r="L18" s="22"/>
      <c r="M18" s="22"/>
      <c r="N18" s="22"/>
    </row>
    <row r="20" spans="4:14" x14ac:dyDescent="0.25">
      <c r="D20" s="5" t="s">
        <v>217</v>
      </c>
      <c r="E20" s="7">
        <f>SUM(E15:E18)</f>
        <v>64645.156273500004</v>
      </c>
      <c r="F20" s="7">
        <f t="shared" ref="F20:N20" si="2">SUM(F15:F18)</f>
        <v>70822.820105250008</v>
      </c>
      <c r="G20" s="7">
        <f t="shared" si="2"/>
        <v>77058.35311105501</v>
      </c>
      <c r="H20" s="7">
        <f t="shared" si="2"/>
        <v>83307.632766496536</v>
      </c>
      <c r="I20" s="7">
        <f t="shared" si="2"/>
        <v>89512.142406349391</v>
      </c>
      <c r="J20" s="7">
        <f t="shared" si="2"/>
        <v>95595.535432828183</v>
      </c>
      <c r="K20" s="7">
        <f t="shared" si="2"/>
        <v>101459.45666912361</v>
      </c>
      <c r="L20" s="7">
        <f t="shared" si="2"/>
        <v>106978.46671765114</v>
      </c>
      <c r="M20" s="7">
        <f t="shared" si="2"/>
        <v>111993.88379735441</v>
      </c>
      <c r="N20" s="7">
        <f t="shared" si="2"/>
        <v>116306.31981661565</v>
      </c>
    </row>
    <row r="22" spans="4:14" x14ac:dyDescent="0.25">
      <c r="D22" s="21" t="s">
        <v>218</v>
      </c>
      <c r="E22" s="22">
        <f>+'SUPUESTOS DE PROYECCIÓN'!I161</f>
        <v>975.45019369865258</v>
      </c>
      <c r="F22" s="22">
        <f>+'SUPUESTOS DE PROYECCIÓN'!J161</f>
        <v>1479.6874183014043</v>
      </c>
      <c r="G22" s="22">
        <f>+'SUPUESTOS DE PROYECCIÓN'!K161</f>
        <v>4781.2399703862793</v>
      </c>
      <c r="H22" s="22">
        <f>+'SUPUESTOS DE PROYECCIÓN'!L161</f>
        <v>5483.1666894430527</v>
      </c>
      <c r="I22" s="22">
        <f>+'SUPUESTOS DE PROYECCIÓN'!M161</f>
        <v>5046.7513815077618</v>
      </c>
      <c r="J22" s="22">
        <f>+'SUPUESTOS DE PROYECCIÓN'!N161</f>
        <v>4468.2213450910276</v>
      </c>
      <c r="K22" s="22">
        <f>+'SUPUESTOS DE PROYECCIÓN'!O161</f>
        <v>3723.5177875758891</v>
      </c>
      <c r="L22" s="22">
        <f>+'SUPUESTOS DE PROYECCIÓN'!P161</f>
        <v>4587.3739142934428</v>
      </c>
      <c r="M22" s="22">
        <f>+'SUPUESTOS DE PROYECCIÓN'!Q161</f>
        <v>3784.5834792921087</v>
      </c>
      <c r="N22" s="22">
        <f>+'SUPUESTOS DE PROYECCIÓN'!R161</f>
        <v>2775.3612181475401</v>
      </c>
    </row>
    <row r="24" spans="4:14" x14ac:dyDescent="0.25">
      <c r="D24" s="5" t="s">
        <v>219</v>
      </c>
      <c r="E24" s="7">
        <f>+E20-E22</f>
        <v>63669.706079801355</v>
      </c>
      <c r="F24" s="7">
        <f>+F20-F22</f>
        <v>69343.132686948607</v>
      </c>
      <c r="G24" s="7">
        <f t="shared" ref="G24:M24" si="3">+G20-G22</f>
        <v>72277.113140668735</v>
      </c>
      <c r="H24" s="7">
        <f t="shared" si="3"/>
        <v>77824.466077053483</v>
      </c>
      <c r="I24" s="7">
        <f t="shared" si="3"/>
        <v>84465.391024841636</v>
      </c>
      <c r="J24" s="7">
        <f t="shared" si="3"/>
        <v>91127.314087737148</v>
      </c>
      <c r="K24" s="7">
        <f t="shared" si="3"/>
        <v>97735.938881547714</v>
      </c>
      <c r="L24" s="7">
        <f t="shared" si="3"/>
        <v>102391.09280335769</v>
      </c>
      <c r="M24" s="7">
        <f t="shared" si="3"/>
        <v>108209.30031806231</v>
      </c>
      <c r="N24" s="7">
        <f>+N20-N22</f>
        <v>113530.9585984681</v>
      </c>
    </row>
    <row r="26" spans="4:14" x14ac:dyDescent="0.25">
      <c r="D26" s="21" t="s">
        <v>220</v>
      </c>
      <c r="E26" s="22">
        <f>+'SUPUESTOS DE PROYECCIÓN'!I167</f>
        <v>14398.78407528127</v>
      </c>
      <c r="F26" s="22">
        <f>+'SUPUESTOS DE PROYECCIÓN'!J167</f>
        <v>-1070.2552463840184</v>
      </c>
      <c r="G26" s="22">
        <f>+'SUPUESTOS DE PROYECCIÓN'!K167</f>
        <v>-1044.6417581052665</v>
      </c>
      <c r="H26" s="22">
        <f>+'SUPUESTOS DE PROYECCIÓN'!L167</f>
        <v>-989.03265934655792</v>
      </c>
      <c r="I26" s="22">
        <f>+'SUPUESTOS DE PROYECCIÓN'!M167</f>
        <v>-940.50119060538418</v>
      </c>
      <c r="J26" s="22">
        <f>+'SUPUESTOS DE PROYECCIÓN'!N167</f>
        <v>-920.18086435446457</v>
      </c>
      <c r="K26" s="22">
        <f>+'SUPUESTOS DE PROYECCIÓN'!O167</f>
        <v>4649.9707328722725</v>
      </c>
      <c r="L26" s="22">
        <f>+'SUPUESTOS DE PROYECCIÓN'!P167</f>
        <v>-930.18748306986527</v>
      </c>
      <c r="M26" s="22">
        <f>+'SUPUESTOS DE PROYECCIÓN'!Q167</f>
        <v>-910.84793494186306</v>
      </c>
      <c r="N26" s="22">
        <f>+'SUPUESTOS DE PROYECCIÓN'!R167</f>
        <v>-854.87551626881759</v>
      </c>
    </row>
    <row r="28" spans="4:14" x14ac:dyDescent="0.25">
      <c r="D28" s="5" t="s">
        <v>221</v>
      </c>
      <c r="E28" s="7">
        <f>+E24-E26</f>
        <v>49270.922004520085</v>
      </c>
      <c r="F28" s="7">
        <f>+F24+F26</f>
        <v>68272.877440564596</v>
      </c>
      <c r="G28" s="7">
        <f>+G24+G26</f>
        <v>71232.471382563468</v>
      </c>
      <c r="H28" s="7">
        <f t="shared" ref="H28:J28" si="4">+H24+H26</f>
        <v>76835.433417706925</v>
      </c>
      <c r="I28" s="7">
        <f t="shared" si="4"/>
        <v>83524.889834236252</v>
      </c>
      <c r="J28" s="7">
        <f t="shared" si="4"/>
        <v>90207.133223382683</v>
      </c>
      <c r="K28" s="7">
        <f t="shared" ref="K28" si="5">+K24-K26</f>
        <v>93085.968148675442</v>
      </c>
      <c r="L28" s="7">
        <f>+L24+L26</f>
        <v>101460.90532028783</v>
      </c>
      <c r="M28" s="7">
        <f t="shared" ref="M28:N28" si="6">+M24+M26</f>
        <v>107298.45238312044</v>
      </c>
      <c r="N28" s="7">
        <f t="shared" si="6"/>
        <v>112676.08308219929</v>
      </c>
    </row>
    <row r="30" spans="4:14" x14ac:dyDescent="0.25">
      <c r="D30" s="21" t="s">
        <v>600</v>
      </c>
      <c r="E30" s="22">
        <f>+'ERPR2008-2023'!K35</f>
        <v>-2251.6799618493551</v>
      </c>
      <c r="F30" s="22">
        <f>+'ERPR2008-2023'!L35</f>
        <v>-2251.6799618493551</v>
      </c>
      <c r="G30" s="22">
        <f>+'ERPR2008-2023'!M35</f>
        <v>-2251.6799618493551</v>
      </c>
      <c r="H30" s="22">
        <f>+'ERPR2008-2023'!N35</f>
        <v>-1125.8399809246775</v>
      </c>
      <c r="I30" s="22">
        <f>+'ERPR2008-2023'!O35</f>
        <v>0</v>
      </c>
      <c r="J30" s="22">
        <f>+'ERPR2008-2023'!P35</f>
        <v>0</v>
      </c>
      <c r="K30" s="22">
        <f>+'ERPR2008-2023'!Q35</f>
        <v>0</v>
      </c>
      <c r="L30" s="22">
        <f>+'ERPR2008-2023'!R35</f>
        <v>0</v>
      </c>
      <c r="M30" s="22">
        <f>+'ERPR2008-2023'!S35</f>
        <v>0</v>
      </c>
      <c r="N30" s="22">
        <f>+'ERPR2008-2023'!T35</f>
        <v>0</v>
      </c>
    </row>
    <row r="31" spans="4:14" x14ac:dyDescent="0.25">
      <c r="D31" s="21" t="s">
        <v>601</v>
      </c>
      <c r="E31" s="22">
        <f>+'ERPR2008-2023'!K27+'ERPR2008-2023'!K28</f>
        <v>23628.758461000005</v>
      </c>
      <c r="F31" s="22">
        <f>+'ERPR2008-2023'!L27+'ERPR2008-2023'!L28</f>
        <v>25991.634307100005</v>
      </c>
      <c r="G31" s="22">
        <f>+'ERPR2008-2023'!M27+'ERPR2008-2023'!M28</f>
        <v>28590.797737810004</v>
      </c>
      <c r="H31" s="22">
        <f>+'ERPR2008-2023'!N27+'ERPR2008-2023'!N28</f>
        <v>31449.877511591014</v>
      </c>
      <c r="I31" s="22">
        <f>+'ERPR2008-2023'!O27+'ERPR2008-2023'!O28</f>
        <v>34594.865262750114</v>
      </c>
      <c r="J31" s="22">
        <f>+'ERPR2008-2023'!P27+'ERPR2008-2023'!P28</f>
        <v>38054.351789025131</v>
      </c>
      <c r="K31" s="22">
        <f>+'ERPR2008-2023'!Q27+'ERPR2008-2023'!Q28</f>
        <v>41859.786967927648</v>
      </c>
      <c r="L31" s="22">
        <f>+'ERPR2008-2023'!R27+'ERPR2008-2023'!R28</f>
        <v>46045.765664720413</v>
      </c>
      <c r="M31" s="22">
        <f>+'ERPR2008-2023'!S27+'ERPR2008-2023'!S28</f>
        <v>50650.342231192466</v>
      </c>
      <c r="N31" s="22">
        <f>+'ERPR2008-2023'!T27+'ERPR2008-2023'!T28</f>
        <v>55715.376454311714</v>
      </c>
    </row>
    <row r="32" spans="4:14" x14ac:dyDescent="0.25">
      <c r="D32" s="21" t="s">
        <v>602</v>
      </c>
      <c r="E32" s="22">
        <v>0</v>
      </c>
      <c r="F32" s="22">
        <v>0</v>
      </c>
      <c r="G32" s="22">
        <v>0</v>
      </c>
      <c r="H32" s="22">
        <v>0</v>
      </c>
      <c r="I32" s="22">
        <v>0</v>
      </c>
      <c r="J32" s="22">
        <v>0</v>
      </c>
      <c r="K32" s="22">
        <v>0</v>
      </c>
      <c r="L32" s="22">
        <v>0</v>
      </c>
      <c r="M32" s="22">
        <v>0</v>
      </c>
      <c r="N32" s="22">
        <v>0</v>
      </c>
    </row>
    <row r="33" spans="4:14" x14ac:dyDescent="0.25">
      <c r="D33" s="145"/>
    </row>
    <row r="34" spans="4:14" x14ac:dyDescent="0.25">
      <c r="D34" s="5" t="s">
        <v>603</v>
      </c>
      <c r="E34" s="7">
        <f>SUM(E28:E32)</f>
        <v>70648.000503670744</v>
      </c>
      <c r="F34" s="7">
        <f t="shared" ref="F34:M34" si="7">SUM(F28:F32)</f>
        <v>92012.831785815244</v>
      </c>
      <c r="G34" s="7">
        <f t="shared" si="7"/>
        <v>97571.589158524119</v>
      </c>
      <c r="H34" s="7">
        <f t="shared" si="7"/>
        <v>107159.47094837326</v>
      </c>
      <c r="I34" s="7">
        <f t="shared" si="7"/>
        <v>118119.75509698637</v>
      </c>
      <c r="J34" s="7">
        <f t="shared" si="7"/>
        <v>128261.48501240782</v>
      </c>
      <c r="K34" s="7">
        <f t="shared" si="7"/>
        <v>134945.7551166031</v>
      </c>
      <c r="L34" s="7">
        <f t="shared" si="7"/>
        <v>147506.67098500824</v>
      </c>
      <c r="M34" s="7">
        <f t="shared" si="7"/>
        <v>157948.79461431291</v>
      </c>
      <c r="N34" s="7">
        <f>SUM(N28:N32)</f>
        <v>168391.45953651099</v>
      </c>
    </row>
    <row r="35" spans="4:14" x14ac:dyDescent="0.25">
      <c r="E35" s="7"/>
    </row>
  </sheetData>
  <mergeCells count="1">
    <mergeCell ref="D8:N8"/>
  </mergeCells>
  <pageMargins left="0.7" right="0.7" top="0.75" bottom="0.75" header="0.3" footer="0.3"/>
  <ignoredErrors>
    <ignoredError sqref="K28" formula="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T107"/>
  <sheetViews>
    <sheetView showGridLines="0" topLeftCell="A8" workbookViewId="0">
      <selection activeCell="D9" sqref="D9"/>
    </sheetView>
  </sheetViews>
  <sheetFormatPr baseColWidth="10" defaultRowHeight="15" x14ac:dyDescent="0.25"/>
  <cols>
    <col min="1" max="2" width="11.42578125" style="2"/>
    <col min="3" max="3" width="11.42578125" style="2" customWidth="1"/>
    <col min="4" max="4" width="37.85546875" style="2" bestFit="1" customWidth="1"/>
    <col min="5" max="6" width="13.42578125" style="2" hidden="1" customWidth="1"/>
    <col min="7" max="9" width="14.42578125" style="2" hidden="1" customWidth="1"/>
    <col min="10" max="10" width="15.5703125" style="2" hidden="1" customWidth="1"/>
    <col min="11" max="11" width="14.85546875" style="2" bestFit="1" customWidth="1"/>
    <col min="12" max="16" width="14.140625" style="2" bestFit="1" customWidth="1"/>
    <col min="17" max="20" width="14.85546875" style="2" bestFit="1" customWidth="1"/>
    <col min="21" max="16384" width="11.42578125" style="2"/>
  </cols>
  <sheetData>
    <row r="7" spans="3:20" ht="15.75" thickBot="1" x14ac:dyDescent="0.3"/>
    <row r="8" spans="3:20" ht="24" customHeight="1" thickBot="1" x14ac:dyDescent="0.3">
      <c r="D8" s="380" t="s">
        <v>713</v>
      </c>
      <c r="E8" s="381"/>
      <c r="F8" s="381"/>
      <c r="G8" s="381"/>
      <c r="H8" s="381"/>
      <c r="I8" s="381"/>
      <c r="J8" s="381"/>
      <c r="K8" s="381"/>
      <c r="L8" s="381"/>
      <c r="M8" s="381"/>
      <c r="N8" s="381"/>
      <c r="O8" s="381"/>
      <c r="P8" s="381"/>
      <c r="Q8" s="381"/>
      <c r="R8" s="381"/>
      <c r="S8" s="381"/>
      <c r="T8" s="382"/>
    </row>
    <row r="9" spans="3:20" ht="24" customHeight="1" x14ac:dyDescent="0.25">
      <c r="D9" s="34" t="s">
        <v>209</v>
      </c>
      <c r="E9" s="59">
        <v>1000</v>
      </c>
    </row>
    <row r="11" spans="3:20" x14ac:dyDescent="0.25">
      <c r="C11" s="1"/>
      <c r="D11" s="3"/>
      <c r="E11" s="4">
        <v>2008</v>
      </c>
      <c r="F11" s="4">
        <v>2009</v>
      </c>
      <c r="G11" s="4">
        <v>2010</v>
      </c>
      <c r="H11" s="4">
        <v>2011</v>
      </c>
      <c r="I11" s="4">
        <v>2012</v>
      </c>
      <c r="J11" s="4">
        <v>2013</v>
      </c>
      <c r="K11" s="4" t="s">
        <v>658</v>
      </c>
      <c r="L11" s="4" t="s">
        <v>659</v>
      </c>
      <c r="M11" s="4" t="s">
        <v>660</v>
      </c>
      <c r="N11" s="4" t="s">
        <v>661</v>
      </c>
      <c r="O11" s="4" t="s">
        <v>662</v>
      </c>
      <c r="P11" s="4" t="s">
        <v>663</v>
      </c>
      <c r="Q11" s="4" t="s">
        <v>664</v>
      </c>
      <c r="R11" s="4" t="s">
        <v>665</v>
      </c>
      <c r="S11" s="4" t="s">
        <v>666</v>
      </c>
      <c r="T11" s="4" t="s">
        <v>667</v>
      </c>
    </row>
    <row r="12" spans="3:20" x14ac:dyDescent="0.25">
      <c r="C12" s="1"/>
      <c r="D12" s="3"/>
      <c r="E12" s="3"/>
      <c r="F12" s="3"/>
      <c r="G12" s="3"/>
      <c r="H12" s="3"/>
      <c r="I12" s="3"/>
    </row>
    <row r="13" spans="3:20" x14ac:dyDescent="0.25">
      <c r="C13" s="1"/>
      <c r="D13" s="53" t="s">
        <v>0</v>
      </c>
      <c r="E13" s="50"/>
      <c r="F13" s="50"/>
      <c r="G13" s="50"/>
      <c r="H13" s="50"/>
      <c r="I13" s="50"/>
    </row>
    <row r="14" spans="3:20" x14ac:dyDescent="0.25">
      <c r="C14" s="1"/>
      <c r="D14" s="50"/>
      <c r="E14" s="50"/>
      <c r="F14" s="50"/>
      <c r="G14" s="50"/>
      <c r="H14" s="50"/>
      <c r="I14" s="50"/>
    </row>
    <row r="15" spans="3:20" x14ac:dyDescent="0.25">
      <c r="D15" s="53" t="s">
        <v>1</v>
      </c>
      <c r="E15" s="50"/>
      <c r="F15" s="50"/>
      <c r="G15" s="50"/>
      <c r="H15" s="58"/>
      <c r="I15" s="58"/>
    </row>
    <row r="17" spans="4:20" x14ac:dyDescent="0.25">
      <c r="D17" s="21" t="s">
        <v>2</v>
      </c>
      <c r="E17" s="22">
        <v>7892.6120000000001</v>
      </c>
      <c r="F17" s="22">
        <v>4655.2110000000002</v>
      </c>
      <c r="G17" s="22">
        <v>1996.4659999999999</v>
      </c>
      <c r="H17" s="22">
        <v>17846.741000000002</v>
      </c>
      <c r="I17" s="22">
        <v>8528.6440000000002</v>
      </c>
      <c r="J17" s="22">
        <v>10353.384</v>
      </c>
      <c r="K17" s="22">
        <f>+'SUPUESTOS DE PROYECCIÓN'!I77</f>
        <v>11097.655637260275</v>
      </c>
      <c r="L17" s="22">
        <f>+'SUPUESTOS DE PROYECCIÓN'!J77</f>
        <v>12207.421200986302</v>
      </c>
      <c r="M17" s="22">
        <f>+'SUPUESTOS DE PROYECCIÓN'!K77</f>
        <v>13428.163321084932</v>
      </c>
      <c r="N17" s="22">
        <f>+'SUPUESTOS DE PROYECCIÓN'!L77</f>
        <v>14770.979653193428</v>
      </c>
      <c r="O17" s="22">
        <f>+'SUPUESTOS DE PROYECCIÓN'!M77</f>
        <v>16248.077618512772</v>
      </c>
      <c r="P17" s="22">
        <f>+'SUPUESTOS DE PROYECCIÓN'!N77</f>
        <v>17872.885380364052</v>
      </c>
      <c r="Q17" s="22">
        <f>+'SUPUESTOS DE PROYECCIÓN'!O77</f>
        <v>19660.173918400458</v>
      </c>
      <c r="R17" s="22">
        <f>+'SUPUESTOS DE PROYECCIÓN'!P77</f>
        <v>21626.191310240505</v>
      </c>
      <c r="S17" s="22">
        <f>+'SUPUESTOS DE PROYECCIÓN'!Q77</f>
        <v>23788.810441264559</v>
      </c>
      <c r="T17" s="22">
        <f>+'SUPUESTOS DE PROYECCIÓN'!R77</f>
        <v>26167.69148539102</v>
      </c>
    </row>
    <row r="18" spans="4:20" x14ac:dyDescent="0.25">
      <c r="D18" s="21" t="s">
        <v>3</v>
      </c>
      <c r="E18" s="22">
        <v>25494.862000000001</v>
      </c>
      <c r="F18" s="22">
        <v>29744.886999999999</v>
      </c>
      <c r="G18" s="22">
        <v>20447.289000000001</v>
      </c>
      <c r="H18" s="22">
        <v>31253.415000000001</v>
      </c>
      <c r="I18" s="22">
        <f>(43815365-33875900)/1000</f>
        <v>9939.4650000000001</v>
      </c>
      <c r="J18" s="22">
        <v>35759.453000000001</v>
      </c>
      <c r="K18" s="22">
        <f>+'SUPUESTOS DE PROYECCIÓN'!I80</f>
        <v>36067.380821095896</v>
      </c>
      <c r="L18" s="22">
        <f>+'SUPUESTOS DE PROYECCIÓN'!J80</f>
        <v>36622.263602958912</v>
      </c>
      <c r="M18" s="22">
        <f>+'SUPUESTOS DE PROYECCIÓN'!K80</f>
        <v>42522.51718343563</v>
      </c>
      <c r="N18" s="22">
        <f>+'SUPUESTOS DE PROYECCIÓN'!L80</f>
        <v>46774.768901779193</v>
      </c>
      <c r="O18" s="22">
        <f>+'SUPUESTOS DE PROYECCIÓN'!M80</f>
        <v>51452.245791957117</v>
      </c>
      <c r="P18" s="22">
        <f>+'SUPUESTOS DE PROYECCIÓN'!N80</f>
        <v>56597.470371152842</v>
      </c>
      <c r="Q18" s="22">
        <f>+'SUPUESTOS DE PROYECCIÓN'!O80</f>
        <v>62257.217408268123</v>
      </c>
      <c r="R18" s="22">
        <f>+'SUPUESTOS DE PROYECCIÓN'!P80</f>
        <v>68482.939149094949</v>
      </c>
      <c r="S18" s="22">
        <f>+'SUPUESTOS DE PROYECCIÓN'!Q80</f>
        <v>75331.233064004453</v>
      </c>
      <c r="T18" s="22">
        <f>+'SUPUESTOS DE PROYECCIÓN'!R80</f>
        <v>82864.356370404901</v>
      </c>
    </row>
    <row r="19" spans="4:20" x14ac:dyDescent="0.25">
      <c r="D19" s="21" t="s">
        <v>4</v>
      </c>
      <c r="E19" s="22">
        <v>58405.019</v>
      </c>
      <c r="F19" s="22">
        <v>65579.332999999999</v>
      </c>
      <c r="G19" s="22">
        <v>55585.624000000003</v>
      </c>
      <c r="H19" s="22">
        <v>131374.39199999999</v>
      </c>
      <c r="I19" s="22">
        <v>174953.96599999999</v>
      </c>
      <c r="J19" s="22">
        <v>172129.71799999999</v>
      </c>
      <c r="K19" s="22">
        <f>+'SUPUESTOS DE PROYECCIÓN'!I83</f>
        <v>175712.88092328768</v>
      </c>
      <c r="L19" s="22">
        <f>+'SUPUESTOS DE PROYECCIÓN'!J83</f>
        <v>180059.46271454799</v>
      </c>
      <c r="M19" s="22">
        <f>+'SUPUESTOS DE PROYECCIÓN'!K83</f>
        <v>187994.28649518907</v>
      </c>
      <c r="N19" s="22">
        <f>+'SUPUESTOS DE PROYECCIÓN'!L83</f>
        <v>196946.3953759124</v>
      </c>
      <c r="O19" s="22">
        <f>+'SUPUESTOS DE PROYECCIÓN'!M83</f>
        <v>205808.98316782847</v>
      </c>
      <c r="P19" s="22">
        <f>+'SUPUESTOS DE PROYECCIÓN'!N83</f>
        <v>214474.62456436863</v>
      </c>
      <c r="Q19" s="22">
        <f>+'SUPUESTOS DE PROYECCIÓN'!O83</f>
        <v>222815.30440853856</v>
      </c>
      <c r="R19" s="22">
        <f>+'SUPUESTOS DE PROYECCIÓN'!P83</f>
        <v>232481.55658508546</v>
      </c>
      <c r="S19" s="22">
        <f>+'SUPUESTOS DE PROYECCIÓN'!Q83</f>
        <v>241852.90615285639</v>
      </c>
      <c r="T19" s="22">
        <f>+'SUPUESTOS DE PROYECCIÓN'!R83</f>
        <v>250773.71006833061</v>
      </c>
    </row>
    <row r="20" spans="4:20" x14ac:dyDescent="0.25">
      <c r="D20" s="21" t="s">
        <v>5</v>
      </c>
      <c r="E20" s="22">
        <v>3576.2570000000001</v>
      </c>
      <c r="F20" s="22">
        <v>3883.8910000000001</v>
      </c>
      <c r="G20" s="22">
        <v>4790.9359999999997</v>
      </c>
      <c r="H20" s="22">
        <v>13089.352000000001</v>
      </c>
      <c r="I20" s="22">
        <v>26324.063999999998</v>
      </c>
      <c r="J20" s="22">
        <v>24888.494999999999</v>
      </c>
      <c r="K20" s="22">
        <f>+'SUPUESTOS DE PROYECCIÓN'!I86</f>
        <v>26819.334456712335</v>
      </c>
      <c r="L20" s="22">
        <f>+'SUPUESTOS DE PROYECCIÓN'!J86</f>
        <v>29501.26790238357</v>
      </c>
      <c r="M20" s="22">
        <f>+'SUPUESTOS DE PROYECCIÓN'!K86</f>
        <v>32451.394692621929</v>
      </c>
      <c r="N20" s="22">
        <f>+'SUPUESTOS DE PROYECCIÓN'!L86</f>
        <v>35696.534161884127</v>
      </c>
      <c r="O20" s="22">
        <f>+'SUPUESTOS DE PROYECCIÓN'!M86</f>
        <v>39266.187578072539</v>
      </c>
      <c r="P20" s="22">
        <f>+'SUPUESTOS DE PROYECCIÓN'!N86</f>
        <v>43192.806335879803</v>
      </c>
      <c r="Q20" s="22">
        <f>+'SUPUESTOS DE PROYECCIÓN'!O86</f>
        <v>47512.086969467782</v>
      </c>
      <c r="R20" s="22">
        <f>+'SUPUESTOS DE PROYECCIÓN'!P86</f>
        <v>52263.295666414568</v>
      </c>
      <c r="S20" s="22">
        <f>+'SUPUESTOS DE PROYECCIÓN'!Q86</f>
        <v>57489.625233056031</v>
      </c>
      <c r="T20" s="22">
        <f>+'SUPUESTOS DE PROYECCIÓN'!R86</f>
        <v>63238.587756361638</v>
      </c>
    </row>
    <row r="21" spans="4:20" hidden="1" x14ac:dyDescent="0.25">
      <c r="D21" s="21" t="s">
        <v>6</v>
      </c>
      <c r="E21" s="22">
        <v>0</v>
      </c>
      <c r="F21" s="22">
        <v>0</v>
      </c>
      <c r="G21" s="22">
        <v>0</v>
      </c>
      <c r="H21" s="22">
        <v>264.88</v>
      </c>
      <c r="I21" s="22">
        <v>293.07499999999999</v>
      </c>
      <c r="J21" s="22">
        <v>17.04</v>
      </c>
      <c r="K21" s="22">
        <v>0</v>
      </c>
      <c r="L21" s="22">
        <v>0</v>
      </c>
      <c r="M21" s="22">
        <v>0</v>
      </c>
      <c r="N21" s="22">
        <v>0</v>
      </c>
      <c r="O21" s="22">
        <v>0</v>
      </c>
      <c r="P21" s="22">
        <v>0</v>
      </c>
      <c r="Q21" s="22">
        <v>0</v>
      </c>
      <c r="R21" s="22">
        <v>0</v>
      </c>
      <c r="S21" s="22">
        <v>0</v>
      </c>
      <c r="T21" s="22">
        <v>0</v>
      </c>
    </row>
    <row r="22" spans="4:20" hidden="1" x14ac:dyDescent="0.25">
      <c r="D22" s="21" t="s">
        <v>7</v>
      </c>
      <c r="E22" s="22">
        <v>1131.5340000000001</v>
      </c>
      <c r="F22" s="22">
        <v>1582.539</v>
      </c>
      <c r="G22" s="22">
        <v>3125.6239999999998</v>
      </c>
      <c r="H22" s="22">
        <v>13995.397999999999</v>
      </c>
      <c r="I22" s="22">
        <v>10396.323</v>
      </c>
      <c r="J22" s="22">
        <v>5725.4939999999997</v>
      </c>
      <c r="K22" s="22">
        <v>0</v>
      </c>
      <c r="L22" s="22">
        <v>0</v>
      </c>
      <c r="M22" s="22">
        <v>0</v>
      </c>
      <c r="N22" s="22">
        <v>0</v>
      </c>
      <c r="O22" s="22">
        <v>0</v>
      </c>
      <c r="P22" s="22">
        <v>0</v>
      </c>
      <c r="Q22" s="22">
        <v>0</v>
      </c>
      <c r="R22" s="22">
        <v>0</v>
      </c>
      <c r="S22" s="22">
        <v>0</v>
      </c>
      <c r="T22" s="22">
        <v>0</v>
      </c>
    </row>
    <row r="23" spans="4:20" hidden="1" x14ac:dyDescent="0.25">
      <c r="D23" s="21" t="s">
        <v>8</v>
      </c>
      <c r="E23" s="22">
        <v>0</v>
      </c>
      <c r="F23" s="22">
        <v>0</v>
      </c>
      <c r="G23" s="22">
        <v>179044.84899999999</v>
      </c>
      <c r="H23" s="22">
        <v>194283.00099999999</v>
      </c>
      <c r="I23" s="22">
        <v>0</v>
      </c>
      <c r="J23" s="22">
        <v>0</v>
      </c>
      <c r="K23" s="22">
        <v>0</v>
      </c>
      <c r="L23" s="22">
        <v>0</v>
      </c>
      <c r="M23" s="22">
        <v>0</v>
      </c>
      <c r="N23" s="22">
        <v>0</v>
      </c>
      <c r="O23" s="22">
        <v>0</v>
      </c>
      <c r="P23" s="22">
        <v>0</v>
      </c>
      <c r="Q23" s="22">
        <v>0</v>
      </c>
      <c r="R23" s="22">
        <v>0</v>
      </c>
      <c r="S23" s="22">
        <v>0</v>
      </c>
      <c r="T23" s="22">
        <v>0</v>
      </c>
    </row>
    <row r="25" spans="4:20" x14ac:dyDescent="0.25">
      <c r="D25" s="53" t="s">
        <v>9</v>
      </c>
      <c r="E25" s="7">
        <f>SUM(E17:E23)</f>
        <v>96500.284</v>
      </c>
      <c r="F25" s="7">
        <f t="shared" ref="F25:T25" si="0">SUM(F17:F23)</f>
        <v>105445.861</v>
      </c>
      <c r="G25" s="7">
        <f t="shared" si="0"/>
        <v>264990.788</v>
      </c>
      <c r="H25" s="7">
        <f t="shared" si="0"/>
        <v>402107.179</v>
      </c>
      <c r="I25" s="7">
        <f t="shared" si="0"/>
        <v>230435.53699999998</v>
      </c>
      <c r="J25" s="7">
        <f t="shared" si="0"/>
        <v>248873.584</v>
      </c>
      <c r="K25" s="7">
        <f t="shared" si="0"/>
        <v>249697.25183835617</v>
      </c>
      <c r="L25" s="7">
        <f t="shared" si="0"/>
        <v>258390.41542087679</v>
      </c>
      <c r="M25" s="7">
        <f t="shared" si="0"/>
        <v>276396.36169233156</v>
      </c>
      <c r="N25" s="7">
        <f t="shared" si="0"/>
        <v>294188.67809276911</v>
      </c>
      <c r="O25" s="7">
        <f t="shared" si="0"/>
        <v>312775.49415637087</v>
      </c>
      <c r="P25" s="7">
        <f t="shared" si="0"/>
        <v>332137.78665176529</v>
      </c>
      <c r="Q25" s="7">
        <f t="shared" si="0"/>
        <v>352244.78270467499</v>
      </c>
      <c r="R25" s="7">
        <f t="shared" si="0"/>
        <v>374853.98271083547</v>
      </c>
      <c r="S25" s="7">
        <f t="shared" si="0"/>
        <v>398462.57489118143</v>
      </c>
      <c r="T25" s="7">
        <f t="shared" si="0"/>
        <v>423044.34568048816</v>
      </c>
    </row>
    <row r="26" spans="4:20" x14ac:dyDescent="0.25">
      <c r="D26" s="53"/>
      <c r="E26" s="7"/>
      <c r="F26" s="7"/>
      <c r="G26" s="7"/>
      <c r="H26" s="7"/>
      <c r="I26" s="7"/>
      <c r="J26" s="7"/>
      <c r="K26" s="7"/>
      <c r="L26" s="7"/>
      <c r="M26" s="7"/>
      <c r="N26" s="7"/>
      <c r="O26" s="7"/>
      <c r="P26" s="7"/>
      <c r="Q26" s="7"/>
      <c r="R26" s="7"/>
      <c r="S26" s="7"/>
      <c r="T26" s="7"/>
    </row>
    <row r="27" spans="4:20" x14ac:dyDescent="0.25">
      <c r="D27" s="53" t="s">
        <v>20</v>
      </c>
      <c r="E27" s="7"/>
      <c r="F27" s="7"/>
      <c r="G27" s="7"/>
      <c r="H27" s="7"/>
      <c r="I27" s="7"/>
      <c r="J27" s="7"/>
      <c r="K27" s="7"/>
      <c r="L27" s="7"/>
      <c r="M27" s="7"/>
      <c r="N27" s="7"/>
      <c r="O27" s="7"/>
      <c r="P27" s="7"/>
      <c r="Q27" s="7"/>
      <c r="R27" s="7"/>
      <c r="S27" s="7"/>
      <c r="T27" s="7"/>
    </row>
    <row r="28" spans="4:20" x14ac:dyDescent="0.25">
      <c r="J28" s="8"/>
      <c r="K28" s="8"/>
    </row>
    <row r="29" spans="4:20" x14ac:dyDescent="0.25">
      <c r="D29" s="21" t="s">
        <v>10</v>
      </c>
      <c r="E29" s="22">
        <v>14588.941999999999</v>
      </c>
      <c r="F29" s="22">
        <v>17381.567999999999</v>
      </c>
      <c r="G29" s="22">
        <v>42723.445</v>
      </c>
      <c r="H29" s="22">
        <v>55456.180999999997</v>
      </c>
      <c r="I29" s="22">
        <f>(57343697+33875900)/1000</f>
        <v>91219.596999999994</v>
      </c>
      <c r="J29" s="22">
        <v>103589.401</v>
      </c>
      <c r="K29" s="22">
        <f>+'SUPUESTOS DE PROYECCIÓN'!I96</f>
        <v>282990.21875013702</v>
      </c>
      <c r="L29" s="22">
        <f>+'SUPUESTOS DE PROYECCIÓN'!J96</f>
        <v>284839.82802301372</v>
      </c>
      <c r="M29" s="22">
        <f>+'SUPUESTOS DE PROYECCIÓN'!K96</f>
        <v>313323.81082531513</v>
      </c>
      <c r="N29" s="22">
        <f>+'SUPUESTOS DE PROYECCIÓN'!L96</f>
        <v>344656.19190784666</v>
      </c>
      <c r="O29" s="22">
        <f>+'SUPUESTOS DE PROYECCIÓN'!M96</f>
        <v>379121.81109863135</v>
      </c>
      <c r="P29" s="22">
        <f>+'SUPUESTOS DE PROYECCIÓN'!N96</f>
        <v>417033.99220849457</v>
      </c>
      <c r="Q29" s="22">
        <f>+'SUPUESTOS DE PROYECCIÓN'!O96</f>
        <v>458737.39142934402</v>
      </c>
      <c r="R29" s="22">
        <f>+'SUPUESTOS DE PROYECCIÓN'!P96</f>
        <v>504611.13057227852</v>
      </c>
      <c r="S29" s="22">
        <f>+'SUPUESTOS DE PROYECCIÓN'!Q96</f>
        <v>555072.24362950644</v>
      </c>
      <c r="T29" s="22">
        <f>+'SUPUESTOS DE PROYECCIÓN'!R96</f>
        <v>610579.4679924571</v>
      </c>
    </row>
    <row r="30" spans="4:20" x14ac:dyDescent="0.25">
      <c r="D30" s="21" t="s">
        <v>4</v>
      </c>
      <c r="E30" s="22">
        <v>4038.902</v>
      </c>
      <c r="F30" s="22">
        <v>3817.8090000000002</v>
      </c>
      <c r="G30" s="22">
        <v>34747.006000000001</v>
      </c>
      <c r="H30" s="22">
        <v>30126.844000000001</v>
      </c>
      <c r="I30" s="22">
        <v>105658.2</v>
      </c>
      <c r="J30" s="22">
        <v>143641.973</v>
      </c>
      <c r="K30" s="22">
        <f>+'SUPUESTOS DE PROYECCIÓN'!I99</f>
        <v>143344.71864794521</v>
      </c>
      <c r="L30" s="22">
        <f>+'SUPUESTOS DE PROYECCIÓN'!J99</f>
        <v>147506.33951191782</v>
      </c>
      <c r="M30" s="22">
        <f>+'SUPUESTOS DE PROYECCIÓN'!K99</f>
        <v>162256.97346310961</v>
      </c>
      <c r="N30" s="22">
        <f>+'SUPUESTOS DE PROYECCIÓN'!L99</f>
        <v>178482.67080942061</v>
      </c>
      <c r="O30" s="22">
        <f>+'SUPUESTOS DE PROYECCIÓN'!M99</f>
        <v>196330.93789036266</v>
      </c>
      <c r="P30" s="22">
        <f>+'SUPUESTOS DE PROYECCIÓN'!N99</f>
        <v>215964.03167939896</v>
      </c>
      <c r="Q30" s="22">
        <f>+'SUPUESTOS DE PROYECCIÓN'!O99</f>
        <v>237560.43484733888</v>
      </c>
      <c r="R30" s="22">
        <f>+'SUPUESTOS DE PROYECCIÓN'!P99</f>
        <v>261316.47833207279</v>
      </c>
      <c r="S30" s="22">
        <f>+'SUPUESTOS DE PROYECCIÓN'!Q99</f>
        <v>287448.12616528012</v>
      </c>
      <c r="T30" s="22">
        <f>+'SUPUESTOS DE PROYECCIÓN'!R99</f>
        <v>316192.93878180813</v>
      </c>
    </row>
    <row r="31" spans="4:20" x14ac:dyDescent="0.25">
      <c r="D31" s="21" t="s">
        <v>11</v>
      </c>
      <c r="E31" s="22">
        <v>8735.9259999999995</v>
      </c>
      <c r="F31" s="22">
        <v>23342.565999999999</v>
      </c>
      <c r="G31" s="22">
        <v>35035.629999999997</v>
      </c>
      <c r="H31" s="22">
        <v>54655.214999999997</v>
      </c>
      <c r="I31" s="22">
        <v>45805.290999999997</v>
      </c>
      <c r="J31" s="22">
        <v>41902.521999999997</v>
      </c>
      <c r="K31" s="22">
        <f>+'SUPUESTOS DE PROYECCIÓN'!I102</f>
        <v>45254.723759999993</v>
      </c>
      <c r="L31" s="22">
        <f>+'SUPUESTOS DE PROYECCIÓN'!J102</f>
        <v>48875.101660799992</v>
      </c>
      <c r="M31" s="22">
        <f>+'SUPUESTOS DE PROYECCIÓN'!K102</f>
        <v>52785.109793663993</v>
      </c>
      <c r="N31" s="22">
        <f>+'SUPUESTOS DE PROYECCIÓN'!L102</f>
        <v>57007.918577157114</v>
      </c>
      <c r="O31" s="22">
        <f>+'SUPUESTOS DE PROYECCIÓN'!M102</f>
        <v>61568.552063329684</v>
      </c>
      <c r="P31" s="22">
        <f>+'SUPUESTOS DE PROYECCIÓN'!N102</f>
        <v>66494.036228396057</v>
      </c>
      <c r="Q31" s="22">
        <f>+'SUPUESTOS DE PROYECCIÓN'!O102</f>
        <v>71813.559126667737</v>
      </c>
      <c r="R31" s="22">
        <f>+'SUPUESTOS DE PROYECCIÓN'!P102</f>
        <v>77558.643856801151</v>
      </c>
      <c r="S31" s="22">
        <f>+'SUPUESTOS DE PROYECCIÓN'!Q102</f>
        <v>83763.335365345236</v>
      </c>
      <c r="T31" s="22">
        <f>+'SUPUESTOS DE PROYECCIÓN'!R102</f>
        <v>90464.40219457286</v>
      </c>
    </row>
    <row r="32" spans="4:20" x14ac:dyDescent="0.25">
      <c r="D32" s="21" t="s">
        <v>12</v>
      </c>
      <c r="E32" s="22">
        <v>77848.429000000004</v>
      </c>
      <c r="F32" s="22">
        <v>77533.066999999995</v>
      </c>
      <c r="G32" s="22">
        <v>88694.164000000004</v>
      </c>
      <c r="H32" s="22">
        <v>57471.796000000002</v>
      </c>
      <c r="I32" s="22">
        <v>43030.550999999999</v>
      </c>
      <c r="J32" s="22">
        <v>36645.315000000002</v>
      </c>
      <c r="K32" s="22">
        <f>+'SUPUESTOS DE PROYECCIÓN'!I105</f>
        <v>42852.315000000002</v>
      </c>
      <c r="L32" s="22">
        <f>+'SUPUESTOS DE PROYECCIÓN'!J105</f>
        <v>49059.315000000002</v>
      </c>
      <c r="M32" s="22">
        <f>+'SUPUESTOS DE PROYECCIÓN'!K105</f>
        <v>55266.315000000002</v>
      </c>
      <c r="N32" s="22">
        <f>+'SUPUESTOS DE PROYECCIÓN'!L105</f>
        <v>61473.315000000002</v>
      </c>
      <c r="O32" s="22">
        <f>+'SUPUESTOS DE PROYECCIÓN'!M105</f>
        <v>67680.315000000002</v>
      </c>
      <c r="P32" s="22">
        <f>+'SUPUESTOS DE PROYECCIÓN'!N105</f>
        <v>73887.315000000002</v>
      </c>
      <c r="Q32" s="22">
        <f>+'SUPUESTOS DE PROYECCIÓN'!O105</f>
        <v>80094.315000000002</v>
      </c>
      <c r="R32" s="22">
        <f>+'SUPUESTOS DE PROYECCIÓN'!P105</f>
        <v>86301.315000000002</v>
      </c>
      <c r="S32" s="22">
        <f>+'SUPUESTOS DE PROYECCIÓN'!Q105</f>
        <v>92508.315000000002</v>
      </c>
      <c r="T32" s="22">
        <f>+'SUPUESTOS DE PROYECCIÓN'!R105</f>
        <v>98715.315000000002</v>
      </c>
    </row>
    <row r="33" spans="4:20" hidden="1" x14ac:dyDescent="0.25">
      <c r="D33" s="21" t="s">
        <v>7</v>
      </c>
      <c r="E33" s="22">
        <v>0</v>
      </c>
      <c r="F33" s="22">
        <v>2076.3389999999999</v>
      </c>
      <c r="G33" s="22">
        <v>2053.6010000000001</v>
      </c>
      <c r="H33" s="22">
        <v>984.05700000000002</v>
      </c>
      <c r="I33" s="22">
        <v>262.185</v>
      </c>
      <c r="J33" s="22">
        <v>95.915999999999997</v>
      </c>
      <c r="K33" s="22">
        <v>0</v>
      </c>
      <c r="L33" s="22">
        <v>0</v>
      </c>
      <c r="M33" s="22">
        <v>0</v>
      </c>
      <c r="N33" s="22">
        <v>0</v>
      </c>
      <c r="O33" s="22">
        <v>0</v>
      </c>
      <c r="P33" s="22">
        <v>0</v>
      </c>
      <c r="Q33" s="22">
        <v>0</v>
      </c>
      <c r="R33" s="22">
        <v>0</v>
      </c>
      <c r="S33" s="22">
        <v>0</v>
      </c>
      <c r="T33" s="22">
        <v>0</v>
      </c>
    </row>
    <row r="34" spans="4:20" x14ac:dyDescent="0.25">
      <c r="D34" s="21" t="s">
        <v>8</v>
      </c>
      <c r="E34" s="22">
        <v>132228.54300000001</v>
      </c>
      <c r="F34" s="22">
        <v>178092.23699999999</v>
      </c>
      <c r="G34" s="22">
        <v>40502.411999999997</v>
      </c>
      <c r="H34" s="22">
        <v>96780.870999999999</v>
      </c>
      <c r="I34" s="22">
        <f>(94049531+198580780)/1000</f>
        <v>292630.31099999999</v>
      </c>
      <c r="J34" s="22">
        <v>282060.28399999999</v>
      </c>
      <c r="K34" s="22">
        <f>+'SUPUESTOS DE PROYECCIÓN'!I112</f>
        <v>282060.28399999999</v>
      </c>
      <c r="L34" s="22">
        <f>+'SUPUESTOS DE PROYECCIÓN'!J112</f>
        <v>283470.58541999996</v>
      </c>
      <c r="M34" s="22">
        <f>+'SUPUESTOS DE PROYECCIÓN'!K112</f>
        <v>289139.99712839996</v>
      </c>
      <c r="N34" s="22">
        <f>+'SUPUESTOS DE PROYECCIÓN'!L112</f>
        <v>294922.79707096796</v>
      </c>
      <c r="O34" s="22">
        <f>+'SUPUESTOS DE PROYECCIÓN'!M112</f>
        <v>300821.25301238731</v>
      </c>
      <c r="P34" s="22">
        <f>+'SUPUESTOS DE PROYECCIÓN'!N112</f>
        <v>306837.67807263508</v>
      </c>
      <c r="Q34" s="22">
        <f>+'SUPUESTOS DE PROYECCIÓN'!O112</f>
        <v>312974.43163408781</v>
      </c>
      <c r="R34" s="22">
        <f>+'SUPUESTOS DE PROYECCIÓN'!P112</f>
        <v>319233.92026676959</v>
      </c>
      <c r="S34" s="22">
        <f>+'SUPUESTOS DE PROYECCIÓN'!Q112</f>
        <v>325618.598672105</v>
      </c>
      <c r="T34" s="22">
        <f>+'SUPUESTOS DE PROYECCIÓN'!R112</f>
        <v>332130.97064554709</v>
      </c>
    </row>
    <row r="36" spans="4:20" x14ac:dyDescent="0.25">
      <c r="D36" s="53" t="s">
        <v>14</v>
      </c>
      <c r="E36" s="7">
        <f>SUM(E29:E34)</f>
        <v>237440.742</v>
      </c>
      <c r="F36" s="7">
        <f t="shared" ref="F36:T36" si="1">SUM(F29:F34)</f>
        <v>302243.58600000001</v>
      </c>
      <c r="G36" s="7">
        <f t="shared" si="1"/>
        <v>243756.25799999997</v>
      </c>
      <c r="H36" s="7">
        <f t="shared" si="1"/>
        <v>295474.96399999998</v>
      </c>
      <c r="I36" s="7">
        <f t="shared" si="1"/>
        <v>578606.13500000001</v>
      </c>
      <c r="J36" s="7">
        <f t="shared" si="1"/>
        <v>607935.41100000008</v>
      </c>
      <c r="K36" s="7">
        <f t="shared" si="1"/>
        <v>796502.26015808224</v>
      </c>
      <c r="L36" s="7">
        <f t="shared" si="1"/>
        <v>813751.16961573157</v>
      </c>
      <c r="M36" s="7">
        <f t="shared" si="1"/>
        <v>872772.20621048869</v>
      </c>
      <c r="N36" s="7">
        <f t="shared" si="1"/>
        <v>936542.89336539223</v>
      </c>
      <c r="O36" s="7">
        <f t="shared" si="1"/>
        <v>1005522.869064711</v>
      </c>
      <c r="P36" s="7">
        <f t="shared" si="1"/>
        <v>1080217.0531889247</v>
      </c>
      <c r="Q36" s="7">
        <f t="shared" si="1"/>
        <v>1161180.1320374385</v>
      </c>
      <c r="R36" s="7">
        <f t="shared" si="1"/>
        <v>1249021.4880279219</v>
      </c>
      <c r="S36" s="7">
        <f t="shared" si="1"/>
        <v>1344410.6188322369</v>
      </c>
      <c r="T36" s="7">
        <f t="shared" si="1"/>
        <v>1448083.0946143852</v>
      </c>
    </row>
    <row r="38" spans="4:20" ht="15.75" customHeight="1" x14ac:dyDescent="0.25">
      <c r="D38" s="53" t="s">
        <v>13</v>
      </c>
      <c r="E38" s="7">
        <f>+E25+E36</f>
        <v>333941.02600000001</v>
      </c>
      <c r="F38" s="7">
        <f t="shared" ref="F38:T38" si="2">+F25+F36</f>
        <v>407689.44700000004</v>
      </c>
      <c r="G38" s="7">
        <f t="shared" si="2"/>
        <v>508747.04599999997</v>
      </c>
      <c r="H38" s="7">
        <f t="shared" si="2"/>
        <v>697582.14299999992</v>
      </c>
      <c r="I38" s="7">
        <f t="shared" si="2"/>
        <v>809041.67200000002</v>
      </c>
      <c r="J38" s="7">
        <f t="shared" si="2"/>
        <v>856808.99500000011</v>
      </c>
      <c r="K38" s="7">
        <f t="shared" si="2"/>
        <v>1046199.5119964384</v>
      </c>
      <c r="L38" s="7">
        <f t="shared" si="2"/>
        <v>1072141.5850366084</v>
      </c>
      <c r="M38" s="7">
        <f t="shared" si="2"/>
        <v>1149168.5679028202</v>
      </c>
      <c r="N38" s="7">
        <f t="shared" si="2"/>
        <v>1230731.5714581613</v>
      </c>
      <c r="O38" s="7">
        <f t="shared" si="2"/>
        <v>1318298.3632210819</v>
      </c>
      <c r="P38" s="7">
        <f t="shared" si="2"/>
        <v>1412354.8398406899</v>
      </c>
      <c r="Q38" s="7">
        <f t="shared" si="2"/>
        <v>1513424.9147421136</v>
      </c>
      <c r="R38" s="7">
        <f t="shared" si="2"/>
        <v>1623875.4707387574</v>
      </c>
      <c r="S38" s="7">
        <f t="shared" si="2"/>
        <v>1742873.1937234183</v>
      </c>
      <c r="T38" s="7">
        <f t="shared" si="2"/>
        <v>1871127.4402948734</v>
      </c>
    </row>
    <row r="39" spans="4:20" hidden="1" x14ac:dyDescent="0.25"/>
    <row r="40" spans="4:20" hidden="1" x14ac:dyDescent="0.25">
      <c r="D40" s="21" t="s">
        <v>15</v>
      </c>
      <c r="E40" s="22">
        <v>36190.843000000001</v>
      </c>
      <c r="F40" s="22">
        <v>177148.125</v>
      </c>
      <c r="G40" s="22">
        <v>159498.82500000001</v>
      </c>
      <c r="H40" s="22">
        <v>476985.99400000001</v>
      </c>
      <c r="I40" s="22">
        <v>882250.30500000005</v>
      </c>
      <c r="J40" s="22">
        <v>1036367.688</v>
      </c>
      <c r="K40" s="22">
        <v>0</v>
      </c>
      <c r="L40" s="22">
        <v>0</v>
      </c>
      <c r="M40" s="22">
        <v>0</v>
      </c>
      <c r="N40" s="22">
        <v>0</v>
      </c>
      <c r="O40" s="22">
        <v>0</v>
      </c>
      <c r="P40" s="22">
        <v>0</v>
      </c>
      <c r="Q40" s="22">
        <v>0</v>
      </c>
      <c r="R40" s="22">
        <v>0</v>
      </c>
      <c r="S40" s="22">
        <v>0</v>
      </c>
      <c r="T40" s="22">
        <v>0</v>
      </c>
    </row>
    <row r="41" spans="4:20" hidden="1" x14ac:dyDescent="0.25">
      <c r="D41" s="21" t="s">
        <v>16</v>
      </c>
      <c r="E41" s="22">
        <v>0</v>
      </c>
      <c r="F41" s="22">
        <v>0</v>
      </c>
      <c r="G41" s="22">
        <v>219793.37299999999</v>
      </c>
      <c r="H41" s="22">
        <v>120905.719</v>
      </c>
      <c r="I41" s="22">
        <v>186581.10200000001</v>
      </c>
      <c r="J41" s="22">
        <v>218295.45699999999</v>
      </c>
      <c r="K41" s="22">
        <v>0</v>
      </c>
      <c r="L41" s="22">
        <v>0</v>
      </c>
      <c r="M41" s="22">
        <v>0</v>
      </c>
      <c r="N41" s="22">
        <v>0</v>
      </c>
      <c r="O41" s="22">
        <v>0</v>
      </c>
      <c r="P41" s="22">
        <v>0</v>
      </c>
      <c r="Q41" s="22">
        <v>0</v>
      </c>
      <c r="R41" s="22">
        <v>0</v>
      </c>
      <c r="S41" s="22">
        <v>0</v>
      </c>
      <c r="T41" s="22">
        <v>0</v>
      </c>
    </row>
    <row r="42" spans="4:20" hidden="1" x14ac:dyDescent="0.25"/>
    <row r="43" spans="4:20" hidden="1" x14ac:dyDescent="0.25">
      <c r="D43" s="53" t="s">
        <v>17</v>
      </c>
      <c r="E43" s="7">
        <f>SUM(E40:E41)</f>
        <v>36190.843000000001</v>
      </c>
      <c r="F43" s="7">
        <f t="shared" ref="F43:T43" si="3">SUM(F40:F41)</f>
        <v>177148.125</v>
      </c>
      <c r="G43" s="7">
        <f t="shared" si="3"/>
        <v>379292.19799999997</v>
      </c>
      <c r="H43" s="7">
        <f t="shared" si="3"/>
        <v>597891.71299999999</v>
      </c>
      <c r="I43" s="7">
        <f t="shared" si="3"/>
        <v>1068831.4070000001</v>
      </c>
      <c r="J43" s="7">
        <f t="shared" si="3"/>
        <v>1254663.145</v>
      </c>
      <c r="K43" s="7">
        <f t="shared" si="3"/>
        <v>0</v>
      </c>
      <c r="L43" s="7">
        <f t="shared" si="3"/>
        <v>0</v>
      </c>
      <c r="M43" s="7">
        <f t="shared" si="3"/>
        <v>0</v>
      </c>
      <c r="N43" s="7">
        <f t="shared" si="3"/>
        <v>0</v>
      </c>
      <c r="O43" s="7">
        <f t="shared" si="3"/>
        <v>0</v>
      </c>
      <c r="P43" s="7">
        <f t="shared" si="3"/>
        <v>0</v>
      </c>
      <c r="Q43" s="7">
        <f t="shared" si="3"/>
        <v>0</v>
      </c>
      <c r="R43" s="7">
        <f t="shared" si="3"/>
        <v>0</v>
      </c>
      <c r="S43" s="7">
        <f t="shared" si="3"/>
        <v>0</v>
      </c>
      <c r="T43" s="7">
        <f t="shared" si="3"/>
        <v>0</v>
      </c>
    </row>
    <row r="45" spans="4:20" x14ac:dyDescent="0.25">
      <c r="D45" s="53" t="s">
        <v>18</v>
      </c>
    </row>
    <row r="46" spans="4:20" x14ac:dyDescent="0.25">
      <c r="E46" s="141"/>
      <c r="F46" s="141"/>
      <c r="G46" s="141"/>
      <c r="H46" s="141"/>
      <c r="I46" s="141"/>
      <c r="J46" s="141"/>
    </row>
    <row r="47" spans="4:20" x14ac:dyDescent="0.25">
      <c r="D47" s="53" t="s">
        <v>19</v>
      </c>
      <c r="F47" s="141"/>
      <c r="G47" s="141"/>
      <c r="H47" s="141"/>
      <c r="I47" s="141"/>
      <c r="J47" s="141"/>
    </row>
    <row r="48" spans="4:20" x14ac:dyDescent="0.25">
      <c r="E48" s="8"/>
      <c r="F48" s="8"/>
      <c r="G48" s="8"/>
      <c r="H48" s="8"/>
      <c r="I48" s="8"/>
      <c r="J48" s="8"/>
      <c r="K48" s="8"/>
    </row>
    <row r="49" spans="4:20" x14ac:dyDescent="0.25">
      <c r="D49" s="21" t="s">
        <v>21</v>
      </c>
      <c r="E49" s="22">
        <v>22474.5</v>
      </c>
      <c r="F49" s="22">
        <v>29066.067999999999</v>
      </c>
      <c r="G49" s="22">
        <v>63005.417000000001</v>
      </c>
      <c r="H49" s="22">
        <v>81943.252999999997</v>
      </c>
      <c r="I49" s="22">
        <v>23455.621999999999</v>
      </c>
      <c r="J49" s="22">
        <v>11080</v>
      </c>
      <c r="K49" s="22">
        <f>+'SUPUESTOS DE PROYECCIÓN'!I119</f>
        <v>28830.400000000001</v>
      </c>
      <c r="L49" s="22">
        <f>+'SUPUESTOS DE PROYECCIÓN'!J119</f>
        <v>42001.04</v>
      </c>
      <c r="M49" s="22">
        <f>+'SUPUESTOS DE PROYECCIÓN'!K119</f>
        <v>45361.123200000002</v>
      </c>
      <c r="N49" s="22">
        <f>+'SUPUESTOS DE PROYECCIÓN'!L119</f>
        <v>48990.013056000003</v>
      </c>
      <c r="O49" s="22">
        <f>+'SUPUESTOS DE PROYECCIÓN'!M119</f>
        <v>52909.214100480007</v>
      </c>
      <c r="P49" s="22">
        <f>+'SUPUESTOS DE PROYECCIÓN'!N119</f>
        <v>57141.95122851841</v>
      </c>
      <c r="Q49" s="22">
        <f>+'SUPUESTOS DE PROYECCIÓN'!O119</f>
        <v>61713.307326799884</v>
      </c>
      <c r="R49" s="22">
        <f>+'SUPUESTOS DE PROYECCIÓN'!P119</f>
        <v>66650.371912943869</v>
      </c>
      <c r="S49" s="22">
        <f>+'SUPUESTOS DE PROYECCIÓN'!Q119</f>
        <v>71982.401665979385</v>
      </c>
      <c r="T49" s="22">
        <f>+'SUPUESTOS DE PROYECCIÓN'!R119</f>
        <v>77740.993799257732</v>
      </c>
    </row>
    <row r="50" spans="4:20" x14ac:dyDescent="0.25">
      <c r="D50" s="21" t="s">
        <v>22</v>
      </c>
      <c r="E50" s="22">
        <v>9540.7090000000007</v>
      </c>
      <c r="F50" s="22">
        <v>8402.7180000000008</v>
      </c>
      <c r="G50" s="22">
        <v>19673.646000000001</v>
      </c>
      <c r="H50" s="22">
        <v>17024.421999999999</v>
      </c>
      <c r="I50" s="22">
        <v>15109.566000000001</v>
      </c>
      <c r="J50" s="22">
        <v>11904.644</v>
      </c>
      <c r="K50" s="22">
        <f>+'SUPUESTOS DE PROYECCIÓN'!I122</f>
        <v>30475.888400000003</v>
      </c>
      <c r="L50" s="22">
        <f>+'SUPUESTOS DE PROYECCIÓN'!J122</f>
        <v>41142.449340000006</v>
      </c>
      <c r="M50" s="22">
        <f>+'SUPUESTOS DE PROYECCIÓN'!K122</f>
        <v>44433.845287200005</v>
      </c>
      <c r="N50" s="22">
        <f>+'SUPUESTOS DE PROYECCIÓN'!L122</f>
        <v>47988.552910176004</v>
      </c>
      <c r="O50" s="22">
        <f>+'SUPUESTOS DE PROYECCIÓN'!M122</f>
        <v>51827.637142990083</v>
      </c>
      <c r="P50" s="22">
        <f>+'SUPUESTOS DE PROYECCIÓN'!N122</f>
        <v>55973.848114429289</v>
      </c>
      <c r="Q50" s="22">
        <f>+'SUPUESTOS DE PROYECCIÓN'!O122</f>
        <v>60451.75596358363</v>
      </c>
      <c r="R50" s="22">
        <f>+'SUPUESTOS DE PROYECCIÓN'!P122</f>
        <v>65287.896440670316</v>
      </c>
      <c r="S50" s="22">
        <f>+'SUPUESTOS DE PROYECCIÓN'!Q122</f>
        <v>70510.928155923946</v>
      </c>
      <c r="T50" s="22">
        <f>+'SUPUESTOS DE PROYECCIÓN'!R122</f>
        <v>76151.802408397867</v>
      </c>
    </row>
    <row r="51" spans="4:20" x14ac:dyDescent="0.25">
      <c r="D51" s="21" t="s">
        <v>23</v>
      </c>
      <c r="E51" s="22">
        <v>3292.84</v>
      </c>
      <c r="F51" s="22">
        <v>1643.163</v>
      </c>
      <c r="G51" s="22">
        <v>4578.1959999999999</v>
      </c>
      <c r="H51" s="22">
        <v>4525.5810000000001</v>
      </c>
      <c r="I51" s="22">
        <v>2541.77</v>
      </c>
      <c r="J51" s="22">
        <v>5025.8140000000003</v>
      </c>
      <c r="K51" s="22">
        <f>+'SUPUESTOS DE PROYECCIÓN'!I125</f>
        <v>12022.460273698633</v>
      </c>
      <c r="L51" s="22">
        <f>+'SUPUESTOS DE PROYECCIÓN'!J125</f>
        <v>13224.706301068496</v>
      </c>
      <c r="M51" s="22">
        <f>+'SUPUESTOS DE PROYECCIÓN'!K125</f>
        <v>14547.176931175345</v>
      </c>
      <c r="N51" s="22">
        <f>+'SUPUESTOS DE PROYECCIÓN'!L125</f>
        <v>16001.894624292881</v>
      </c>
      <c r="O51" s="22">
        <f>+'SUPUESTOS DE PROYECCIÓN'!M125</f>
        <v>17602.08408672217</v>
      </c>
      <c r="P51" s="22">
        <f>+'SUPUESTOS DE PROYECCIÓN'!N125</f>
        <v>19362.292495394391</v>
      </c>
      <c r="Q51" s="22">
        <f>+'SUPUESTOS DE PROYECCIÓN'!O125</f>
        <v>21298.521744933831</v>
      </c>
      <c r="R51" s="22">
        <f>+'SUPUESTOS DE PROYECCIÓN'!P125</f>
        <v>23428.373919427217</v>
      </c>
      <c r="S51" s="22">
        <f>+'SUPUESTOS DE PROYECCIÓN'!Q125</f>
        <v>25771.211311369942</v>
      </c>
      <c r="T51" s="22">
        <f>+'SUPUESTOS DE PROYECCIÓN'!R125</f>
        <v>28348.33244250694</v>
      </c>
    </row>
    <row r="52" spans="4:20" x14ac:dyDescent="0.25">
      <c r="D52" s="21" t="s">
        <v>24</v>
      </c>
      <c r="E52" s="22">
        <v>8088.0770000000002</v>
      </c>
      <c r="F52" s="22">
        <v>5367.6670000000004</v>
      </c>
      <c r="G52" s="22">
        <v>5790.3339999999998</v>
      </c>
      <c r="H52" s="22">
        <v>62953.584999999999</v>
      </c>
      <c r="I52" s="22">
        <v>55371.131999999998</v>
      </c>
      <c r="J52" s="22">
        <v>50949.726000000002</v>
      </c>
      <c r="K52" s="22">
        <f>+'SUPUESTOS DE PROYECCIÓN'!I128</f>
        <v>55488.278186301373</v>
      </c>
      <c r="L52" s="22">
        <f>+'SUPUESTOS DE PROYECCIÓN'!J128</f>
        <v>61037.106004931513</v>
      </c>
      <c r="M52" s="22">
        <f>+'SUPUESTOS DE PROYECCIÓN'!K128</f>
        <v>67140.816605424669</v>
      </c>
      <c r="N52" s="22">
        <f>+'SUPUESTOS DE PROYECCIÓN'!L128</f>
        <v>73854.898265967146</v>
      </c>
      <c r="O52" s="22">
        <f>+'SUPUESTOS DE PROYECCIÓN'!M128</f>
        <v>81240.388092563866</v>
      </c>
      <c r="P52" s="22">
        <f>+'SUPUESTOS DE PROYECCIÓN'!N128</f>
        <v>89364.426901820261</v>
      </c>
      <c r="Q52" s="22">
        <f>+'SUPUESTOS DE PROYECCIÓN'!O128</f>
        <v>98300.869592002287</v>
      </c>
      <c r="R52" s="22">
        <f>+'SUPUESTOS DE PROYECCIÓN'!P128</f>
        <v>108130.95655120253</v>
      </c>
      <c r="S52" s="22">
        <f>+'SUPUESTOS DE PROYECCIÓN'!Q128</f>
        <v>118944.05220632281</v>
      </c>
      <c r="T52" s="22">
        <f>+'SUPUESTOS DE PROYECCIÓN'!R128</f>
        <v>130838.45742695509</v>
      </c>
    </row>
    <row r="53" spans="4:20" hidden="1" x14ac:dyDescent="0.25">
      <c r="D53" s="21" t="s">
        <v>25</v>
      </c>
      <c r="E53" s="22">
        <v>3582.623</v>
      </c>
      <c r="F53" s="22">
        <v>5008.3739999999998</v>
      </c>
      <c r="G53" s="22">
        <v>1156.163</v>
      </c>
      <c r="H53" s="22">
        <v>315.03899999999999</v>
      </c>
      <c r="I53" s="22">
        <v>390.67599999999999</v>
      </c>
      <c r="J53" s="22">
        <v>452.55</v>
      </c>
      <c r="K53" s="22">
        <v>0</v>
      </c>
      <c r="L53" s="22">
        <v>0</v>
      </c>
      <c r="M53" s="22">
        <v>0</v>
      </c>
      <c r="N53" s="22">
        <v>0</v>
      </c>
      <c r="O53" s="22">
        <v>0</v>
      </c>
      <c r="P53" s="22">
        <v>0</v>
      </c>
      <c r="Q53" s="22">
        <v>0</v>
      </c>
      <c r="R53" s="22">
        <v>0</v>
      </c>
      <c r="S53" s="22">
        <v>0</v>
      </c>
      <c r="T53" s="22">
        <v>0</v>
      </c>
    </row>
    <row r="54" spans="4:20" hidden="1" x14ac:dyDescent="0.25">
      <c r="D54" s="21" t="s">
        <v>26</v>
      </c>
      <c r="E54" s="22">
        <v>0</v>
      </c>
      <c r="F54" s="22">
        <v>0</v>
      </c>
      <c r="G54" s="22">
        <v>0</v>
      </c>
      <c r="H54" s="22">
        <v>1510.962</v>
      </c>
      <c r="I54" s="22">
        <v>1510.963</v>
      </c>
      <c r="J54" s="22">
        <v>1510.96</v>
      </c>
      <c r="K54" s="22">
        <v>0</v>
      </c>
      <c r="L54" s="22">
        <v>0</v>
      </c>
      <c r="M54" s="22">
        <v>0</v>
      </c>
      <c r="N54" s="22">
        <v>0</v>
      </c>
      <c r="O54" s="22">
        <v>0</v>
      </c>
      <c r="P54" s="22">
        <v>0</v>
      </c>
      <c r="Q54" s="22">
        <v>0</v>
      </c>
      <c r="R54" s="22">
        <v>0</v>
      </c>
      <c r="S54" s="22">
        <v>0</v>
      </c>
      <c r="T54" s="22">
        <v>0</v>
      </c>
    </row>
    <row r="55" spans="4:20" x14ac:dyDescent="0.25">
      <c r="D55" s="21" t="s">
        <v>27</v>
      </c>
      <c r="E55" s="22">
        <v>929.529</v>
      </c>
      <c r="F55" s="22">
        <v>766.96199999999999</v>
      </c>
      <c r="G55" s="22">
        <v>875.72900000000004</v>
      </c>
      <c r="H55" s="22">
        <v>1684.1869999999999</v>
      </c>
      <c r="I55" s="22">
        <v>1584.7090000000001</v>
      </c>
      <c r="J55" s="22">
        <v>2085.8519999999999</v>
      </c>
      <c r="K55" s="22">
        <f>+'SUPUESTOS DE PROYECCIÓN'!I131</f>
        <v>3128.7779999999998</v>
      </c>
      <c r="L55" s="22">
        <f>+'SUPUESTOS DE PROYECCIÓN'!J131</f>
        <v>4693.1669999999995</v>
      </c>
      <c r="M55" s="22">
        <f>+'SUPUESTOS DE PROYECCIÓN'!K131</f>
        <v>7039.7504999999992</v>
      </c>
      <c r="N55" s="22">
        <f>+'SUPUESTOS DE PROYECCIÓN'!L131</f>
        <v>10559.625749999999</v>
      </c>
      <c r="O55" s="22">
        <f>+'SUPUESTOS DE PROYECCIÓN'!M131</f>
        <v>15839.438624999999</v>
      </c>
      <c r="P55" s="22">
        <f>+'SUPUESTOS DE PROYECCIÓN'!N131</f>
        <v>22175.214075</v>
      </c>
      <c r="Q55" s="22">
        <f>+'SUPUESTOS DE PROYECCIÓN'!O131</f>
        <v>31045.299704999998</v>
      </c>
      <c r="R55" s="22">
        <f>+'SUPUESTOS DE PROYECCIÓN'!P131</f>
        <v>40358.889616499997</v>
      </c>
      <c r="S55" s="22">
        <f>+'SUPUESTOS DE PROYECCIÓN'!Q131</f>
        <v>48430.667539799993</v>
      </c>
      <c r="T55" s="22">
        <f>+'SUPUESTOS DE PROYECCIÓN'!R131</f>
        <v>58116.801047759989</v>
      </c>
    </row>
    <row r="56" spans="4:20" x14ac:dyDescent="0.25">
      <c r="D56" s="21" t="s">
        <v>28</v>
      </c>
      <c r="E56" s="22">
        <v>1446.519</v>
      </c>
      <c r="F56" s="22">
        <v>1150.384</v>
      </c>
      <c r="G56" s="22">
        <v>1292.568</v>
      </c>
      <c r="H56" s="22">
        <v>9162.518</v>
      </c>
      <c r="I56" s="22">
        <v>10304.258</v>
      </c>
      <c r="J56" s="22">
        <v>21778.981</v>
      </c>
      <c r="K56" s="22">
        <f>+'SUPUESTOS DE PROYECCIÓN'!I134</f>
        <v>30490.573400000001</v>
      </c>
      <c r="L56" s="22">
        <f>+'SUPUESTOS DE PROYECCIÓN'!J134</f>
        <v>42686.802760000006</v>
      </c>
      <c r="M56" s="22">
        <f>+'SUPUESTOS DE PROYECCIÓN'!K134</f>
        <v>51224.163312000004</v>
      </c>
      <c r="N56" s="22">
        <f>+'SUPUESTOS DE PROYECCIÓN'!L134</f>
        <v>61468.995974400008</v>
      </c>
      <c r="O56" s="22">
        <f>+'SUPUESTOS DE PROYECCIÓN'!M134</f>
        <v>73762.795169280012</v>
      </c>
      <c r="P56" s="22">
        <f>+'SUPUESTOS DE PROYECCIÓN'!N134</f>
        <v>88515.354203136012</v>
      </c>
      <c r="Q56" s="22">
        <f>+'SUPUESTOS DE PROYECCIÓN'!O134</f>
        <v>106218.42504376321</v>
      </c>
      <c r="R56" s="22">
        <f>+'SUPUESTOS DE PROYECCIÓN'!P134</f>
        <v>127462.11005251585</v>
      </c>
      <c r="S56" s="22">
        <f>+'SUPUESTOS DE PROYECCIÓN'!Q134</f>
        <v>152954.53206301903</v>
      </c>
      <c r="T56" s="22">
        <f>+'SUPUESTOS DE PROYECCIÓN'!R134</f>
        <v>183545.43847562282</v>
      </c>
    </row>
    <row r="57" spans="4:20" hidden="1" x14ac:dyDescent="0.25">
      <c r="D57" s="21" t="s">
        <v>29</v>
      </c>
      <c r="E57" s="22">
        <v>13190.617</v>
      </c>
      <c r="F57" s="22">
        <v>8211.3220000000001</v>
      </c>
      <c r="G57" s="22">
        <v>3561.7240000000002</v>
      </c>
      <c r="H57" s="22">
        <v>28226.412</v>
      </c>
      <c r="I57" s="22">
        <v>19594.642</v>
      </c>
      <c r="J57" s="22">
        <v>13186.516</v>
      </c>
      <c r="K57" s="22">
        <v>0</v>
      </c>
      <c r="L57" s="22">
        <v>0</v>
      </c>
      <c r="M57" s="22">
        <v>0</v>
      </c>
      <c r="N57" s="22">
        <v>0</v>
      </c>
      <c r="O57" s="22">
        <v>0</v>
      </c>
      <c r="P57" s="22">
        <v>0</v>
      </c>
      <c r="Q57" s="22">
        <v>0</v>
      </c>
      <c r="R57" s="22">
        <v>0</v>
      </c>
      <c r="S57" s="22">
        <v>0</v>
      </c>
      <c r="T57" s="22">
        <v>0</v>
      </c>
    </row>
    <row r="58" spans="4:20" hidden="1" x14ac:dyDescent="0.25">
      <c r="D58" s="21" t="s">
        <v>30</v>
      </c>
      <c r="E58" s="22">
        <v>0</v>
      </c>
      <c r="F58" s="22">
        <v>0</v>
      </c>
      <c r="G58" s="22">
        <v>0</v>
      </c>
      <c r="H58" s="22">
        <v>625.56500000000005</v>
      </c>
      <c r="I58" s="22">
        <v>2702.0610000000001</v>
      </c>
      <c r="J58" s="22">
        <v>0</v>
      </c>
      <c r="K58" s="22">
        <v>0</v>
      </c>
      <c r="L58" s="22">
        <v>0</v>
      </c>
      <c r="M58" s="22">
        <v>0</v>
      </c>
      <c r="N58" s="22">
        <v>0</v>
      </c>
      <c r="O58" s="22">
        <v>0</v>
      </c>
      <c r="P58" s="22">
        <v>0</v>
      </c>
      <c r="Q58" s="22">
        <v>0</v>
      </c>
      <c r="R58" s="22">
        <v>0</v>
      </c>
      <c r="S58" s="22">
        <v>0</v>
      </c>
      <c r="T58" s="22">
        <v>0</v>
      </c>
    </row>
    <row r="60" spans="4:20" x14ac:dyDescent="0.25">
      <c r="D60" s="53" t="s">
        <v>31</v>
      </c>
      <c r="E60" s="7">
        <f>SUM(E49:E58)</f>
        <v>62545.413999999997</v>
      </c>
      <c r="F60" s="7">
        <f t="shared" ref="F60:T60" si="4">SUM(F49:F58)</f>
        <v>59616.658000000003</v>
      </c>
      <c r="G60" s="7">
        <f t="shared" si="4"/>
        <v>99933.777000000002</v>
      </c>
      <c r="H60" s="7">
        <f t="shared" si="4"/>
        <v>207971.524</v>
      </c>
      <c r="I60" s="7">
        <f t="shared" si="4"/>
        <v>132565.399</v>
      </c>
      <c r="J60" s="7">
        <f t="shared" si="4"/>
        <v>117975.04300000002</v>
      </c>
      <c r="K60" s="7">
        <f t="shared" si="4"/>
        <v>160436.37826000003</v>
      </c>
      <c r="L60" s="7">
        <f t="shared" si="4"/>
        <v>204785.27140600001</v>
      </c>
      <c r="M60" s="7">
        <f t="shared" si="4"/>
        <v>229746.87583580002</v>
      </c>
      <c r="N60" s="7">
        <f t="shared" si="4"/>
        <v>258863.98058083607</v>
      </c>
      <c r="O60" s="7">
        <f t="shared" si="4"/>
        <v>293181.55721703614</v>
      </c>
      <c r="P60" s="7">
        <f t="shared" si="4"/>
        <v>332533.08701829833</v>
      </c>
      <c r="Q60" s="7">
        <f t="shared" si="4"/>
        <v>379028.17937608284</v>
      </c>
      <c r="R60" s="7">
        <f t="shared" si="4"/>
        <v>431318.59849325981</v>
      </c>
      <c r="S60" s="7">
        <f t="shared" si="4"/>
        <v>488593.79294241511</v>
      </c>
      <c r="T60" s="7">
        <f t="shared" si="4"/>
        <v>554741.82560050045</v>
      </c>
    </row>
    <row r="61" spans="4:20" x14ac:dyDescent="0.25">
      <c r="E61" s="8"/>
      <c r="F61" s="8"/>
      <c r="G61" s="8"/>
      <c r="H61" s="8"/>
      <c r="I61" s="8"/>
      <c r="J61" s="8"/>
    </row>
    <row r="62" spans="4:20" x14ac:dyDescent="0.25">
      <c r="D62" s="53" t="s">
        <v>37</v>
      </c>
      <c r="E62" s="8"/>
      <c r="F62" s="8"/>
      <c r="G62" s="8"/>
      <c r="H62" s="8"/>
      <c r="I62" s="8"/>
      <c r="J62" s="8"/>
    </row>
    <row r="63" spans="4:20" x14ac:dyDescent="0.25">
      <c r="E63" s="8"/>
      <c r="F63" s="8"/>
      <c r="G63" s="8"/>
      <c r="H63" s="8"/>
      <c r="I63" s="8"/>
      <c r="J63" s="8"/>
      <c r="K63" s="8"/>
    </row>
    <row r="64" spans="4:20" x14ac:dyDescent="0.25">
      <c r="D64" s="21" t="s">
        <v>21</v>
      </c>
      <c r="E64" s="22">
        <v>15290.475</v>
      </c>
      <c r="F64" s="22">
        <v>17000</v>
      </c>
      <c r="G64" s="22">
        <v>7000</v>
      </c>
      <c r="H64" s="22">
        <v>0</v>
      </c>
      <c r="I64" s="22">
        <v>21831.15</v>
      </c>
      <c r="J64" s="22">
        <v>29450.59</v>
      </c>
      <c r="K64" s="22">
        <f>+'SUPUESTOS DE PROYECCIÓN'!I139</f>
        <v>60037.049499999994</v>
      </c>
      <c r="L64" s="22">
        <f>+'SUPUESTOS DE PROYECCIÓN'!J139</f>
        <v>70463.557325000002</v>
      </c>
      <c r="M64" s="22">
        <f>+'SUPUESTOS DE PROYECCIÓN'!K139</f>
        <v>75087.674585999994</v>
      </c>
      <c r="N64" s="22">
        <f>+'SUPUESTOS DE PROYECCIÓN'!L139</f>
        <v>81094.68855287999</v>
      </c>
      <c r="O64" s="22">
        <f>+'SUPUESTOS DE PROYECCIÓN'!M139</f>
        <v>87582.263637110387</v>
      </c>
      <c r="P64" s="22">
        <f>+'SUPUESTOS DE PROYECCIÓN'!N139</f>
        <v>94588.844728079217</v>
      </c>
      <c r="Q64" s="22">
        <f>+'SUPUESTOS DE PROYECCIÓN'!O139</f>
        <v>102155.95230632555</v>
      </c>
      <c r="R64" s="22">
        <f>+'SUPUESTOS DE PROYECCIÓN'!P139</f>
        <v>110328.42849083159</v>
      </c>
      <c r="S64" s="22">
        <f>+'SUPUESTOS DE PROYECCIÓN'!Q139</f>
        <v>119154.70277009811</v>
      </c>
      <c r="T64" s="22">
        <f>+'SUPUESTOS DE PROYECCIÓN'!R139</f>
        <v>128687.07899170596</v>
      </c>
    </row>
    <row r="65" spans="4:20" x14ac:dyDescent="0.25">
      <c r="D65" s="21" t="s">
        <v>32</v>
      </c>
      <c r="E65" s="22">
        <v>32463.393</v>
      </c>
      <c r="F65" s="22">
        <v>43761.953000000001</v>
      </c>
      <c r="G65" s="22">
        <v>46752.567000000003</v>
      </c>
      <c r="H65" s="22">
        <v>35916.053999999996</v>
      </c>
      <c r="I65" s="22">
        <v>19076.620999999999</v>
      </c>
      <c r="J65" s="22">
        <v>8681.42</v>
      </c>
      <c r="K65" s="22">
        <f>+'SUPUESTOS DE PROYECCIÓN'!I142</f>
        <v>26450.581999999999</v>
      </c>
      <c r="L65" s="22">
        <f>+'SUPUESTOS DE PROYECCIÓN'!J142</f>
        <v>50708.285699999993</v>
      </c>
      <c r="M65" s="22">
        <f>+'SUPUESTOS DE PROYECCIÓN'!K142</f>
        <v>54764.948555999996</v>
      </c>
      <c r="N65" s="22">
        <f>+'SUPUESTOS DE PROYECCIÓN'!L142</f>
        <v>59146.144440479999</v>
      </c>
      <c r="O65" s="22">
        <f>+'SUPUESTOS DE PROYECCIÓN'!M142</f>
        <v>63877.8359957184</v>
      </c>
      <c r="P65" s="22">
        <f>+'SUPUESTOS DE PROYECCIÓN'!N142</f>
        <v>68988.062875375879</v>
      </c>
      <c r="Q65" s="22">
        <f>+'SUPUESTOS DE PROYECCIÓN'!O142</f>
        <v>74507.107905405952</v>
      </c>
      <c r="R65" s="22">
        <f>+'SUPUESTOS DE PROYECCIÓN'!P142</f>
        <v>80467.67653783843</v>
      </c>
      <c r="S65" s="22">
        <f>+'SUPUESTOS DE PROYECCIÓN'!Q142</f>
        <v>86905.090660865506</v>
      </c>
      <c r="T65" s="22">
        <f>+'SUPUESTOS DE PROYECCIÓN'!R142</f>
        <v>93857.49791373474</v>
      </c>
    </row>
    <row r="66" spans="4:20" x14ac:dyDescent="0.25">
      <c r="D66" s="21" t="s">
        <v>33</v>
      </c>
      <c r="E66" s="22">
        <v>5435.8310000000001</v>
      </c>
      <c r="F66" s="22">
        <v>4688.8959999999997</v>
      </c>
      <c r="G66" s="22">
        <v>3103.645</v>
      </c>
      <c r="H66" s="22">
        <v>9250.9320000000007</v>
      </c>
      <c r="I66" s="22">
        <v>13046.641</v>
      </c>
      <c r="J66" s="22">
        <v>12958.463</v>
      </c>
      <c r="K66" s="22">
        <f>+'SUPUESTOS DE PROYECCIÓN'!I145</f>
        <v>40702.602093150686</v>
      </c>
      <c r="L66" s="22">
        <f>+'SUPUESTOS DE PROYECCIÓN'!J145</f>
        <v>45777.829503698638</v>
      </c>
      <c r="M66" s="22">
        <f>+'SUPUESTOS DE PROYECCIÓN'!K145</f>
        <v>50355.612454068498</v>
      </c>
      <c r="N66" s="22">
        <f>+'SUPUESTOS DE PROYECCIÓN'!L145</f>
        <v>55391.173699475359</v>
      </c>
      <c r="O66" s="22">
        <f>+'SUPUESTOS DE PROYECCIÓN'!M145</f>
        <v>60930.291069422899</v>
      </c>
      <c r="P66" s="22">
        <f>+'SUPUESTOS DE PROYECCIÓN'!N145</f>
        <v>65533.913061334868</v>
      </c>
      <c r="Q66" s="22">
        <f>+'SUPUESTOS DE PROYECCIÓN'!O145</f>
        <v>72087.304367468358</v>
      </c>
      <c r="R66" s="22">
        <f>+'SUPUESTOS DE PROYECCIÓN'!P145</f>
        <v>79296.034804215204</v>
      </c>
      <c r="S66" s="22">
        <f>+'SUPUESTOS DE PROYECCIÓN'!Q145</f>
        <v>87225.638284636734</v>
      </c>
      <c r="T66" s="22">
        <f>+'SUPUESTOS DE PROYECCIÓN'!R145</f>
        <v>95948.202113100415</v>
      </c>
    </row>
    <row r="67" spans="4:20" hidden="1" x14ac:dyDescent="0.25">
      <c r="D67" s="21" t="s">
        <v>25</v>
      </c>
      <c r="E67" s="22">
        <v>0</v>
      </c>
      <c r="F67" s="22">
        <v>0</v>
      </c>
      <c r="G67" s="22">
        <v>0</v>
      </c>
      <c r="H67" s="22">
        <v>3021.922</v>
      </c>
      <c r="I67" s="22">
        <v>1510.96</v>
      </c>
      <c r="J67" s="22">
        <v>0</v>
      </c>
      <c r="K67" s="22">
        <v>0</v>
      </c>
      <c r="L67" s="22">
        <v>0</v>
      </c>
      <c r="M67" s="22">
        <v>0</v>
      </c>
      <c r="N67" s="22">
        <v>0</v>
      </c>
      <c r="O67" s="22">
        <v>0</v>
      </c>
      <c r="P67" s="22">
        <v>0</v>
      </c>
      <c r="Q67" s="22">
        <v>0</v>
      </c>
      <c r="R67" s="22">
        <v>0</v>
      </c>
      <c r="S67" s="22">
        <v>0</v>
      </c>
      <c r="T67" s="22">
        <v>0</v>
      </c>
    </row>
    <row r="68" spans="4:20" hidden="1" x14ac:dyDescent="0.25">
      <c r="D68" s="21" t="s">
        <v>34</v>
      </c>
      <c r="E68" s="22">
        <v>0</v>
      </c>
      <c r="F68" s="22">
        <v>0</v>
      </c>
      <c r="G68" s="22">
        <v>0</v>
      </c>
      <c r="H68" s="22">
        <v>204.8</v>
      </c>
      <c r="I68" s="22">
        <v>0</v>
      </c>
      <c r="J68" s="22">
        <v>0</v>
      </c>
      <c r="K68" s="22">
        <v>0</v>
      </c>
      <c r="L68" s="22">
        <v>0</v>
      </c>
      <c r="M68" s="22">
        <v>0</v>
      </c>
      <c r="N68" s="22">
        <v>0</v>
      </c>
      <c r="O68" s="22">
        <v>0</v>
      </c>
      <c r="P68" s="22">
        <v>0</v>
      </c>
      <c r="Q68" s="22">
        <v>0</v>
      </c>
      <c r="R68" s="22">
        <v>0</v>
      </c>
      <c r="S68" s="22">
        <v>0</v>
      </c>
      <c r="T68" s="22">
        <v>0</v>
      </c>
    </row>
    <row r="69" spans="4:20" hidden="1" x14ac:dyDescent="0.25">
      <c r="D69" s="21" t="s">
        <v>35</v>
      </c>
      <c r="E69" s="22">
        <v>559.44500000000005</v>
      </c>
      <c r="F69" s="22">
        <v>293.67700000000002</v>
      </c>
      <c r="G69" s="22">
        <v>166.721</v>
      </c>
      <c r="H69" s="22">
        <v>0</v>
      </c>
      <c r="I69" s="22">
        <v>0</v>
      </c>
      <c r="J69" s="22">
        <v>0</v>
      </c>
      <c r="K69" s="22">
        <v>0</v>
      </c>
      <c r="L69" s="22">
        <v>0</v>
      </c>
      <c r="M69" s="22">
        <v>0</v>
      </c>
      <c r="N69" s="22">
        <v>0</v>
      </c>
      <c r="O69" s="22">
        <v>0</v>
      </c>
      <c r="P69" s="22">
        <v>0</v>
      </c>
      <c r="Q69" s="22">
        <v>0</v>
      </c>
      <c r="R69" s="22">
        <v>0</v>
      </c>
      <c r="S69" s="22">
        <v>0</v>
      </c>
      <c r="T69" s="22">
        <v>0</v>
      </c>
    </row>
    <row r="70" spans="4:20" hidden="1" x14ac:dyDescent="0.25">
      <c r="D70" s="21" t="s">
        <v>36</v>
      </c>
      <c r="E70" s="22">
        <v>7625.4229999999998</v>
      </c>
      <c r="F70" s="22">
        <v>890.79100000000005</v>
      </c>
      <c r="G70" s="22">
        <v>10827.567999999999</v>
      </c>
      <c r="H70" s="22">
        <v>432.52300000000002</v>
      </c>
      <c r="I70" s="22">
        <v>235.482</v>
      </c>
      <c r="J70" s="22">
        <v>35373.436000000002</v>
      </c>
      <c r="K70" s="22">
        <v>0</v>
      </c>
      <c r="L70" s="22">
        <v>0</v>
      </c>
      <c r="M70" s="22">
        <v>0</v>
      </c>
      <c r="N70" s="22">
        <v>0</v>
      </c>
      <c r="O70" s="22">
        <v>0</v>
      </c>
      <c r="P70" s="22">
        <v>0</v>
      </c>
      <c r="Q70" s="22">
        <v>0</v>
      </c>
      <c r="R70" s="22">
        <v>0</v>
      </c>
      <c r="S70" s="22">
        <v>0</v>
      </c>
      <c r="T70" s="22">
        <v>0</v>
      </c>
    </row>
    <row r="72" spans="4:20" x14ac:dyDescent="0.25">
      <c r="D72" s="53" t="s">
        <v>38</v>
      </c>
      <c r="E72" s="7">
        <f>SUM(E64:E70)</f>
        <v>61374.567000000003</v>
      </c>
      <c r="F72" s="7">
        <f t="shared" ref="F72:J72" si="5">SUM(F64:F70)</f>
        <v>66635.316999999995</v>
      </c>
      <c r="G72" s="7">
        <f t="shared" si="5"/>
        <v>67850.500999999989</v>
      </c>
      <c r="H72" s="7">
        <f t="shared" si="5"/>
        <v>48826.231</v>
      </c>
      <c r="I72" s="7">
        <f t="shared" si="5"/>
        <v>55700.853999999999</v>
      </c>
      <c r="J72" s="7">
        <f t="shared" si="5"/>
        <v>86463.909</v>
      </c>
      <c r="K72" s="7">
        <f>SUM(K64:K70)</f>
        <v>127190.23359315068</v>
      </c>
      <c r="L72" s="7">
        <f t="shared" ref="L72:T72" si="6">SUM(L64:L70)</f>
        <v>166949.67252869863</v>
      </c>
      <c r="M72" s="7">
        <f t="shared" si="6"/>
        <v>180208.23559606849</v>
      </c>
      <c r="N72" s="7">
        <f t="shared" si="6"/>
        <v>195632.00669283536</v>
      </c>
      <c r="O72" s="7">
        <f t="shared" si="6"/>
        <v>212390.39070225169</v>
      </c>
      <c r="P72" s="7">
        <f t="shared" si="6"/>
        <v>229110.82066478996</v>
      </c>
      <c r="Q72" s="7">
        <f t="shared" si="6"/>
        <v>248750.36457919987</v>
      </c>
      <c r="R72" s="7">
        <f t="shared" si="6"/>
        <v>270092.13983288524</v>
      </c>
      <c r="S72" s="7">
        <f t="shared" si="6"/>
        <v>293285.43171560037</v>
      </c>
      <c r="T72" s="7">
        <f t="shared" si="6"/>
        <v>318492.7790185411</v>
      </c>
    </row>
    <row r="74" spans="4:20" x14ac:dyDescent="0.25">
      <c r="D74" s="53" t="s">
        <v>39</v>
      </c>
      <c r="E74" s="7">
        <f>+E60+E72</f>
        <v>123919.981</v>
      </c>
      <c r="F74" s="7">
        <f t="shared" ref="F74:J74" si="7">+F60+F72</f>
        <v>126251.97500000001</v>
      </c>
      <c r="G74" s="7">
        <f t="shared" si="7"/>
        <v>167784.27799999999</v>
      </c>
      <c r="H74" s="7">
        <f t="shared" si="7"/>
        <v>256797.755</v>
      </c>
      <c r="I74" s="7">
        <f t="shared" si="7"/>
        <v>188266.253</v>
      </c>
      <c r="J74" s="7">
        <f t="shared" si="7"/>
        <v>204438.95200000002</v>
      </c>
      <c r="K74" s="7">
        <f t="shared" ref="K74:T74" si="8">+K60+K72</f>
        <v>287626.61185315071</v>
      </c>
      <c r="L74" s="7">
        <f t="shared" si="8"/>
        <v>371734.94393469865</v>
      </c>
      <c r="M74" s="7">
        <f t="shared" si="8"/>
        <v>409955.11143186851</v>
      </c>
      <c r="N74" s="7">
        <f t="shared" si="8"/>
        <v>454495.98727367143</v>
      </c>
      <c r="O74" s="7">
        <f t="shared" si="8"/>
        <v>505571.94791928784</v>
      </c>
      <c r="P74" s="7">
        <f t="shared" si="8"/>
        <v>561643.90768308833</v>
      </c>
      <c r="Q74" s="7">
        <f t="shared" si="8"/>
        <v>627778.54395528277</v>
      </c>
      <c r="R74" s="7">
        <f t="shared" si="8"/>
        <v>701410.7383261451</v>
      </c>
      <c r="S74" s="7">
        <f t="shared" si="8"/>
        <v>781879.22465801542</v>
      </c>
      <c r="T74" s="7">
        <f t="shared" si="8"/>
        <v>873234.60461904155</v>
      </c>
    </row>
    <row r="76" spans="4:20" x14ac:dyDescent="0.25">
      <c r="D76" s="53" t="s">
        <v>54</v>
      </c>
    </row>
    <row r="77" spans="4:20" x14ac:dyDescent="0.25">
      <c r="F77" s="133"/>
      <c r="G77" s="133"/>
      <c r="H77" s="133"/>
      <c r="I77" s="133"/>
      <c r="J77" s="133"/>
      <c r="K77" s="133"/>
    </row>
    <row r="78" spans="4:20" x14ac:dyDescent="0.25">
      <c r="D78" s="21" t="s">
        <v>40</v>
      </c>
      <c r="E78" s="22">
        <v>22882.02</v>
      </c>
      <c r="F78" s="22">
        <v>23582.02</v>
      </c>
      <c r="G78" s="22">
        <v>23582.039000000001</v>
      </c>
      <c r="H78" s="22">
        <v>23582.039000000001</v>
      </c>
      <c r="I78" s="22">
        <v>23582.039000000001</v>
      </c>
      <c r="J78" s="22">
        <v>23582.039000000001</v>
      </c>
      <c r="K78" s="22">
        <v>35000</v>
      </c>
      <c r="L78" s="22">
        <v>35000</v>
      </c>
      <c r="M78" s="22">
        <v>35000.000999999997</v>
      </c>
      <c r="N78" s="22">
        <v>35000.002</v>
      </c>
      <c r="O78" s="22">
        <v>35000.002999999997</v>
      </c>
      <c r="P78" s="22">
        <v>35000.004000000001</v>
      </c>
      <c r="Q78" s="22">
        <v>35000.004999999997</v>
      </c>
      <c r="R78" s="22">
        <v>35000.006000000001</v>
      </c>
      <c r="S78" s="22">
        <v>35000.006999999998</v>
      </c>
      <c r="T78" s="22">
        <v>35000.008000000002</v>
      </c>
    </row>
    <row r="79" spans="4:20" x14ac:dyDescent="0.25">
      <c r="D79" s="21" t="s">
        <v>41</v>
      </c>
      <c r="E79" s="22">
        <v>-10086.531999999999</v>
      </c>
      <c r="F79" s="22">
        <v>-10752.927</v>
      </c>
      <c r="G79" s="22">
        <v>-10752.946</v>
      </c>
      <c r="H79" s="22">
        <v>-10752.946</v>
      </c>
      <c r="I79" s="22">
        <v>-7880.433</v>
      </c>
      <c r="J79" s="22">
        <v>-7880.433</v>
      </c>
      <c r="K79" s="22">
        <f>-K78*20%</f>
        <v>-7000</v>
      </c>
      <c r="L79" s="22">
        <f>+K79</f>
        <v>-7000</v>
      </c>
      <c r="M79" s="22">
        <f t="shared" ref="M79:T79" si="9">+L79</f>
        <v>-7000</v>
      </c>
      <c r="N79" s="22">
        <f t="shared" si="9"/>
        <v>-7000</v>
      </c>
      <c r="O79" s="22">
        <f t="shared" si="9"/>
        <v>-7000</v>
      </c>
      <c r="P79" s="22">
        <f t="shared" si="9"/>
        <v>-7000</v>
      </c>
      <c r="Q79" s="22">
        <f t="shared" si="9"/>
        <v>-7000</v>
      </c>
      <c r="R79" s="22">
        <f t="shared" si="9"/>
        <v>-7000</v>
      </c>
      <c r="S79" s="22">
        <f t="shared" si="9"/>
        <v>-7000</v>
      </c>
      <c r="T79" s="22">
        <f t="shared" si="9"/>
        <v>-7000</v>
      </c>
    </row>
    <row r="80" spans="4:20" hidden="1" x14ac:dyDescent="0.25">
      <c r="D80" s="21" t="s">
        <v>42</v>
      </c>
      <c r="E80" s="22">
        <v>0</v>
      </c>
      <c r="F80" s="22">
        <v>0</v>
      </c>
      <c r="G80" s="22">
        <v>0</v>
      </c>
      <c r="H80" s="22">
        <v>0</v>
      </c>
      <c r="I80" s="22">
        <v>0</v>
      </c>
      <c r="J80" s="22">
        <v>0</v>
      </c>
      <c r="K80" s="22"/>
      <c r="L80" s="22"/>
      <c r="M80" s="22"/>
      <c r="N80" s="22"/>
      <c r="O80" s="22"/>
      <c r="P80" s="22"/>
      <c r="Q80" s="22"/>
      <c r="R80" s="22"/>
      <c r="S80" s="22"/>
      <c r="T80" s="22"/>
    </row>
    <row r="82" spans="4:20" x14ac:dyDescent="0.25">
      <c r="D82" s="53" t="s">
        <v>43</v>
      </c>
      <c r="E82" s="7">
        <f>SUM(E78:E80)</f>
        <v>12795.488000000001</v>
      </c>
      <c r="F82" s="7">
        <f t="shared" ref="F82:H82" si="10">SUM(F78:F80)</f>
        <v>12829.093000000001</v>
      </c>
      <c r="G82" s="7">
        <f t="shared" si="10"/>
        <v>12829.093000000001</v>
      </c>
      <c r="H82" s="7">
        <f t="shared" si="10"/>
        <v>12829.093000000001</v>
      </c>
      <c r="I82" s="7">
        <f>SUM(I78:I80)</f>
        <v>15701.606</v>
      </c>
      <c r="J82" s="7">
        <f t="shared" ref="J82:T82" si="11">SUM(J78:J80)</f>
        <v>15701.606</v>
      </c>
      <c r="K82" s="7">
        <f t="shared" si="11"/>
        <v>28000</v>
      </c>
      <c r="L82" s="7">
        <f t="shared" si="11"/>
        <v>28000</v>
      </c>
      <c r="M82" s="7">
        <f t="shared" si="11"/>
        <v>28000.000999999997</v>
      </c>
      <c r="N82" s="7">
        <f t="shared" si="11"/>
        <v>28000.002</v>
      </c>
      <c r="O82" s="7">
        <f t="shared" si="11"/>
        <v>28000.002999999997</v>
      </c>
      <c r="P82" s="7">
        <f t="shared" si="11"/>
        <v>28000.004000000001</v>
      </c>
      <c r="Q82" s="7">
        <f t="shared" si="11"/>
        <v>28000.004999999997</v>
      </c>
      <c r="R82" s="7">
        <f t="shared" si="11"/>
        <v>28000.006000000001</v>
      </c>
      <c r="S82" s="7">
        <f t="shared" si="11"/>
        <v>28000.006999999998</v>
      </c>
      <c r="T82" s="7">
        <f t="shared" si="11"/>
        <v>28000.008000000002</v>
      </c>
    </row>
    <row r="83" spans="4:20" x14ac:dyDescent="0.25">
      <c r="F83" s="137"/>
      <c r="G83" s="137"/>
      <c r="H83" s="137"/>
      <c r="I83" s="137"/>
      <c r="J83" s="137"/>
    </row>
    <row r="84" spans="4:20" x14ac:dyDescent="0.25">
      <c r="D84" s="21" t="s">
        <v>44</v>
      </c>
      <c r="E84" s="22">
        <f>(+E82)</f>
        <v>12795.488000000001</v>
      </c>
      <c r="F84" s="22">
        <f t="shared" ref="F84:J84" si="12">(+F82)</f>
        <v>12829.093000000001</v>
      </c>
      <c r="G84" s="22">
        <f t="shared" si="12"/>
        <v>12829.093000000001</v>
      </c>
      <c r="H84" s="22">
        <f t="shared" si="12"/>
        <v>12829.093000000001</v>
      </c>
      <c r="I84" s="22">
        <f t="shared" si="12"/>
        <v>15701.606</v>
      </c>
      <c r="J84" s="22">
        <f t="shared" si="12"/>
        <v>15701.606</v>
      </c>
      <c r="K84" s="22">
        <f t="shared" ref="K84:T84" si="13">+K82</f>
        <v>28000</v>
      </c>
      <c r="L84" s="22">
        <f t="shared" si="13"/>
        <v>28000</v>
      </c>
      <c r="M84" s="22">
        <f t="shared" si="13"/>
        <v>28000.000999999997</v>
      </c>
      <c r="N84" s="22">
        <f t="shared" si="13"/>
        <v>28000.002</v>
      </c>
      <c r="O84" s="22">
        <f t="shared" si="13"/>
        <v>28000.002999999997</v>
      </c>
      <c r="P84" s="22">
        <f t="shared" si="13"/>
        <v>28000.004000000001</v>
      </c>
      <c r="Q84" s="22">
        <f t="shared" si="13"/>
        <v>28000.004999999997</v>
      </c>
      <c r="R84" s="22">
        <f t="shared" si="13"/>
        <v>28000.006000000001</v>
      </c>
      <c r="S84" s="22">
        <f t="shared" si="13"/>
        <v>28000.006999999998</v>
      </c>
      <c r="T84" s="22">
        <f t="shared" si="13"/>
        <v>28000.008000000002</v>
      </c>
    </row>
    <row r="85" spans="4:20" x14ac:dyDescent="0.25">
      <c r="D85" s="21" t="s">
        <v>45</v>
      </c>
      <c r="E85" s="22">
        <v>31897.929</v>
      </c>
      <c r="F85" s="22">
        <v>50444.92</v>
      </c>
      <c r="G85" s="22">
        <v>75664.460999999996</v>
      </c>
      <c r="H85" s="22">
        <v>90250.630999999994</v>
      </c>
      <c r="I85" s="22">
        <v>119344.41</v>
      </c>
      <c r="J85" s="22">
        <v>137080.75899999999</v>
      </c>
      <c r="K85" s="22">
        <f>+'SUPUESTOS DE PROYECCIÓN'!I151</f>
        <v>164982.63949999999</v>
      </c>
      <c r="L85" s="22">
        <f>+'SUPUESTOS DE PROYECCIÓN'!J151</f>
        <v>199093.20836557532</v>
      </c>
      <c r="M85" s="22">
        <f>+'SUPUESTOS DE PROYECCIÓN'!K151</f>
        <v>210081.20972437429</v>
      </c>
      <c r="N85" s="22">
        <f>+'SUPUESTOS DE PROYECCIÓN'!L151</f>
        <v>220276.90415535722</v>
      </c>
      <c r="O85" s="22">
        <f>+'SUPUESTOS DE PROYECCIÓN'!M151</f>
        <v>231324.07877556252</v>
      </c>
      <c r="P85" s="22">
        <f>+'SUPUESTOS DE PROYECCIÓN'!N151</f>
        <v>242932.24884143306</v>
      </c>
      <c r="Q85" s="22">
        <f>+'SUPUESTOS DE PROYECCIÓN'!O151</f>
        <v>252599.48174199639</v>
      </c>
      <c r="R85" s="22">
        <f>+'SUPUESTOS DE PROYECCIÓN'!P151</f>
        <v>262763.01875731495</v>
      </c>
      <c r="S85" s="22">
        <f>+'SUPUESTOS DE PROYECCIÓN'!Q151</f>
        <v>273378.40646380401</v>
      </c>
      <c r="T85" s="22">
        <f>+'SUPUESTOS DE PROYECCIÓN'!R151</f>
        <v>284377.92932850838</v>
      </c>
    </row>
    <row r="86" spans="4:20" x14ac:dyDescent="0.25">
      <c r="D86" s="21" t="s">
        <v>46</v>
      </c>
      <c r="E86" s="22">
        <v>8847.5789999999997</v>
      </c>
      <c r="F86" s="22">
        <v>8451.6820000000007</v>
      </c>
      <c r="G86" s="22">
        <v>8055.7830000000004</v>
      </c>
      <c r="H86" s="22">
        <v>2011.9369999999999</v>
      </c>
      <c r="I86" s="22">
        <v>2011.9369999999999</v>
      </c>
      <c r="J86" s="22">
        <v>2011.9369999999999</v>
      </c>
      <c r="K86" s="22">
        <v>2011.9369999999999</v>
      </c>
      <c r="L86" s="22">
        <v>2011.9369999999999</v>
      </c>
      <c r="M86" s="22">
        <v>2011.9369999999999</v>
      </c>
      <c r="N86" s="22">
        <v>2011.9369999999999</v>
      </c>
      <c r="O86" s="22">
        <v>2011.9369999999999</v>
      </c>
      <c r="P86" s="22">
        <v>2011.9369999999999</v>
      </c>
      <c r="Q86" s="22">
        <v>2011.9369999999999</v>
      </c>
      <c r="R86" s="22">
        <v>2011.9369999999999</v>
      </c>
      <c r="S86" s="22">
        <v>2011.9369999999999</v>
      </c>
      <c r="T86" s="22">
        <v>2011.9369999999999</v>
      </c>
    </row>
    <row r="87" spans="4:20" hidden="1" x14ac:dyDescent="0.25">
      <c r="D87" s="21" t="s">
        <v>47</v>
      </c>
      <c r="E87" s="22">
        <v>5121.6289999999999</v>
      </c>
      <c r="F87" s="22">
        <v>0</v>
      </c>
      <c r="G87" s="22">
        <v>0</v>
      </c>
      <c r="H87" s="22">
        <v>0</v>
      </c>
      <c r="I87" s="22">
        <v>0</v>
      </c>
      <c r="J87" s="22">
        <v>0</v>
      </c>
      <c r="K87" s="22"/>
      <c r="L87" s="22"/>
      <c r="M87" s="22"/>
      <c r="N87" s="22"/>
      <c r="O87" s="22"/>
      <c r="P87" s="22"/>
      <c r="Q87" s="22"/>
      <c r="R87" s="22"/>
      <c r="S87" s="22"/>
      <c r="T87" s="22"/>
    </row>
    <row r="88" spans="4:20" x14ac:dyDescent="0.25">
      <c r="D88" s="21" t="s">
        <v>48</v>
      </c>
      <c r="E88" s="22">
        <v>0</v>
      </c>
      <c r="F88" s="22">
        <v>0</v>
      </c>
      <c r="G88" s="22">
        <v>0</v>
      </c>
      <c r="H88" s="22">
        <v>0</v>
      </c>
      <c r="I88" s="22">
        <v>159711.69500000001</v>
      </c>
      <c r="J88" s="22">
        <v>159711.69500000001</v>
      </c>
      <c r="K88" s="22">
        <f>+J88</f>
        <v>159711.69500000001</v>
      </c>
      <c r="L88" s="22"/>
      <c r="M88" s="22"/>
      <c r="N88" s="22"/>
      <c r="O88" s="22"/>
      <c r="P88" s="22"/>
      <c r="Q88" s="22"/>
      <c r="R88" s="22"/>
      <c r="S88" s="22"/>
      <c r="T88" s="22"/>
    </row>
    <row r="89" spans="4:20" hidden="1" x14ac:dyDescent="0.25">
      <c r="D89" s="21" t="s">
        <v>49</v>
      </c>
      <c r="E89" s="22">
        <v>0</v>
      </c>
      <c r="F89" s="22">
        <v>-29.388000000000002</v>
      </c>
      <c r="G89" s="22">
        <v>0</v>
      </c>
      <c r="H89" s="22">
        <v>0</v>
      </c>
      <c r="I89" s="22">
        <v>0</v>
      </c>
      <c r="J89" s="22">
        <v>0</v>
      </c>
      <c r="K89" s="22"/>
      <c r="L89" s="22"/>
      <c r="M89" s="22"/>
      <c r="N89" s="22"/>
      <c r="O89" s="22"/>
      <c r="P89" s="22"/>
      <c r="Q89" s="22"/>
      <c r="R89" s="22"/>
      <c r="S89" s="22"/>
      <c r="T89" s="22"/>
    </row>
    <row r="90" spans="4:20" x14ac:dyDescent="0.25">
      <c r="D90" s="21" t="s">
        <v>50</v>
      </c>
      <c r="E90" s="22">
        <f>(+'ER2008-2013'!E42)</f>
        <v>18895.363000000019</v>
      </c>
      <c r="F90" s="22">
        <f>(+'ER2008-2013'!F42)</f>
        <v>31648.928999999982</v>
      </c>
      <c r="G90" s="22">
        <f>(+'ER2008-2013'!G42)</f>
        <v>24866.172000000013</v>
      </c>
      <c r="H90" s="22">
        <f>(+'ER2008-2013'!H42)</f>
        <v>41593.777999999984</v>
      </c>
      <c r="I90" s="22">
        <f>(+'ER2008-2013'!I42)</f>
        <v>31750.874999999993</v>
      </c>
      <c r="J90" s="22">
        <f>(+'ER2008-2013'!J42)</f>
        <v>55803.761000000013</v>
      </c>
      <c r="K90" s="22">
        <f>+'ERPR2008-2023'!K42</f>
        <v>68221.137731150651</v>
      </c>
      <c r="L90" s="22">
        <f>+'ERPR2008-2023'!L42</f>
        <v>73253.342391993123</v>
      </c>
      <c r="M90" s="22">
        <f>+'ERPR2008-2023'!M42</f>
        <v>78428.418699868736</v>
      </c>
      <c r="N90" s="22">
        <f>+'ERPR2008-2023'!N42</f>
        <v>84978.26630927161</v>
      </c>
      <c r="O90" s="22">
        <f>+'ERPR2008-2023'!O42</f>
        <v>89293.615891311856</v>
      </c>
      <c r="P90" s="22">
        <f>+'ERPR2008-2023'!P42</f>
        <v>96672.329005633495</v>
      </c>
      <c r="Q90" s="22">
        <f>+'ERPR2008-2023'!Q42</f>
        <v>101635.37015318568</v>
      </c>
      <c r="R90" s="22">
        <f>+'ERPR2008-2023'!R42</f>
        <v>106153.87706489085</v>
      </c>
      <c r="S90" s="22">
        <f>+'ERPR2008-2023'!S42</f>
        <v>109995.22864704383</v>
      </c>
      <c r="T90" s="22">
        <f>+'ERPR2008-2023'!T42</f>
        <v>112865.90816254487</v>
      </c>
    </row>
    <row r="91" spans="4:20" hidden="1" x14ac:dyDescent="0.25">
      <c r="D91" s="21" t="s">
        <v>51</v>
      </c>
      <c r="E91" s="22">
        <v>0</v>
      </c>
      <c r="F91" s="22">
        <v>0</v>
      </c>
      <c r="G91" s="22">
        <v>0</v>
      </c>
      <c r="H91" s="22">
        <v>3035.0770000000002</v>
      </c>
      <c r="I91" s="22">
        <v>-375.41300000000001</v>
      </c>
      <c r="J91" s="22">
        <v>0</v>
      </c>
      <c r="K91" s="22"/>
      <c r="L91" s="22"/>
      <c r="M91" s="22"/>
      <c r="N91" s="22"/>
      <c r="O91" s="22"/>
      <c r="P91" s="22"/>
      <c r="Q91" s="22"/>
      <c r="R91" s="22"/>
      <c r="S91" s="22"/>
      <c r="T91" s="22"/>
    </row>
    <row r="92" spans="4:20" hidden="1" x14ac:dyDescent="0.25">
      <c r="D92" s="21" t="s">
        <v>52</v>
      </c>
      <c r="E92" s="22">
        <v>234.51400000000001</v>
      </c>
      <c r="F92" s="22">
        <v>0</v>
      </c>
      <c r="G92" s="22">
        <v>0</v>
      </c>
      <c r="H92" s="22">
        <v>0</v>
      </c>
      <c r="I92" s="22">
        <v>0</v>
      </c>
      <c r="J92" s="22">
        <v>0</v>
      </c>
      <c r="K92" s="22"/>
      <c r="L92" s="22"/>
      <c r="M92" s="22"/>
      <c r="N92" s="22"/>
      <c r="O92" s="22"/>
      <c r="P92" s="22"/>
      <c r="Q92" s="22"/>
      <c r="R92" s="22"/>
      <c r="S92" s="22"/>
      <c r="T92" s="22"/>
    </row>
    <row r="93" spans="4:20" x14ac:dyDescent="0.25">
      <c r="D93" s="21" t="s">
        <v>53</v>
      </c>
      <c r="E93" s="22">
        <v>132228.54300000001</v>
      </c>
      <c r="F93" s="22">
        <v>178092.23699999999</v>
      </c>
      <c r="G93" s="22">
        <v>219547.26199999999</v>
      </c>
      <c r="H93" s="22">
        <v>291063.87300000002</v>
      </c>
      <c r="I93" s="22">
        <v>292630.31199999998</v>
      </c>
      <c r="J93" s="22">
        <v>282060.28399999999</v>
      </c>
      <c r="K93" s="22">
        <f>+'SUPUESTOS DE PROYECCIÓN'!I155</f>
        <v>335645.13511999999</v>
      </c>
      <c r="L93" s="22">
        <f>+'SUPUESTOS DE PROYECCIÓN'!J155</f>
        <v>398048.25944160001</v>
      </c>
      <c r="M93" s="22">
        <f>+'SUPUESTOS DE PROYECCIÓN'!K155</f>
        <v>420691.67241368</v>
      </c>
      <c r="N93" s="22">
        <f>+'SUPUESTOS DE PROYECCIÓN'!L155</f>
        <v>440968.25603436399</v>
      </c>
      <c r="O93" s="22">
        <f>+'SUPUESTOS DE PROYECCIÓN'!M155</f>
        <v>462096.66883608222</v>
      </c>
      <c r="P93" s="22">
        <f>+'SUPUESTOS DE PROYECCIÓN'!N155</f>
        <v>481094.50227788632</v>
      </c>
      <c r="Q93" s="22">
        <f>+'SUPUESTOS DE PROYECCIÓN'!O155</f>
        <v>501399.22739178065</v>
      </c>
      <c r="R93" s="22">
        <f>+'SUPUESTOS DE PROYECCIÓN'!P155</f>
        <v>523536.18876136967</v>
      </c>
      <c r="S93" s="22">
        <f>+'SUPUESTOS DE PROYECCIÓN'!Q155</f>
        <v>547607.99819943821</v>
      </c>
      <c r="T93" s="22">
        <f>+'SUPUESTOS DE PROYECCIÓN'!R155</f>
        <v>570637.39810941007</v>
      </c>
    </row>
    <row r="94" spans="4:20" x14ac:dyDescent="0.25">
      <c r="H94" s="8"/>
      <c r="I94" s="8"/>
      <c r="J94" s="8"/>
      <c r="K94" s="8"/>
      <c r="L94" s="8"/>
      <c r="M94" s="8"/>
      <c r="N94" s="8"/>
      <c r="O94" s="8"/>
      <c r="P94" s="8"/>
      <c r="Q94" s="8"/>
      <c r="R94" s="8"/>
    </row>
    <row r="95" spans="4:20" x14ac:dyDescent="0.25">
      <c r="D95" s="53" t="s">
        <v>55</v>
      </c>
      <c r="E95" s="7">
        <f t="shared" ref="E95:T95" si="14">SUM(E84:E93)</f>
        <v>210021.04500000001</v>
      </c>
      <c r="F95" s="7">
        <f t="shared" si="14"/>
        <v>281437.473</v>
      </c>
      <c r="G95" s="7">
        <f t="shared" si="14"/>
        <v>340962.77100000001</v>
      </c>
      <c r="H95" s="7">
        <f>SUM(H84:H93)</f>
        <v>440784.38899999997</v>
      </c>
      <c r="I95" s="7">
        <f>SUM(I84:I93)</f>
        <v>620775.42200000002</v>
      </c>
      <c r="J95" s="7">
        <f t="shared" si="14"/>
        <v>652370.0419999999</v>
      </c>
      <c r="K95" s="7">
        <f>SUM(K84:K93)</f>
        <v>758572.54435115075</v>
      </c>
      <c r="L95" s="7">
        <f t="shared" si="14"/>
        <v>700406.74719916843</v>
      </c>
      <c r="M95" s="7">
        <f>SUM(M84:M93)</f>
        <v>739213.23883792304</v>
      </c>
      <c r="N95" s="7">
        <f t="shared" si="14"/>
        <v>776235.36549899285</v>
      </c>
      <c r="O95" s="7">
        <f t="shared" si="14"/>
        <v>812726.30350295664</v>
      </c>
      <c r="P95" s="7">
        <f t="shared" si="14"/>
        <v>850711.02112495282</v>
      </c>
      <c r="Q95" s="7">
        <f t="shared" si="14"/>
        <v>885646.02128696267</v>
      </c>
      <c r="R95" s="7">
        <f t="shared" si="14"/>
        <v>922465.02758357546</v>
      </c>
      <c r="S95" s="7">
        <f t="shared" si="14"/>
        <v>960993.577310286</v>
      </c>
      <c r="T95" s="7">
        <f t="shared" si="14"/>
        <v>997893.1806004633</v>
      </c>
    </row>
    <row r="96" spans="4:20" x14ac:dyDescent="0.25">
      <c r="E96" s="133"/>
      <c r="F96" s="133"/>
      <c r="G96" s="133"/>
      <c r="H96" s="133"/>
      <c r="I96" s="133"/>
      <c r="J96" s="133"/>
    </row>
    <row r="97" spans="4:20" x14ac:dyDescent="0.25">
      <c r="D97" s="53" t="s">
        <v>56</v>
      </c>
      <c r="E97" s="7">
        <f>+E74+E95</f>
        <v>333941.02600000001</v>
      </c>
      <c r="F97" s="7">
        <f t="shared" ref="F97:I97" si="15">+F74+F95</f>
        <v>407689.44799999997</v>
      </c>
      <c r="G97" s="7">
        <f t="shared" si="15"/>
        <v>508747.049</v>
      </c>
      <c r="H97" s="7">
        <f t="shared" si="15"/>
        <v>697582.14399999997</v>
      </c>
      <c r="I97" s="7">
        <f t="shared" si="15"/>
        <v>809041.67500000005</v>
      </c>
      <c r="J97" s="7">
        <f>+J74+J95</f>
        <v>856808.99399999995</v>
      </c>
      <c r="K97" s="7">
        <f>+K74+K95</f>
        <v>1046199.1562043014</v>
      </c>
      <c r="L97" s="7">
        <f t="shared" ref="L97:T97" si="16">+L74+L95</f>
        <v>1072141.691133867</v>
      </c>
      <c r="M97" s="7">
        <f>+M74+M95</f>
        <v>1149168.3502697917</v>
      </c>
      <c r="N97" s="7">
        <f t="shared" si="16"/>
        <v>1230731.3527726643</v>
      </c>
      <c r="O97" s="7">
        <f t="shared" si="16"/>
        <v>1318298.2514222446</v>
      </c>
      <c r="P97" s="7">
        <f t="shared" si="16"/>
        <v>1412354.9288080411</v>
      </c>
      <c r="Q97" s="7">
        <f t="shared" si="16"/>
        <v>1513424.5652422453</v>
      </c>
      <c r="R97" s="7">
        <f t="shared" si="16"/>
        <v>1623875.7659097207</v>
      </c>
      <c r="S97" s="7">
        <f t="shared" si="16"/>
        <v>1742872.8019683014</v>
      </c>
      <c r="T97" s="7">
        <f t="shared" si="16"/>
        <v>1871127.785219505</v>
      </c>
    </row>
    <row r="98" spans="4:20" x14ac:dyDescent="0.25">
      <c r="E98" s="8"/>
      <c r="F98" s="8"/>
      <c r="G98" s="8"/>
      <c r="H98" s="8"/>
      <c r="I98" s="8"/>
      <c r="J98" s="8"/>
      <c r="K98" s="8"/>
      <c r="L98" s="8"/>
      <c r="M98" s="8"/>
      <c r="N98" s="8"/>
      <c r="O98" s="8"/>
      <c r="P98" s="8"/>
      <c r="Q98" s="8"/>
      <c r="R98" s="8"/>
      <c r="S98" s="8"/>
      <c r="T98" s="8"/>
    </row>
    <row r="99" spans="4:20" x14ac:dyDescent="0.25">
      <c r="D99" s="21" t="s">
        <v>57</v>
      </c>
      <c r="E99" s="22">
        <v>36190.843000000001</v>
      </c>
      <c r="F99" s="22">
        <v>177148.125</v>
      </c>
      <c r="G99" s="22">
        <v>159498.04699999999</v>
      </c>
      <c r="H99" s="22">
        <v>120905.719</v>
      </c>
      <c r="I99" s="22">
        <v>186581.10200000001</v>
      </c>
      <c r="J99" s="22">
        <v>218295.45699999999</v>
      </c>
      <c r="K99" s="22">
        <v>0</v>
      </c>
      <c r="L99" s="22">
        <v>0</v>
      </c>
      <c r="M99" s="22">
        <v>0</v>
      </c>
      <c r="N99" s="22">
        <v>0</v>
      </c>
      <c r="O99" s="22">
        <v>0</v>
      </c>
      <c r="P99" s="22">
        <v>0</v>
      </c>
      <c r="Q99" s="22">
        <v>0</v>
      </c>
      <c r="R99" s="22">
        <v>0</v>
      </c>
      <c r="S99" s="22">
        <v>0</v>
      </c>
      <c r="T99" s="22">
        <v>0</v>
      </c>
    </row>
    <row r="100" spans="4:20" x14ac:dyDescent="0.25">
      <c r="D100" s="21" t="s">
        <v>58</v>
      </c>
      <c r="E100" s="22">
        <v>0</v>
      </c>
      <c r="F100" s="22">
        <v>0</v>
      </c>
      <c r="G100" s="22">
        <v>219793.37299999999</v>
      </c>
      <c r="H100" s="22">
        <v>476985.99400000001</v>
      </c>
      <c r="I100" s="22">
        <v>882250.30500000005</v>
      </c>
      <c r="J100" s="22">
        <v>1036367.688</v>
      </c>
      <c r="K100" s="22">
        <v>0</v>
      </c>
      <c r="L100" s="22">
        <v>0</v>
      </c>
      <c r="M100" s="22">
        <v>0</v>
      </c>
      <c r="N100" s="22">
        <v>0</v>
      </c>
      <c r="O100" s="22">
        <v>0</v>
      </c>
      <c r="P100" s="22">
        <v>0</v>
      </c>
      <c r="Q100" s="22">
        <v>0</v>
      </c>
      <c r="R100" s="22">
        <v>0</v>
      </c>
      <c r="S100" s="22">
        <v>0</v>
      </c>
      <c r="T100" s="22">
        <v>0</v>
      </c>
    </row>
    <row r="102" spans="4:20" x14ac:dyDescent="0.25">
      <c r="D102" s="53" t="s">
        <v>17</v>
      </c>
      <c r="E102" s="7">
        <f>SUM(E99:E100)</f>
        <v>36190.843000000001</v>
      </c>
      <c r="F102" s="7">
        <f t="shared" ref="F102:T102" si="17">SUM(F99:F100)</f>
        <v>177148.125</v>
      </c>
      <c r="G102" s="7">
        <f t="shared" si="17"/>
        <v>379291.42</v>
      </c>
      <c r="H102" s="7">
        <f t="shared" si="17"/>
        <v>597891.71299999999</v>
      </c>
      <c r="I102" s="7">
        <f t="shared" si="17"/>
        <v>1068831.4070000001</v>
      </c>
      <c r="J102" s="7">
        <f t="shared" si="17"/>
        <v>1254663.145</v>
      </c>
      <c r="K102" s="7">
        <f>SUM(K99:K100)</f>
        <v>0</v>
      </c>
      <c r="L102" s="7">
        <f t="shared" si="17"/>
        <v>0</v>
      </c>
      <c r="M102" s="7">
        <f t="shared" si="17"/>
        <v>0</v>
      </c>
      <c r="N102" s="7">
        <f t="shared" si="17"/>
        <v>0</v>
      </c>
      <c r="O102" s="7">
        <f t="shared" si="17"/>
        <v>0</v>
      </c>
      <c r="P102" s="7">
        <f t="shared" si="17"/>
        <v>0</v>
      </c>
      <c r="Q102" s="7">
        <f t="shared" si="17"/>
        <v>0</v>
      </c>
      <c r="R102" s="7">
        <f t="shared" si="17"/>
        <v>0</v>
      </c>
      <c r="S102" s="7">
        <f t="shared" si="17"/>
        <v>0</v>
      </c>
      <c r="T102" s="7">
        <f t="shared" si="17"/>
        <v>0</v>
      </c>
    </row>
    <row r="104" spans="4:20" s="59" customFormat="1" x14ac:dyDescent="0.25">
      <c r="D104" s="59" t="s">
        <v>208</v>
      </c>
      <c r="E104" s="60">
        <f>+E97-E38</f>
        <v>0</v>
      </c>
      <c r="F104" s="60">
        <f t="shared" ref="F104:I104" si="18">+F38-F97</f>
        <v>-9.9999993108212948E-4</v>
      </c>
      <c r="G104" s="60">
        <f t="shared" si="18"/>
        <v>-3.0000000260770321E-3</v>
      </c>
      <c r="H104" s="60">
        <f t="shared" si="18"/>
        <v>-1.0000000474974513E-3</v>
      </c>
      <c r="I104" s="60">
        <f t="shared" si="18"/>
        <v>-3.0000000260770321E-3</v>
      </c>
      <c r="J104" s="60">
        <f>+J38-J97</f>
        <v>1.0000001639127731E-3</v>
      </c>
      <c r="K104" s="96">
        <f>+K38-K97</f>
        <v>0.35579213697928935</v>
      </c>
      <c r="L104" s="96">
        <f t="shared" ref="L104:T104" si="19">+L38-L97</f>
        <v>-0.1060972586274147</v>
      </c>
      <c r="M104" s="96">
        <f t="shared" si="19"/>
        <v>0.21763302851468325</v>
      </c>
      <c r="N104" s="96">
        <f t="shared" si="19"/>
        <v>0.21868549706414342</v>
      </c>
      <c r="O104" s="96">
        <f t="shared" si="19"/>
        <v>0.11179883731529117</v>
      </c>
      <c r="P104" s="96">
        <f t="shared" si="19"/>
        <v>-8.8967351242899895E-2</v>
      </c>
      <c r="Q104" s="96">
        <f t="shared" si="19"/>
        <v>0.34949986822903156</v>
      </c>
      <c r="R104" s="96">
        <f t="shared" si="19"/>
        <v>-0.29517096327617764</v>
      </c>
      <c r="S104" s="96">
        <f t="shared" si="19"/>
        <v>0.39175511687062681</v>
      </c>
      <c r="T104" s="96">
        <f t="shared" si="19"/>
        <v>-0.34492463152855635</v>
      </c>
    </row>
    <row r="105" spans="4:20" x14ac:dyDescent="0.25">
      <c r="K105" s="96"/>
    </row>
    <row r="107" spans="4:20" x14ac:dyDescent="0.25">
      <c r="D107" s="133"/>
    </row>
  </sheetData>
  <mergeCells count="1">
    <mergeCell ref="D8:T8"/>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U114"/>
  <sheetViews>
    <sheetView showGridLines="0" topLeftCell="A4" zoomScale="85" zoomScaleNormal="85" workbookViewId="0">
      <selection activeCell="D9" sqref="D9"/>
    </sheetView>
  </sheetViews>
  <sheetFormatPr baseColWidth="10" defaultRowHeight="15" x14ac:dyDescent="0.25"/>
  <cols>
    <col min="1" max="1" width="11.42578125" style="2"/>
    <col min="2" max="2" width="2.28515625" style="2" customWidth="1"/>
    <col min="3" max="3" width="2.5703125" style="2" customWidth="1"/>
    <col min="4" max="4" width="40.7109375" style="2" bestFit="1" customWidth="1"/>
    <col min="5" max="6" width="13.42578125" style="2" hidden="1" customWidth="1"/>
    <col min="7" max="10" width="14.42578125" style="2" hidden="1" customWidth="1"/>
    <col min="11" max="18" width="13.28515625" style="2" bestFit="1" customWidth="1"/>
    <col min="19" max="19" width="14.140625" style="2" bestFit="1" customWidth="1"/>
    <col min="20" max="20" width="14.85546875" style="2" bestFit="1" customWidth="1"/>
    <col min="21" max="16384" width="11.42578125" style="2"/>
  </cols>
  <sheetData>
    <row r="7" spans="3:20" ht="15.75" thickBot="1" x14ac:dyDescent="0.3"/>
    <row r="8" spans="3:20" ht="24" customHeight="1" thickBot="1" x14ac:dyDescent="0.3">
      <c r="D8" s="380" t="s">
        <v>715</v>
      </c>
      <c r="E8" s="381"/>
      <c r="F8" s="381"/>
      <c r="G8" s="381"/>
      <c r="H8" s="381"/>
      <c r="I8" s="381"/>
      <c r="J8" s="381"/>
      <c r="K8" s="381"/>
      <c r="L8" s="381"/>
      <c r="M8" s="381"/>
      <c r="N8" s="381"/>
      <c r="O8" s="381"/>
      <c r="P8" s="381"/>
      <c r="Q8" s="381"/>
      <c r="R8" s="381"/>
      <c r="S8" s="381"/>
      <c r="T8" s="382"/>
    </row>
    <row r="9" spans="3:20" x14ac:dyDescent="0.25">
      <c r="D9" s="34" t="s">
        <v>209</v>
      </c>
    </row>
    <row r="10" spans="3:20" x14ac:dyDescent="0.25">
      <c r="C10" s="1"/>
      <c r="D10" s="3"/>
      <c r="E10" s="4">
        <v>2008</v>
      </c>
      <c r="F10" s="4">
        <v>2009</v>
      </c>
      <c r="G10" s="4">
        <v>2010</v>
      </c>
      <c r="H10" s="4">
        <v>2011</v>
      </c>
      <c r="I10" s="4">
        <v>2012</v>
      </c>
      <c r="J10" s="4">
        <v>2013</v>
      </c>
      <c r="K10" s="4" t="str">
        <f>+'BGPR2008-2023'!K11</f>
        <v>2014E</v>
      </c>
      <c r="L10" s="4" t="str">
        <f>+'BGPR2008-2023'!L11</f>
        <v>2015E</v>
      </c>
      <c r="M10" s="4" t="str">
        <f>+'BGPR2008-2023'!M11</f>
        <v>2016E</v>
      </c>
      <c r="N10" s="4" t="str">
        <f>+'BGPR2008-2023'!N11</f>
        <v>2017E</v>
      </c>
      <c r="O10" s="4" t="str">
        <f>+'BGPR2008-2023'!O11</f>
        <v>2018E</v>
      </c>
      <c r="P10" s="4" t="str">
        <f>+'BGPR2008-2023'!P11</f>
        <v>2019E</v>
      </c>
      <c r="Q10" s="4" t="str">
        <f>+'BGPR2008-2023'!Q11</f>
        <v>2020E</v>
      </c>
      <c r="R10" s="4" t="str">
        <f>+'BGPR2008-2023'!R11</f>
        <v>2021E</v>
      </c>
      <c r="S10" s="4" t="str">
        <f>+'BGPR2008-2023'!S11</f>
        <v>2022E</v>
      </c>
      <c r="T10" s="4" t="str">
        <f>+'BGPR2008-2023'!T11</f>
        <v>2023E</v>
      </c>
    </row>
    <row r="11" spans="3:20" x14ac:dyDescent="0.25">
      <c r="C11" s="1"/>
      <c r="D11" s="3"/>
      <c r="E11" s="3"/>
      <c r="F11" s="3"/>
      <c r="G11" s="3"/>
      <c r="H11" s="3"/>
      <c r="I11" s="3"/>
      <c r="J11" s="3"/>
    </row>
    <row r="12" spans="3:20" x14ac:dyDescent="0.25">
      <c r="C12" s="1"/>
      <c r="D12" s="11" t="s">
        <v>59</v>
      </c>
      <c r="E12" s="12"/>
      <c r="F12" s="12"/>
      <c r="G12" s="12"/>
      <c r="H12" s="12"/>
      <c r="I12" s="12"/>
      <c r="J12" s="12"/>
    </row>
    <row r="13" spans="3:20" x14ac:dyDescent="0.25">
      <c r="C13" s="1"/>
      <c r="D13" s="21" t="s">
        <v>60</v>
      </c>
      <c r="E13" s="22">
        <v>191413.47700000001</v>
      </c>
      <c r="F13" s="22">
        <v>222721.31599999999</v>
      </c>
      <c r="G13" s="22">
        <v>214414.239</v>
      </c>
      <c r="H13" s="22">
        <v>239826.701</v>
      </c>
      <c r="I13" s="22">
        <v>264981.21799999999</v>
      </c>
      <c r="J13" s="22">
        <v>306866.99300000002</v>
      </c>
      <c r="K13" s="22">
        <f>+'SUPUESTOS DE PROYECCIÓN'!I34</f>
        <v>337553.69230000005</v>
      </c>
      <c r="L13" s="22">
        <f>+'SUPUESTOS DE PROYECCIÓN'!J34</f>
        <v>371309.06153000006</v>
      </c>
      <c r="M13" s="22">
        <f>+'SUPUESTOS DE PROYECCIÓN'!K34</f>
        <v>408439.96768300008</v>
      </c>
      <c r="N13" s="22">
        <f>+'SUPUESTOS DE PROYECCIÓN'!L34</f>
        <v>449283.96445130015</v>
      </c>
      <c r="O13" s="22">
        <f>+'SUPUESTOS DE PROYECCIÓN'!M34</f>
        <v>494212.36089643021</v>
      </c>
      <c r="P13" s="22">
        <f>+'SUPUESTOS DE PROYECCIÓN'!N34</f>
        <v>543633.5969860733</v>
      </c>
      <c r="Q13" s="22">
        <f>+'SUPUESTOS DE PROYECCIÓN'!O34</f>
        <v>597996.95668468066</v>
      </c>
      <c r="R13" s="22">
        <f>+'SUPUESTOS DE PROYECCIÓN'!P34</f>
        <v>657796.65235314879</v>
      </c>
      <c r="S13" s="22">
        <f>+'SUPUESTOS DE PROYECCIÓN'!Q34</f>
        <v>723576.31758846377</v>
      </c>
      <c r="T13" s="22">
        <f>+'SUPUESTOS DE PROYECCIÓN'!R34</f>
        <v>795933.94934731023</v>
      </c>
    </row>
    <row r="14" spans="3:20" x14ac:dyDescent="0.25">
      <c r="D14" s="53" t="s">
        <v>61</v>
      </c>
      <c r="E14" s="7">
        <f>+E13</f>
        <v>191413.47700000001</v>
      </c>
      <c r="F14" s="7">
        <f t="shared" ref="F14:T14" si="0">+F13</f>
        <v>222721.31599999999</v>
      </c>
      <c r="G14" s="7">
        <f t="shared" si="0"/>
        <v>214414.239</v>
      </c>
      <c r="H14" s="7">
        <f t="shared" si="0"/>
        <v>239826.701</v>
      </c>
      <c r="I14" s="7">
        <f t="shared" si="0"/>
        <v>264981.21799999999</v>
      </c>
      <c r="J14" s="7">
        <f t="shared" si="0"/>
        <v>306866.99300000002</v>
      </c>
      <c r="K14" s="7">
        <f t="shared" si="0"/>
        <v>337553.69230000005</v>
      </c>
      <c r="L14" s="7">
        <f t="shared" si="0"/>
        <v>371309.06153000006</v>
      </c>
      <c r="M14" s="7">
        <f t="shared" si="0"/>
        <v>408439.96768300008</v>
      </c>
      <c r="N14" s="7">
        <f t="shared" si="0"/>
        <v>449283.96445130015</v>
      </c>
      <c r="O14" s="7">
        <f t="shared" si="0"/>
        <v>494212.36089643021</v>
      </c>
      <c r="P14" s="7">
        <f t="shared" si="0"/>
        <v>543633.5969860733</v>
      </c>
      <c r="Q14" s="7">
        <f t="shared" si="0"/>
        <v>597996.95668468066</v>
      </c>
      <c r="R14" s="7">
        <f t="shared" si="0"/>
        <v>657796.65235314879</v>
      </c>
      <c r="S14" s="7">
        <f t="shared" si="0"/>
        <v>723576.31758846377</v>
      </c>
      <c r="T14" s="7">
        <f t="shared" si="0"/>
        <v>795933.94934731023</v>
      </c>
    </row>
    <row r="15" spans="3:20" x14ac:dyDescent="0.25">
      <c r="D15" s="53"/>
      <c r="E15" s="7"/>
      <c r="F15" s="7"/>
      <c r="G15" s="7"/>
      <c r="H15" s="7"/>
      <c r="I15" s="7"/>
      <c r="J15" s="7"/>
      <c r="K15" s="7"/>
      <c r="L15" s="7"/>
      <c r="M15" s="7"/>
      <c r="N15" s="7"/>
      <c r="O15" s="7"/>
      <c r="P15" s="7"/>
      <c r="Q15" s="7"/>
      <c r="R15" s="7"/>
      <c r="S15" s="7"/>
      <c r="T15" s="7"/>
    </row>
    <row r="16" spans="3:20" x14ac:dyDescent="0.25">
      <c r="D16" s="51" t="s">
        <v>62</v>
      </c>
      <c r="E16" s="13"/>
      <c r="F16" s="13"/>
      <c r="G16" s="13"/>
      <c r="H16" s="13"/>
      <c r="I16" s="13"/>
      <c r="J16" s="13"/>
      <c r="K16" s="13"/>
      <c r="L16" s="13"/>
      <c r="M16" s="13"/>
      <c r="N16" s="13"/>
      <c r="O16" s="13"/>
      <c r="P16" s="13"/>
      <c r="Q16" s="13"/>
      <c r="R16" s="13"/>
      <c r="S16" s="13"/>
      <c r="T16" s="13"/>
    </row>
    <row r="17" spans="4:21" x14ac:dyDescent="0.25">
      <c r="D17" s="21" t="s">
        <v>63</v>
      </c>
      <c r="E17" s="22">
        <v>-162694.41099999999</v>
      </c>
      <c r="F17" s="22">
        <v>-183376.93700000001</v>
      </c>
      <c r="G17" s="22">
        <v>-195135.8</v>
      </c>
      <c r="H17" s="22">
        <v>-204288.12100000001</v>
      </c>
      <c r="I17" s="22">
        <v>-230679.09</v>
      </c>
      <c r="J17" s="22">
        <v>-246877.611</v>
      </c>
      <c r="K17" s="22">
        <f>+'SUPUESTOS DE PROYECCIÓN'!I37</f>
        <v>-253165.26922500005</v>
      </c>
      <c r="L17" s="22">
        <f>+'SUPUESTOS DE PROYECCIÓN'!J37</f>
        <v>-278481.79614750005</v>
      </c>
      <c r="M17" s="22">
        <f>+'SUPUESTOS DE PROYECCIÓN'!K37</f>
        <v>-306329.97576225008</v>
      </c>
      <c r="N17" s="22">
        <f>+'SUPUESTOS DE PROYECCIÓN'!L37</f>
        <v>-336962.9733384751</v>
      </c>
      <c r="O17" s="22">
        <f>+'SUPUESTOS DE PROYECCIÓN'!M37</f>
        <v>-370659.27067232266</v>
      </c>
      <c r="P17" s="22">
        <f>+'SUPUESTOS DE PROYECCIÓN'!N37</f>
        <v>-407725.19773955498</v>
      </c>
      <c r="Q17" s="22">
        <f>+'SUPUESTOS DE PROYECCIÓN'!O37</f>
        <v>-448497.71751351049</v>
      </c>
      <c r="R17" s="22">
        <f>+'SUPUESTOS DE PROYECCIÓN'!P37</f>
        <v>-493347.48926486156</v>
      </c>
      <c r="S17" s="22">
        <f>+'SUPUESTOS DE PROYECCIÓN'!Q37</f>
        <v>-542682.2381913478</v>
      </c>
      <c r="T17" s="22">
        <f>+'SUPUESTOS DE PROYECCIÓN'!R37</f>
        <v>-596950.46201048268</v>
      </c>
    </row>
    <row r="18" spans="4:21" x14ac:dyDescent="0.25">
      <c r="D18" s="53" t="s">
        <v>64</v>
      </c>
      <c r="E18" s="7">
        <f>+E17</f>
        <v>-162694.41099999999</v>
      </c>
      <c r="F18" s="7">
        <f t="shared" ref="F18:T18" si="1">+F17</f>
        <v>-183376.93700000001</v>
      </c>
      <c r="G18" s="7">
        <f t="shared" si="1"/>
        <v>-195135.8</v>
      </c>
      <c r="H18" s="7">
        <f t="shared" si="1"/>
        <v>-204288.12100000001</v>
      </c>
      <c r="I18" s="7">
        <f t="shared" si="1"/>
        <v>-230679.09</v>
      </c>
      <c r="J18" s="7">
        <f t="shared" si="1"/>
        <v>-246877.611</v>
      </c>
      <c r="K18" s="7">
        <f t="shared" si="1"/>
        <v>-253165.26922500005</v>
      </c>
      <c r="L18" s="7">
        <f t="shared" si="1"/>
        <v>-278481.79614750005</v>
      </c>
      <c r="M18" s="7">
        <f t="shared" si="1"/>
        <v>-306329.97576225008</v>
      </c>
      <c r="N18" s="7">
        <f t="shared" si="1"/>
        <v>-336962.9733384751</v>
      </c>
      <c r="O18" s="7">
        <f t="shared" si="1"/>
        <v>-370659.27067232266</v>
      </c>
      <c r="P18" s="7">
        <f t="shared" si="1"/>
        <v>-407725.19773955498</v>
      </c>
      <c r="Q18" s="7">
        <f t="shared" si="1"/>
        <v>-448497.71751351049</v>
      </c>
      <c r="R18" s="7">
        <f t="shared" si="1"/>
        <v>-493347.48926486156</v>
      </c>
      <c r="S18" s="7">
        <f t="shared" si="1"/>
        <v>-542682.2381913478</v>
      </c>
      <c r="T18" s="7">
        <f t="shared" si="1"/>
        <v>-596950.46201048268</v>
      </c>
    </row>
    <row r="19" spans="4:21" x14ac:dyDescent="0.25">
      <c r="D19" s="53"/>
      <c r="E19" s="7"/>
      <c r="F19" s="7"/>
      <c r="G19" s="7"/>
      <c r="H19" s="7"/>
      <c r="I19" s="7"/>
      <c r="J19" s="7"/>
      <c r="K19" s="47">
        <f>+K18/K14</f>
        <v>-0.75</v>
      </c>
      <c r="L19" s="47">
        <f t="shared" ref="L19:T19" si="2">+L18/L14</f>
        <v>-0.75</v>
      </c>
      <c r="M19" s="47">
        <f t="shared" si="2"/>
        <v>-0.75</v>
      </c>
      <c r="N19" s="47">
        <f t="shared" si="2"/>
        <v>-0.75</v>
      </c>
      <c r="O19" s="47">
        <f t="shared" si="2"/>
        <v>-0.75</v>
      </c>
      <c r="P19" s="47">
        <f t="shared" si="2"/>
        <v>-0.75</v>
      </c>
      <c r="Q19" s="47">
        <f t="shared" si="2"/>
        <v>-0.75</v>
      </c>
      <c r="R19" s="47">
        <f t="shared" si="2"/>
        <v>-0.75</v>
      </c>
      <c r="S19" s="47">
        <f t="shared" si="2"/>
        <v>-0.75</v>
      </c>
      <c r="T19" s="47">
        <f t="shared" si="2"/>
        <v>-0.75</v>
      </c>
    </row>
    <row r="20" spans="4:21" x14ac:dyDescent="0.25">
      <c r="D20" s="53" t="s">
        <v>65</v>
      </c>
      <c r="E20" s="7">
        <f>+E14+E18</f>
        <v>28719.066000000021</v>
      </c>
      <c r="F20" s="7">
        <f t="shared" ref="F20:T20" si="3">+F14+F18</f>
        <v>39344.378999999986</v>
      </c>
      <c r="G20" s="7">
        <f t="shared" si="3"/>
        <v>19278.439000000013</v>
      </c>
      <c r="H20" s="7">
        <f t="shared" si="3"/>
        <v>35538.579999999987</v>
      </c>
      <c r="I20" s="7">
        <f>+I14+I18</f>
        <v>34302.127999999997</v>
      </c>
      <c r="J20" s="7">
        <f t="shared" si="3"/>
        <v>59989.382000000012</v>
      </c>
      <c r="K20" s="7">
        <f>+K14+K18</f>
        <v>84388.423074999999</v>
      </c>
      <c r="L20" s="7">
        <f t="shared" si="3"/>
        <v>92827.265382500016</v>
      </c>
      <c r="M20" s="7">
        <f t="shared" si="3"/>
        <v>102109.99192075001</v>
      </c>
      <c r="N20" s="7">
        <f t="shared" si="3"/>
        <v>112320.99111282505</v>
      </c>
      <c r="O20" s="7">
        <f t="shared" si="3"/>
        <v>123553.09022410755</v>
      </c>
      <c r="P20" s="7">
        <f t="shared" si="3"/>
        <v>135908.39924651833</v>
      </c>
      <c r="Q20" s="7">
        <f t="shared" si="3"/>
        <v>149499.23917117016</v>
      </c>
      <c r="R20" s="7">
        <f t="shared" si="3"/>
        <v>164449.16308828723</v>
      </c>
      <c r="S20" s="7">
        <f t="shared" si="3"/>
        <v>180894.07939711597</v>
      </c>
      <c r="T20" s="7">
        <f t="shared" si="3"/>
        <v>198983.48733682756</v>
      </c>
    </row>
    <row r="21" spans="4:21" x14ac:dyDescent="0.25">
      <c r="D21" s="9"/>
      <c r="E21" s="10"/>
      <c r="F21" s="10"/>
      <c r="G21" s="10"/>
      <c r="H21" s="10"/>
      <c r="I21" s="10"/>
      <c r="J21" s="10"/>
      <c r="K21" s="10"/>
      <c r="L21" s="10"/>
      <c r="M21" s="10"/>
      <c r="N21" s="10"/>
      <c r="O21" s="10"/>
      <c r="P21" s="10"/>
      <c r="Q21" s="10"/>
      <c r="R21" s="10"/>
      <c r="S21" s="10"/>
      <c r="T21" s="10"/>
    </row>
    <row r="22" spans="4:21" x14ac:dyDescent="0.25">
      <c r="D22" s="21" t="s">
        <v>66</v>
      </c>
      <c r="E22" s="22">
        <v>-7780.2479999999996</v>
      </c>
      <c r="F22" s="22">
        <v>-13694.688</v>
      </c>
      <c r="G22" s="22">
        <v>-9113.8700000000008</v>
      </c>
      <c r="H22" s="22">
        <v>-11978.58</v>
      </c>
      <c r="I22" s="22">
        <v>-12745.097</v>
      </c>
      <c r="J22" s="22">
        <v>-15754.243</v>
      </c>
      <c r="K22" s="22">
        <f>+'SUPUESTOS DE PROYECCIÓN'!I40</f>
        <v>-18905.0916</v>
      </c>
      <c r="L22" s="22">
        <f>+'SUPUESTOS DE PROYECCIÓN'!J40</f>
        <v>-22686.109919999999</v>
      </c>
      <c r="M22" s="22">
        <f>+'SUPUESTOS DE PROYECCIÓN'!K40</f>
        <v>-27223.331903999999</v>
      </c>
      <c r="N22" s="22">
        <f>+'SUPUESTOS DE PROYECCIÓN'!L40</f>
        <v>-32667.998284799996</v>
      </c>
      <c r="O22" s="22">
        <f>+'SUPUESTOS DE PROYECCIÓN'!M40</f>
        <v>-39201.597941759996</v>
      </c>
      <c r="P22" s="22">
        <f>+'SUPUESTOS DE PROYECCIÓN'!N40</f>
        <v>-47041.91753011199</v>
      </c>
      <c r="Q22" s="22">
        <f>+'SUPUESTOS DE PROYECCIÓN'!O40</f>
        <v>-56450.301036134384</v>
      </c>
      <c r="R22" s="22">
        <f>+'SUPUESTOS DE PROYECCIÓN'!P40</f>
        <v>-67740.361243361258</v>
      </c>
      <c r="S22" s="22">
        <f>+'SUPUESTOS DE PROYECCIÓN'!Q40</f>
        <v>-81288.43349203351</v>
      </c>
      <c r="T22" s="22">
        <f>+'SUPUESTOS DE PROYECCIÓN'!R40</f>
        <v>-97546.120190440211</v>
      </c>
    </row>
    <row r="23" spans="4:21" x14ac:dyDescent="0.25">
      <c r="D23" s="9"/>
      <c r="E23" s="10"/>
      <c r="F23" s="10"/>
      <c r="G23" s="10"/>
      <c r="H23" s="10"/>
      <c r="I23" s="10"/>
      <c r="J23" s="10"/>
      <c r="K23" s="19">
        <f>+K22/K14</f>
        <v>-5.6006176295053361E-2</v>
      </c>
      <c r="L23" s="19">
        <f t="shared" ref="L23:T23" si="4">+L22/L14</f>
        <v>-6.1097646867330935E-2</v>
      </c>
      <c r="M23" s="19">
        <f t="shared" si="4"/>
        <v>-6.6651978400724662E-2</v>
      </c>
      <c r="N23" s="19">
        <f t="shared" si="4"/>
        <v>-7.271124916442688E-2</v>
      </c>
      <c r="O23" s="19">
        <f t="shared" si="4"/>
        <v>-7.9321362724829328E-2</v>
      </c>
      <c r="P23" s="19">
        <f t="shared" si="4"/>
        <v>-8.6532395699813788E-2</v>
      </c>
      <c r="Q23" s="19">
        <f t="shared" si="4"/>
        <v>-9.4398977127069572E-2</v>
      </c>
      <c r="R23" s="19">
        <f t="shared" si="4"/>
        <v>-0.10298070232043952</v>
      </c>
      <c r="S23" s="19">
        <f t="shared" si="4"/>
        <v>-0.11234258434957037</v>
      </c>
      <c r="T23" s="19">
        <f t="shared" si="4"/>
        <v>-0.12255554656316767</v>
      </c>
    </row>
    <row r="24" spans="4:21" x14ac:dyDescent="0.25">
      <c r="D24" s="53" t="s">
        <v>67</v>
      </c>
      <c r="E24" s="7">
        <f>+E20+E22</f>
        <v>20938.818000000021</v>
      </c>
      <c r="F24" s="7">
        <f t="shared" ref="F24:T24" si="5">+F20+F22</f>
        <v>25649.690999999984</v>
      </c>
      <c r="G24" s="7">
        <f t="shared" si="5"/>
        <v>10164.569000000012</v>
      </c>
      <c r="H24" s="7">
        <f t="shared" si="5"/>
        <v>23559.999999999985</v>
      </c>
      <c r="I24" s="7">
        <f t="shared" si="5"/>
        <v>21557.030999999995</v>
      </c>
      <c r="J24" s="7">
        <f t="shared" si="5"/>
        <v>44235.13900000001</v>
      </c>
      <c r="K24" s="7">
        <f>+K20+K22</f>
        <v>65483.331474999999</v>
      </c>
      <c r="L24" s="7">
        <f t="shared" si="5"/>
        <v>70141.155462500014</v>
      </c>
      <c r="M24" s="7">
        <f t="shared" si="5"/>
        <v>74886.660016750015</v>
      </c>
      <c r="N24" s="7">
        <f t="shared" si="5"/>
        <v>79652.992828025061</v>
      </c>
      <c r="O24" s="7">
        <f t="shared" si="5"/>
        <v>84351.49228234755</v>
      </c>
      <c r="P24" s="7">
        <f t="shared" si="5"/>
        <v>88866.481716406328</v>
      </c>
      <c r="Q24" s="7">
        <f t="shared" si="5"/>
        <v>93048.938135035773</v>
      </c>
      <c r="R24" s="7">
        <f t="shared" si="5"/>
        <v>96708.801844925969</v>
      </c>
      <c r="S24" s="7">
        <f t="shared" si="5"/>
        <v>99605.645905082463</v>
      </c>
      <c r="T24" s="7">
        <f t="shared" si="5"/>
        <v>101437.36714638735</v>
      </c>
    </row>
    <row r="25" spans="4:21" x14ac:dyDescent="0.25">
      <c r="D25" s="53"/>
      <c r="E25" s="7"/>
      <c r="F25" s="7"/>
      <c r="G25" s="7"/>
      <c r="H25" s="7"/>
      <c r="I25" s="7"/>
      <c r="J25" s="7"/>
      <c r="K25" s="7"/>
      <c r="L25" s="7"/>
      <c r="M25" s="7"/>
      <c r="N25" s="7"/>
      <c r="O25" s="7"/>
      <c r="P25" s="7"/>
      <c r="Q25" s="7"/>
      <c r="R25" s="7"/>
      <c r="S25" s="7"/>
      <c r="T25" s="7"/>
    </row>
    <row r="26" spans="4:21" x14ac:dyDescent="0.25">
      <c r="D26" s="53" t="s">
        <v>68</v>
      </c>
      <c r="E26" s="10"/>
      <c r="F26" s="10"/>
      <c r="G26" s="10"/>
      <c r="H26" s="10"/>
      <c r="I26" s="10"/>
      <c r="J26" s="10"/>
      <c r="K26" s="10"/>
      <c r="L26" s="10"/>
      <c r="M26" s="10"/>
      <c r="N26" s="10"/>
      <c r="O26" s="10"/>
      <c r="P26" s="10"/>
      <c r="Q26" s="10"/>
      <c r="R26" s="10"/>
      <c r="S26" s="10"/>
      <c r="T26" s="10"/>
    </row>
    <row r="27" spans="4:21" x14ac:dyDescent="0.25">
      <c r="D27" s="21" t="s">
        <v>69</v>
      </c>
      <c r="E27" s="22">
        <v>8721.5460000000003</v>
      </c>
      <c r="F27" s="22">
        <v>16878.544999999998</v>
      </c>
      <c r="G27" s="22">
        <v>20982.376</v>
      </c>
      <c r="H27" s="22">
        <v>33788.159</v>
      </c>
      <c r="I27" s="22">
        <v>31851.146000000001</v>
      </c>
      <c r="J27" s="22">
        <v>37393.591999999997</v>
      </c>
      <c r="K27" s="22">
        <f>+'SUPUESTOS DE PROYECCIÓN'!I45</f>
        <v>27004.295384000005</v>
      </c>
      <c r="L27" s="22">
        <f>+'SUPUESTOS DE PROYECCIÓN'!J45</f>
        <v>29704.724922400004</v>
      </c>
      <c r="M27" s="22">
        <f>+'SUPUESTOS DE PROYECCIÓN'!K45</f>
        <v>32675.197414640006</v>
      </c>
      <c r="N27" s="22">
        <f>+'SUPUESTOS DE PROYECCIÓN'!L45</f>
        <v>35942.717156104016</v>
      </c>
      <c r="O27" s="22">
        <f>+'SUPUESTOS DE PROYECCIÓN'!M45</f>
        <v>39536.98887171442</v>
      </c>
      <c r="P27" s="22">
        <f>+'SUPUESTOS DE PROYECCIÓN'!N45</f>
        <v>43490.687758885862</v>
      </c>
      <c r="Q27" s="22">
        <f>+'SUPUESTOS DE PROYECCIÓN'!O45</f>
        <v>47839.756534774453</v>
      </c>
      <c r="R27" s="22">
        <f>+'SUPUESTOS DE PROYECCIÓN'!P45</f>
        <v>52623.732188251903</v>
      </c>
      <c r="S27" s="22">
        <f>+'SUPUESTOS DE PROYECCIÓN'!Q45</f>
        <v>57886.105407077106</v>
      </c>
      <c r="T27" s="22">
        <f>+'SUPUESTOS DE PROYECCIÓN'!R45</f>
        <v>63674.715947784818</v>
      </c>
    </row>
    <row r="28" spans="4:21" x14ac:dyDescent="0.25">
      <c r="D28" s="21" t="s">
        <v>70</v>
      </c>
      <c r="E28" s="22">
        <v>-895.60699999999997</v>
      </c>
      <c r="F28" s="22">
        <v>-4113.2629999999999</v>
      </c>
      <c r="G28" s="22">
        <v>-795.66</v>
      </c>
      <c r="H28" s="22">
        <v>-3034.922</v>
      </c>
      <c r="I28" s="22">
        <v>-5513.6229999999996</v>
      </c>
      <c r="J28" s="22">
        <v>-2819.1680000000001</v>
      </c>
      <c r="K28" s="22">
        <f>+'SUPUESTOS DE PROYECCIÓN'!I48</f>
        <v>-3375.5369230000006</v>
      </c>
      <c r="L28" s="22">
        <f>+'SUPUESTOS DE PROYECCIÓN'!J48</f>
        <v>-3713.0906153000005</v>
      </c>
      <c r="M28" s="22">
        <f>+'SUPUESTOS DE PROYECCIÓN'!K48</f>
        <v>-4084.3996768300008</v>
      </c>
      <c r="N28" s="22">
        <f>+'SUPUESTOS DE PROYECCIÓN'!L48</f>
        <v>-4492.839644513002</v>
      </c>
      <c r="O28" s="22">
        <f>+'SUPUESTOS DE PROYECCIÓN'!M48</f>
        <v>-4942.1236089643025</v>
      </c>
      <c r="P28" s="22">
        <f>+'SUPUESTOS DE PROYECCIÓN'!N48</f>
        <v>-5436.3359698607328</v>
      </c>
      <c r="Q28" s="22">
        <f>+'SUPUESTOS DE PROYECCIÓN'!O48</f>
        <v>-5979.9695668468066</v>
      </c>
      <c r="R28" s="22">
        <f>+'SUPUESTOS DE PROYECCIÓN'!P48</f>
        <v>-6577.9665235314878</v>
      </c>
      <c r="S28" s="22">
        <f>+'SUPUESTOS DE PROYECCIÓN'!Q48</f>
        <v>-7235.7631758846383</v>
      </c>
      <c r="T28" s="22">
        <f>+'SUPUESTOS DE PROYECCIÓN'!R48</f>
        <v>-7959.3394934731023</v>
      </c>
    </row>
    <row r="29" spans="4:21" x14ac:dyDescent="0.25">
      <c r="D29" s="51" t="s">
        <v>71</v>
      </c>
      <c r="E29" s="14">
        <f>SUM(E27:E28)</f>
        <v>7825.9390000000003</v>
      </c>
      <c r="F29" s="14">
        <f t="shared" ref="F29:T29" si="6">SUM(F27:F28)</f>
        <v>12765.281999999999</v>
      </c>
      <c r="G29" s="14">
        <f t="shared" si="6"/>
        <v>20186.716</v>
      </c>
      <c r="H29" s="14">
        <f t="shared" si="6"/>
        <v>30753.237000000001</v>
      </c>
      <c r="I29" s="14">
        <f t="shared" si="6"/>
        <v>26337.523000000001</v>
      </c>
      <c r="J29" s="14">
        <f t="shared" si="6"/>
        <v>34574.423999999999</v>
      </c>
      <c r="K29" s="14">
        <f t="shared" si="6"/>
        <v>23628.758461000005</v>
      </c>
      <c r="L29" s="14">
        <f t="shared" si="6"/>
        <v>25991.634307100005</v>
      </c>
      <c r="M29" s="14">
        <f t="shared" si="6"/>
        <v>28590.797737810004</v>
      </c>
      <c r="N29" s="14">
        <f t="shared" si="6"/>
        <v>31449.877511591014</v>
      </c>
      <c r="O29" s="14">
        <f t="shared" si="6"/>
        <v>34594.865262750114</v>
      </c>
      <c r="P29" s="14">
        <f t="shared" si="6"/>
        <v>38054.351789025131</v>
      </c>
      <c r="Q29" s="14">
        <f t="shared" si="6"/>
        <v>41859.786967927648</v>
      </c>
      <c r="R29" s="14">
        <f t="shared" si="6"/>
        <v>46045.765664720413</v>
      </c>
      <c r="S29" s="14">
        <f t="shared" si="6"/>
        <v>50650.342231192466</v>
      </c>
      <c r="T29" s="14">
        <f t="shared" si="6"/>
        <v>55715.376454311714</v>
      </c>
    </row>
    <row r="30" spans="4:21" x14ac:dyDescent="0.25">
      <c r="D30" s="51"/>
      <c r="E30" s="14"/>
      <c r="F30" s="14"/>
      <c r="G30" s="14"/>
      <c r="H30" s="14"/>
      <c r="I30" s="14"/>
      <c r="J30" s="14"/>
      <c r="K30" s="14"/>
      <c r="L30" s="14"/>
      <c r="M30" s="14"/>
      <c r="N30" s="14"/>
      <c r="O30" s="14"/>
      <c r="P30" s="14"/>
      <c r="Q30" s="14"/>
      <c r="R30" s="14"/>
      <c r="S30" s="14"/>
      <c r="T30" s="14"/>
    </row>
    <row r="31" spans="4:21" x14ac:dyDescent="0.25">
      <c r="D31" s="51" t="s">
        <v>79</v>
      </c>
      <c r="E31" s="14">
        <f>+E24+E29</f>
        <v>28764.75700000002</v>
      </c>
      <c r="F31" s="14">
        <f t="shared" ref="F31:T31" si="7">+F24+F29</f>
        <v>38414.972999999984</v>
      </c>
      <c r="G31" s="14">
        <f t="shared" si="7"/>
        <v>30351.285000000011</v>
      </c>
      <c r="H31" s="14">
        <f t="shared" si="7"/>
        <v>54313.236999999986</v>
      </c>
      <c r="I31" s="14">
        <f t="shared" si="7"/>
        <v>47894.553999999996</v>
      </c>
      <c r="J31" s="14">
        <f t="shared" si="7"/>
        <v>78809.563000000009</v>
      </c>
      <c r="K31" s="14">
        <f>+K24+K29</f>
        <v>89112.089936000004</v>
      </c>
      <c r="L31" s="14">
        <f t="shared" si="7"/>
        <v>96132.789769600015</v>
      </c>
      <c r="M31" s="14">
        <f t="shared" si="7"/>
        <v>103477.45775456002</v>
      </c>
      <c r="N31" s="14">
        <f t="shared" si="7"/>
        <v>111102.87033961607</v>
      </c>
      <c r="O31" s="14">
        <f t="shared" si="7"/>
        <v>118946.35754509766</v>
      </c>
      <c r="P31" s="14">
        <f t="shared" si="7"/>
        <v>126920.83350543145</v>
      </c>
      <c r="Q31" s="14">
        <f t="shared" si="7"/>
        <v>134908.72510296342</v>
      </c>
      <c r="R31" s="14">
        <f t="shared" si="7"/>
        <v>142754.56750964638</v>
      </c>
      <c r="S31" s="14">
        <f t="shared" si="7"/>
        <v>150255.98813627491</v>
      </c>
      <c r="T31" s="14">
        <f t="shared" si="7"/>
        <v>157152.74360069906</v>
      </c>
      <c r="U31" s="14"/>
    </row>
    <row r="32" spans="4:21" x14ac:dyDescent="0.25">
      <c r="D32" s="51"/>
      <c r="E32" s="14"/>
      <c r="F32" s="14"/>
      <c r="G32" s="14"/>
      <c r="H32" s="14"/>
      <c r="I32" s="14"/>
      <c r="J32" s="14"/>
      <c r="K32" s="14"/>
      <c r="L32" s="14"/>
      <c r="M32" s="14"/>
      <c r="N32" s="14"/>
      <c r="O32" s="14"/>
      <c r="P32" s="14"/>
      <c r="Q32" s="14"/>
      <c r="R32" s="14"/>
      <c r="S32" s="14"/>
      <c r="T32" s="14"/>
    </row>
    <row r="33" spans="4:20" x14ac:dyDescent="0.25">
      <c r="D33" s="51" t="s">
        <v>72</v>
      </c>
      <c r="E33" s="13"/>
      <c r="F33" s="13"/>
      <c r="G33" s="13"/>
      <c r="H33" s="13"/>
      <c r="I33" s="13"/>
      <c r="J33" s="13"/>
      <c r="K33" s="13"/>
      <c r="L33" s="13"/>
      <c r="M33" s="13"/>
      <c r="N33" s="13"/>
      <c r="O33" s="13"/>
      <c r="P33" s="13"/>
      <c r="Q33" s="13"/>
      <c r="R33" s="13"/>
      <c r="S33" s="13"/>
      <c r="T33" s="13"/>
    </row>
    <row r="34" spans="4:20" x14ac:dyDescent="0.25">
      <c r="D34" s="21" t="s">
        <v>73</v>
      </c>
      <c r="E34" s="22">
        <v>1565.0889999999999</v>
      </c>
      <c r="F34" s="22">
        <v>7978.4639999999999</v>
      </c>
      <c r="G34" s="22">
        <v>4462.2950000000001</v>
      </c>
      <c r="H34" s="22">
        <v>2979.1790000000001</v>
      </c>
      <c r="I34" s="22">
        <v>8370.9549999999999</v>
      </c>
      <c r="J34" s="22">
        <v>2680.241</v>
      </c>
      <c r="K34" s="22">
        <f>+'SUPUESTOS DE PROYECCIÓN'!I52</f>
        <v>1613.9492950000001</v>
      </c>
      <c r="L34" s="22">
        <f>+'SUPUESTOS DE PROYECCIÓN'!J52</f>
        <v>1650.7762760424662</v>
      </c>
      <c r="M34" s="22">
        <f>+'SUPUESTOS DE PROYECCIÓN'!K52</f>
        <v>1709.0389681380827</v>
      </c>
      <c r="N34" s="22">
        <f>+'SUPUESTOS DE PROYECCIÓN'!L52</f>
        <v>1958.2738176582197</v>
      </c>
      <c r="O34" s="22">
        <v>0</v>
      </c>
      <c r="P34" s="22">
        <f>+'SUPUESTOS DE PROYECCIÓN'!N52</f>
        <v>2369.5113193664465</v>
      </c>
      <c r="Q34" s="22">
        <f>+'SUPUESTOS DE PROYECCIÓN'!O52</f>
        <v>2606.4624513030917</v>
      </c>
      <c r="R34" s="22">
        <f>+'SUPUESTOS DE PROYECCIÓN'!P52</f>
        <v>2867.1086964334008</v>
      </c>
      <c r="S34" s="22">
        <f>+'SUPUESTOS DE PROYECCIÓN'!Q52</f>
        <v>3153.8195660767415</v>
      </c>
      <c r="T34" s="22">
        <f>+'SUPUESTOS DE PROYECCIÓN'!R52</f>
        <v>3469.201522684416</v>
      </c>
    </row>
    <row r="35" spans="4:20" x14ac:dyDescent="0.25">
      <c r="D35" s="21" t="s">
        <v>74</v>
      </c>
      <c r="E35" s="22">
        <v>-7975.8959999999997</v>
      </c>
      <c r="F35" s="22">
        <v>-9841.4979999999996</v>
      </c>
      <c r="G35" s="22">
        <v>-9047.1479999999992</v>
      </c>
      <c r="H35" s="22">
        <v>-9638.1409999999996</v>
      </c>
      <c r="I35" s="22">
        <v>-16239.825000000001</v>
      </c>
      <c r="J35" s="22">
        <v>-6731.7640000000001</v>
      </c>
      <c r="K35" s="22">
        <f>+'SUPUESTOS DE PROYECCIÓN'!I56</f>
        <v>-2251.6799618493551</v>
      </c>
      <c r="L35" s="22">
        <f>+'SUPUESTOS DE PROYECCIÓN'!J56</f>
        <v>-2251.6799618493551</v>
      </c>
      <c r="M35" s="22">
        <f>+'SUPUESTOS DE PROYECCIÓN'!K56</f>
        <v>-2251.6799618493551</v>
      </c>
      <c r="N35" s="22">
        <f>+'SUPUESTOS DE PROYECCIÓN'!L56</f>
        <v>-1125.8399809246775</v>
      </c>
      <c r="O35" s="22">
        <f>+'SUPUESTOS DE PROYECCIÓN'!M56</f>
        <v>0</v>
      </c>
      <c r="P35" s="22">
        <f>+'SUPUESTOS DE PROYECCIÓN'!N56</f>
        <v>0</v>
      </c>
      <c r="Q35" s="22">
        <f>+'SUPUESTOS DE PROYECCIÓN'!O56</f>
        <v>0</v>
      </c>
      <c r="R35" s="22">
        <f>+'SUPUESTOS DE PROYECCIÓN'!P56</f>
        <v>0</v>
      </c>
      <c r="S35" s="22">
        <f>+'SUPUESTOS DE PROYECCIÓN'!Q56</f>
        <v>0</v>
      </c>
      <c r="T35" s="22">
        <f>+'SUPUESTOS DE PROYECCIÓN'!R56</f>
        <v>0</v>
      </c>
    </row>
    <row r="36" spans="4:20" x14ac:dyDescent="0.25">
      <c r="D36" s="51" t="s">
        <v>75</v>
      </c>
      <c r="E36" s="14">
        <f>SUM(E34:E35)</f>
        <v>-6410.8069999999998</v>
      </c>
      <c r="F36" s="14">
        <f t="shared" ref="F36:T36" si="8">SUM(F34:F35)</f>
        <v>-1863.0339999999997</v>
      </c>
      <c r="G36" s="14">
        <f t="shared" si="8"/>
        <v>-4584.8529999999992</v>
      </c>
      <c r="H36" s="14">
        <f t="shared" si="8"/>
        <v>-6658.9619999999995</v>
      </c>
      <c r="I36" s="14">
        <f t="shared" si="8"/>
        <v>-7868.8700000000008</v>
      </c>
      <c r="J36" s="14">
        <f t="shared" si="8"/>
        <v>-4051.5230000000001</v>
      </c>
      <c r="K36" s="14">
        <f t="shared" si="8"/>
        <v>-637.73066684935498</v>
      </c>
      <c r="L36" s="14">
        <f t="shared" si="8"/>
        <v>-600.90368580688892</v>
      </c>
      <c r="M36" s="14">
        <f t="shared" si="8"/>
        <v>-542.64099371127236</v>
      </c>
      <c r="N36" s="14">
        <f t="shared" si="8"/>
        <v>832.43383673354219</v>
      </c>
      <c r="O36" s="14">
        <f t="shared" si="8"/>
        <v>0</v>
      </c>
      <c r="P36" s="14">
        <f t="shared" si="8"/>
        <v>2369.5113193664465</v>
      </c>
      <c r="Q36" s="14">
        <f t="shared" si="8"/>
        <v>2606.4624513030917</v>
      </c>
      <c r="R36" s="14">
        <f t="shared" si="8"/>
        <v>2867.1086964334008</v>
      </c>
      <c r="S36" s="14">
        <f t="shared" si="8"/>
        <v>3153.8195660767415</v>
      </c>
      <c r="T36" s="14">
        <f t="shared" si="8"/>
        <v>3469.201522684416</v>
      </c>
    </row>
    <row r="37" spans="4:20" s="13" customFormat="1" x14ac:dyDescent="0.25">
      <c r="D37" s="9"/>
      <c r="E37" s="10"/>
      <c r="F37" s="10"/>
      <c r="G37" s="10"/>
      <c r="H37" s="10"/>
      <c r="I37" s="10"/>
      <c r="J37" s="10"/>
      <c r="K37" s="10"/>
      <c r="L37" s="10"/>
      <c r="M37" s="10"/>
      <c r="N37" s="10"/>
      <c r="O37" s="10"/>
      <c r="P37" s="10"/>
      <c r="Q37" s="10"/>
      <c r="R37" s="10"/>
      <c r="S37" s="10"/>
      <c r="T37" s="10"/>
    </row>
    <row r="38" spans="4:20" x14ac:dyDescent="0.25">
      <c r="D38" s="51" t="s">
        <v>76</v>
      </c>
      <c r="E38" s="14">
        <f t="shared" ref="E38:G38" si="9">+E31+E36</f>
        <v>22353.950000000019</v>
      </c>
      <c r="F38" s="14">
        <f t="shared" si="9"/>
        <v>36551.938999999984</v>
      </c>
      <c r="G38" s="14">
        <f t="shared" si="9"/>
        <v>25766.432000000012</v>
      </c>
      <c r="H38" s="14">
        <f>+H31+H36</f>
        <v>47654.274999999987</v>
      </c>
      <c r="I38" s="14">
        <f>+I31+I36</f>
        <v>40025.683999999994</v>
      </c>
      <c r="J38" s="14">
        <f>+J31+J36</f>
        <v>74758.040000000008</v>
      </c>
      <c r="K38" s="14">
        <f>+K31+K36</f>
        <v>88474.359269150649</v>
      </c>
      <c r="L38" s="14">
        <f t="shared" ref="L38:T38" si="10">+L31+L36</f>
        <v>95531.886083793128</v>
      </c>
      <c r="M38" s="14">
        <f t="shared" si="10"/>
        <v>102934.81676084874</v>
      </c>
      <c r="N38" s="14">
        <f t="shared" si="10"/>
        <v>111935.30417634961</v>
      </c>
      <c r="O38" s="14">
        <f t="shared" si="10"/>
        <v>118946.35754509766</v>
      </c>
      <c r="P38" s="14">
        <f t="shared" si="10"/>
        <v>129290.3448247979</v>
      </c>
      <c r="Q38" s="14">
        <f t="shared" si="10"/>
        <v>137515.18755426651</v>
      </c>
      <c r="R38" s="14">
        <f t="shared" si="10"/>
        <v>145621.67620607978</v>
      </c>
      <c r="S38" s="14">
        <f t="shared" si="10"/>
        <v>153409.80770235165</v>
      </c>
      <c r="T38" s="14">
        <f t="shared" si="10"/>
        <v>160621.94512338348</v>
      </c>
    </row>
    <row r="39" spans="4:20" s="13" customFormat="1" x14ac:dyDescent="0.25">
      <c r="D39" s="9"/>
      <c r="E39" s="10"/>
      <c r="F39" s="10"/>
      <c r="G39" s="10"/>
      <c r="H39" s="10"/>
      <c r="I39" s="10"/>
      <c r="J39" s="10"/>
      <c r="K39" s="10"/>
      <c r="L39" s="10"/>
      <c r="M39" s="10"/>
      <c r="N39" s="10"/>
      <c r="O39" s="10"/>
      <c r="P39" s="10"/>
      <c r="Q39" s="10"/>
      <c r="R39" s="10"/>
      <c r="S39" s="10"/>
      <c r="T39" s="10"/>
    </row>
    <row r="40" spans="4:20" x14ac:dyDescent="0.25">
      <c r="D40" s="21" t="s">
        <v>77</v>
      </c>
      <c r="E40" s="22">
        <v>-3458.587</v>
      </c>
      <c r="F40" s="22">
        <v>-4903.01</v>
      </c>
      <c r="G40" s="22">
        <v>-900.26</v>
      </c>
      <c r="H40" s="22">
        <v>-6060.4970000000003</v>
      </c>
      <c r="I40" s="22">
        <v>-8274.8089999999993</v>
      </c>
      <c r="J40" s="22">
        <v>-18954.278999999999</v>
      </c>
      <c r="K40" s="22">
        <f>+'SUPUESTOS DE PROYECCIÓN'!I68</f>
        <v>-20253.221538000002</v>
      </c>
      <c r="L40" s="22">
        <f>+'SUPUESTOS DE PROYECCIÓN'!J68</f>
        <v>-22278.543691800001</v>
      </c>
      <c r="M40" s="22">
        <f>+'SUPUESTOS DE PROYECCIÓN'!K68</f>
        <v>-24506.398060980006</v>
      </c>
      <c r="N40" s="22">
        <f>+'SUPUESTOS DE PROYECCIÓN'!L68</f>
        <v>-26957.037867078008</v>
      </c>
      <c r="O40" s="22">
        <f>+'SUPUESTOS DE PROYECCIÓN'!M68</f>
        <v>-29652.741653785812</v>
      </c>
      <c r="P40" s="22">
        <f>+'SUPUESTOS DE PROYECCIÓN'!N68</f>
        <v>-32618.015819164397</v>
      </c>
      <c r="Q40" s="22">
        <f>+'SUPUESTOS DE PROYECCIÓN'!O68</f>
        <v>-35879.817401080836</v>
      </c>
      <c r="R40" s="22">
        <f>+'SUPUESTOS DE PROYECCIÓN'!P68</f>
        <v>-39467.799141188923</v>
      </c>
      <c r="S40" s="22">
        <f>+'SUPUESTOS DE PROYECCIÓN'!Q68</f>
        <v>-43414.579055307826</v>
      </c>
      <c r="T40" s="22">
        <f>+'SUPUESTOS DE PROYECCIÓN'!R68</f>
        <v>-47756.03696083861</v>
      </c>
    </row>
    <row r="41" spans="4:20" x14ac:dyDescent="0.25">
      <c r="D41" s="9"/>
      <c r="E41" s="10"/>
      <c r="F41" s="10"/>
      <c r="G41" s="10"/>
      <c r="H41" s="10"/>
      <c r="I41" s="10"/>
      <c r="J41" s="77"/>
      <c r="K41" s="10"/>
      <c r="L41" s="10"/>
      <c r="M41" s="10"/>
      <c r="N41" s="10"/>
      <c r="O41" s="10"/>
      <c r="P41" s="10"/>
      <c r="Q41" s="10"/>
      <c r="R41" s="10"/>
      <c r="S41" s="10"/>
      <c r="T41" s="10"/>
    </row>
    <row r="42" spans="4:20" x14ac:dyDescent="0.25">
      <c r="D42" s="51" t="s">
        <v>78</v>
      </c>
      <c r="E42" s="14">
        <f>+E38+E40</f>
        <v>18895.363000000019</v>
      </c>
      <c r="F42" s="14">
        <f t="shared" ref="F42:T42" si="11">+F38+F40</f>
        <v>31648.928999999982</v>
      </c>
      <c r="G42" s="14">
        <f t="shared" si="11"/>
        <v>24866.172000000013</v>
      </c>
      <c r="H42" s="14">
        <f>+H38+H40</f>
        <v>41593.777999999984</v>
      </c>
      <c r="I42" s="14">
        <f t="shared" si="11"/>
        <v>31750.874999999993</v>
      </c>
      <c r="J42" s="14">
        <f t="shared" si="11"/>
        <v>55803.761000000013</v>
      </c>
      <c r="K42" s="14">
        <f>+K38+K40</f>
        <v>68221.137731150651</v>
      </c>
      <c r="L42" s="14">
        <f t="shared" si="11"/>
        <v>73253.342391993123</v>
      </c>
      <c r="M42" s="14">
        <f t="shared" si="11"/>
        <v>78428.418699868736</v>
      </c>
      <c r="N42" s="14">
        <f t="shared" si="11"/>
        <v>84978.26630927161</v>
      </c>
      <c r="O42" s="14">
        <f t="shared" si="11"/>
        <v>89293.615891311856</v>
      </c>
      <c r="P42" s="14">
        <f t="shared" si="11"/>
        <v>96672.329005633495</v>
      </c>
      <c r="Q42" s="14">
        <f t="shared" si="11"/>
        <v>101635.37015318568</v>
      </c>
      <c r="R42" s="14">
        <f t="shared" si="11"/>
        <v>106153.87706489085</v>
      </c>
      <c r="S42" s="14">
        <f t="shared" si="11"/>
        <v>109995.22864704383</v>
      </c>
      <c r="T42" s="14">
        <f t="shared" si="11"/>
        <v>112865.90816254487</v>
      </c>
    </row>
    <row r="43" spans="4:20" x14ac:dyDescent="0.25">
      <c r="D43" s="51"/>
      <c r="E43" s="9"/>
      <c r="F43" s="9"/>
      <c r="G43" s="9"/>
      <c r="H43" s="9"/>
      <c r="I43" s="9"/>
      <c r="J43" s="9"/>
      <c r="K43" s="9"/>
      <c r="L43" s="9"/>
      <c r="M43" s="9"/>
      <c r="N43" s="9"/>
      <c r="O43" s="9"/>
      <c r="P43" s="9"/>
      <c r="Q43" s="9"/>
      <c r="R43" s="9"/>
      <c r="S43" s="9"/>
      <c r="T43" s="9"/>
    </row>
    <row r="44" spans="4:20" x14ac:dyDescent="0.25">
      <c r="D44" s="51" t="s">
        <v>293</v>
      </c>
      <c r="E44" s="9"/>
      <c r="F44" s="9"/>
      <c r="G44" s="9">
        <v>46.542999999999999</v>
      </c>
      <c r="H44" s="9">
        <v>90.53</v>
      </c>
      <c r="I44" s="9">
        <v>55.28</v>
      </c>
      <c r="J44" s="9">
        <v>97.16</v>
      </c>
      <c r="K44" s="342">
        <f>+K42/K46*1000</f>
        <v>108.62128064479819</v>
      </c>
      <c r="L44" s="342">
        <f t="shared" ref="L44:T44" si="12">+L42/L46*1000</f>
        <v>116.63352630510246</v>
      </c>
      <c r="M44" s="342">
        <f t="shared" si="12"/>
        <v>124.87325133301459</v>
      </c>
      <c r="N44" s="342">
        <f t="shared" si="12"/>
        <v>135.30187886727444</v>
      </c>
      <c r="O44" s="342">
        <f t="shared" si="12"/>
        <v>142.17275223028452</v>
      </c>
      <c r="P44" s="342">
        <f t="shared" si="12"/>
        <v>153.92109438116915</v>
      </c>
      <c r="Q44" s="342">
        <f t="shared" si="12"/>
        <v>161.82321831619393</v>
      </c>
      <c r="R44" s="342">
        <f t="shared" si="12"/>
        <v>169.01755754410274</v>
      </c>
      <c r="S44" s="342">
        <f t="shared" si="12"/>
        <v>175.13373417406027</v>
      </c>
      <c r="T44" s="342">
        <f t="shared" si="12"/>
        <v>179.70441264212303</v>
      </c>
    </row>
    <row r="45" spans="4:20" x14ac:dyDescent="0.25">
      <c r="D45" s="51"/>
      <c r="E45" s="9"/>
      <c r="F45" s="9"/>
      <c r="G45" s="9"/>
      <c r="H45" s="9"/>
      <c r="I45" s="9"/>
      <c r="J45" s="9"/>
      <c r="K45" s="9"/>
      <c r="L45" s="9"/>
      <c r="M45" s="9"/>
      <c r="N45" s="9"/>
      <c r="O45" s="9"/>
      <c r="P45" s="9"/>
      <c r="Q45" s="9"/>
      <c r="R45" s="9"/>
      <c r="S45" s="9"/>
      <c r="T45" s="9"/>
    </row>
    <row r="46" spans="4:20" x14ac:dyDescent="0.25">
      <c r="D46" s="51" t="s">
        <v>294</v>
      </c>
      <c r="E46" s="10">
        <v>0</v>
      </c>
      <c r="F46" s="10">
        <v>0</v>
      </c>
      <c r="G46" s="10">
        <f t="shared" ref="G46:H46" si="13">+G42/G44</f>
        <v>534.26233805298352</v>
      </c>
      <c r="H46" s="10">
        <f t="shared" si="13"/>
        <v>459.44745388269064</v>
      </c>
      <c r="I46" s="10">
        <f>+I42/I44</f>
        <v>574.36459840810403</v>
      </c>
      <c r="J46" s="10">
        <f>+J42/J44</f>
        <v>574.34912515438464</v>
      </c>
      <c r="K46" s="10">
        <f>628064200/1000</f>
        <v>628064.19999999995</v>
      </c>
      <c r="L46" s="10">
        <f t="shared" ref="L46:T46" si="14">628064200/1000</f>
        <v>628064.19999999995</v>
      </c>
      <c r="M46" s="10">
        <f t="shared" si="14"/>
        <v>628064.19999999995</v>
      </c>
      <c r="N46" s="10">
        <f t="shared" si="14"/>
        <v>628064.19999999995</v>
      </c>
      <c r="O46" s="10">
        <f t="shared" si="14"/>
        <v>628064.19999999995</v>
      </c>
      <c r="P46" s="10">
        <f t="shared" si="14"/>
        <v>628064.19999999995</v>
      </c>
      <c r="Q46" s="10">
        <f t="shared" si="14"/>
        <v>628064.19999999995</v>
      </c>
      <c r="R46" s="10">
        <f t="shared" si="14"/>
        <v>628064.19999999995</v>
      </c>
      <c r="S46" s="10">
        <f t="shared" si="14"/>
        <v>628064.19999999995</v>
      </c>
      <c r="T46" s="10">
        <f t="shared" si="14"/>
        <v>628064.19999999995</v>
      </c>
    </row>
    <row r="47" spans="4:20" x14ac:dyDescent="0.25">
      <c r="D47" s="51"/>
      <c r="E47" s="10"/>
      <c r="F47" s="10"/>
      <c r="G47" s="10"/>
      <c r="H47" s="10"/>
      <c r="I47" s="10"/>
      <c r="J47" s="10"/>
    </row>
    <row r="48" spans="4:20" s="59" customFormat="1" x14ac:dyDescent="0.25">
      <c r="D48" s="61" t="s">
        <v>208</v>
      </c>
      <c r="E48" s="62">
        <f>+E42-'BG2008-2013'!E90</f>
        <v>0</v>
      </c>
      <c r="F48" s="62">
        <f>+F42-'BG2008-2013'!F90</f>
        <v>0</v>
      </c>
      <c r="G48" s="62">
        <f>+G42-'BG2008-2013'!G90</f>
        <v>0</v>
      </c>
      <c r="H48" s="62">
        <f>+H42-'BG2008-2013'!H90</f>
        <v>0</v>
      </c>
      <c r="I48" s="62">
        <f>+I42-'BG2008-2013'!I90</f>
        <v>0</v>
      </c>
      <c r="J48" s="62"/>
    </row>
    <row r="49" spans="4:10" x14ac:dyDescent="0.25">
      <c r="D49" s="11"/>
      <c r="E49" s="14"/>
      <c r="F49" s="14"/>
      <c r="G49" s="14"/>
      <c r="H49" s="14"/>
      <c r="I49" s="14"/>
      <c r="J49" s="14"/>
    </row>
    <row r="50" spans="4:10" x14ac:dyDescent="0.25">
      <c r="D50" s="13"/>
      <c r="E50" s="13"/>
      <c r="F50" s="13"/>
      <c r="G50" s="13"/>
      <c r="H50" s="13"/>
      <c r="I50" s="13"/>
      <c r="J50" s="13"/>
    </row>
    <row r="51" spans="4:10" x14ac:dyDescent="0.25">
      <c r="D51" s="9"/>
      <c r="E51" s="10"/>
      <c r="F51" s="10"/>
      <c r="G51" s="10"/>
      <c r="H51" s="10"/>
      <c r="I51" s="10"/>
      <c r="J51" s="10"/>
    </row>
    <row r="52" spans="4:10" x14ac:dyDescent="0.25">
      <c r="D52" s="9"/>
      <c r="E52" s="10"/>
      <c r="F52" s="10"/>
      <c r="G52" s="10"/>
      <c r="H52" s="10"/>
      <c r="I52" s="10"/>
      <c r="J52" s="10"/>
    </row>
    <row r="53" spans="4:10" x14ac:dyDescent="0.25">
      <c r="D53" s="13"/>
      <c r="E53" s="13"/>
      <c r="F53" s="13"/>
      <c r="G53" s="13"/>
      <c r="H53" s="13"/>
      <c r="I53" s="13"/>
      <c r="J53" s="13"/>
    </row>
    <row r="54" spans="4:10" x14ac:dyDescent="0.25">
      <c r="D54" s="11"/>
      <c r="E54" s="14"/>
      <c r="F54" s="14"/>
      <c r="G54" s="14"/>
      <c r="H54" s="14"/>
      <c r="I54" s="14"/>
      <c r="J54" s="14"/>
    </row>
    <row r="55" spans="4:10" x14ac:dyDescent="0.25">
      <c r="D55" s="13"/>
      <c r="E55" s="13"/>
      <c r="F55" s="13"/>
      <c r="G55" s="13"/>
      <c r="H55" s="13"/>
      <c r="I55" s="13"/>
      <c r="J55" s="13"/>
    </row>
    <row r="56" spans="4:10" x14ac:dyDescent="0.25">
      <c r="D56" s="11"/>
      <c r="E56" s="13"/>
      <c r="F56" s="13"/>
      <c r="G56" s="13"/>
      <c r="H56" s="13"/>
      <c r="I56" s="13"/>
      <c r="J56" s="13"/>
    </row>
    <row r="57" spans="4:10" x14ac:dyDescent="0.25">
      <c r="D57" s="13"/>
      <c r="E57" s="13"/>
      <c r="F57" s="13"/>
      <c r="G57" s="13"/>
      <c r="H57" s="13"/>
      <c r="I57" s="13"/>
      <c r="J57" s="13"/>
    </row>
    <row r="58" spans="4:10" x14ac:dyDescent="0.25">
      <c r="D58" s="11"/>
      <c r="E58" s="13"/>
      <c r="F58" s="13"/>
      <c r="G58" s="13"/>
      <c r="H58" s="13"/>
      <c r="I58" s="13"/>
      <c r="J58" s="13"/>
    </row>
    <row r="59" spans="4:10" x14ac:dyDescent="0.25">
      <c r="D59" s="13"/>
      <c r="E59" s="13"/>
      <c r="F59" s="13"/>
      <c r="G59" s="13"/>
      <c r="H59" s="13"/>
      <c r="I59" s="13"/>
      <c r="J59" s="13"/>
    </row>
    <row r="60" spans="4:10" x14ac:dyDescent="0.25">
      <c r="D60" s="9"/>
      <c r="E60" s="10"/>
      <c r="F60" s="10"/>
      <c r="G60" s="10"/>
      <c r="H60" s="10"/>
      <c r="I60" s="10"/>
      <c r="J60" s="10"/>
    </row>
    <row r="61" spans="4:10" x14ac:dyDescent="0.25">
      <c r="D61" s="9"/>
      <c r="E61" s="10"/>
      <c r="F61" s="10"/>
      <c r="G61" s="10"/>
      <c r="H61" s="10"/>
      <c r="I61" s="10"/>
      <c r="J61" s="10"/>
    </row>
    <row r="62" spans="4:10" x14ac:dyDescent="0.25">
      <c r="D62" s="9"/>
      <c r="E62" s="10"/>
      <c r="F62" s="10"/>
      <c r="G62" s="10"/>
      <c r="H62" s="10"/>
      <c r="I62" s="10"/>
      <c r="J62" s="10"/>
    </row>
    <row r="63" spans="4:10" x14ac:dyDescent="0.25">
      <c r="D63" s="9"/>
      <c r="E63" s="10"/>
      <c r="F63" s="10"/>
      <c r="G63" s="10"/>
      <c r="H63" s="10"/>
      <c r="I63" s="10"/>
      <c r="J63" s="10"/>
    </row>
    <row r="64" spans="4:10" x14ac:dyDescent="0.25">
      <c r="D64" s="9"/>
      <c r="E64" s="10"/>
      <c r="F64" s="10"/>
      <c r="G64" s="10"/>
      <c r="H64" s="10"/>
      <c r="I64" s="10"/>
      <c r="J64" s="10"/>
    </row>
    <row r="65" spans="4:10" x14ac:dyDescent="0.25">
      <c r="D65" s="9"/>
      <c r="E65" s="10"/>
      <c r="F65" s="10"/>
      <c r="G65" s="10"/>
      <c r="H65" s="10"/>
      <c r="I65" s="10"/>
      <c r="J65" s="10"/>
    </row>
    <row r="66" spans="4:10" x14ac:dyDescent="0.25">
      <c r="D66" s="9"/>
      <c r="E66" s="10"/>
      <c r="F66" s="10"/>
      <c r="G66" s="10"/>
      <c r="H66" s="10"/>
      <c r="I66" s="10"/>
      <c r="J66" s="10"/>
    </row>
    <row r="67" spans="4:10" x14ac:dyDescent="0.25">
      <c r="D67" s="9"/>
      <c r="E67" s="10"/>
      <c r="F67" s="10"/>
      <c r="G67" s="10"/>
      <c r="H67" s="10"/>
      <c r="I67" s="10"/>
      <c r="J67" s="10"/>
    </row>
    <row r="68" spans="4:10" x14ac:dyDescent="0.25">
      <c r="D68" s="9"/>
      <c r="E68" s="10"/>
      <c r="F68" s="10"/>
      <c r="G68" s="10"/>
      <c r="H68" s="10"/>
      <c r="I68" s="10"/>
      <c r="J68" s="10"/>
    </row>
    <row r="69" spans="4:10" x14ac:dyDescent="0.25">
      <c r="D69" s="9"/>
      <c r="E69" s="10"/>
      <c r="F69" s="10"/>
      <c r="G69" s="10"/>
      <c r="H69" s="10"/>
      <c r="I69" s="10"/>
      <c r="J69" s="10"/>
    </row>
    <row r="70" spans="4:10" x14ac:dyDescent="0.25">
      <c r="D70" s="13"/>
      <c r="E70" s="13"/>
      <c r="F70" s="13"/>
      <c r="G70" s="13"/>
      <c r="H70" s="13"/>
      <c r="I70" s="13"/>
      <c r="J70" s="13"/>
    </row>
    <row r="71" spans="4:10" x14ac:dyDescent="0.25">
      <c r="D71" s="11"/>
      <c r="E71" s="14"/>
      <c r="F71" s="14"/>
      <c r="G71" s="14"/>
      <c r="H71" s="14"/>
      <c r="I71" s="14"/>
      <c r="J71" s="14"/>
    </row>
    <row r="72" spans="4:10" x14ac:dyDescent="0.25">
      <c r="D72" s="13"/>
      <c r="E72" s="13"/>
      <c r="F72" s="13"/>
      <c r="G72" s="13"/>
      <c r="H72" s="13"/>
      <c r="I72" s="13"/>
      <c r="J72" s="13"/>
    </row>
    <row r="73" spans="4:10" x14ac:dyDescent="0.25">
      <c r="D73" s="11"/>
      <c r="E73" s="13"/>
      <c r="F73" s="13"/>
      <c r="G73" s="13"/>
      <c r="H73" s="13"/>
      <c r="I73" s="13"/>
      <c r="J73" s="13"/>
    </row>
    <row r="74" spans="4:10" x14ac:dyDescent="0.25">
      <c r="D74" s="13"/>
      <c r="E74" s="13"/>
      <c r="F74" s="13"/>
      <c r="G74" s="13"/>
      <c r="H74" s="13"/>
      <c r="I74" s="13"/>
      <c r="J74" s="13"/>
    </row>
    <row r="75" spans="4:10" x14ac:dyDescent="0.25">
      <c r="D75" s="9"/>
      <c r="E75" s="10"/>
      <c r="F75" s="10"/>
      <c r="G75" s="10"/>
      <c r="H75" s="10"/>
      <c r="I75" s="10"/>
      <c r="J75" s="10"/>
    </row>
    <row r="76" spans="4:10" x14ac:dyDescent="0.25">
      <c r="D76" s="9"/>
      <c r="E76" s="10"/>
      <c r="F76" s="10"/>
      <c r="G76" s="10"/>
      <c r="H76" s="10"/>
      <c r="I76" s="10"/>
      <c r="J76" s="10"/>
    </row>
    <row r="77" spans="4:10" x14ac:dyDescent="0.25">
      <c r="D77" s="9"/>
      <c r="E77" s="10"/>
      <c r="F77" s="10"/>
      <c r="G77" s="10"/>
      <c r="H77" s="10"/>
      <c r="I77" s="10"/>
      <c r="J77" s="10"/>
    </row>
    <row r="78" spans="4:10" x14ac:dyDescent="0.25">
      <c r="D78" s="9"/>
      <c r="E78" s="10"/>
      <c r="F78" s="10"/>
      <c r="G78" s="10"/>
      <c r="H78" s="10"/>
      <c r="I78" s="10"/>
      <c r="J78" s="10"/>
    </row>
    <row r="79" spans="4:10" x14ac:dyDescent="0.25">
      <c r="D79" s="9"/>
      <c r="E79" s="10"/>
      <c r="F79" s="10"/>
      <c r="G79" s="10"/>
      <c r="H79" s="10"/>
      <c r="I79" s="10"/>
      <c r="J79" s="10"/>
    </row>
    <row r="80" spans="4:10" x14ac:dyDescent="0.25">
      <c r="D80" s="9"/>
      <c r="E80" s="10"/>
      <c r="F80" s="10"/>
      <c r="G80" s="10"/>
      <c r="H80" s="10"/>
      <c r="I80" s="10"/>
      <c r="J80" s="10"/>
    </row>
    <row r="81" spans="4:10" x14ac:dyDescent="0.25">
      <c r="D81" s="9"/>
      <c r="E81" s="10"/>
      <c r="F81" s="10"/>
      <c r="G81" s="10"/>
      <c r="H81" s="10"/>
      <c r="I81" s="10"/>
      <c r="J81" s="10"/>
    </row>
    <row r="82" spans="4:10" x14ac:dyDescent="0.25">
      <c r="D82" s="13"/>
      <c r="E82" s="13"/>
      <c r="F82" s="13"/>
      <c r="G82" s="13"/>
      <c r="H82" s="13"/>
      <c r="I82" s="13"/>
      <c r="J82" s="13"/>
    </row>
    <row r="83" spans="4:10" x14ac:dyDescent="0.25">
      <c r="D83" s="11"/>
      <c r="E83" s="14"/>
      <c r="F83" s="14"/>
      <c r="G83" s="14"/>
      <c r="H83" s="14"/>
      <c r="I83" s="14"/>
      <c r="J83" s="14"/>
    </row>
    <row r="84" spans="4:10" x14ac:dyDescent="0.25">
      <c r="D84" s="13"/>
      <c r="E84" s="13"/>
      <c r="F84" s="13"/>
      <c r="G84" s="13"/>
      <c r="H84" s="13"/>
      <c r="I84" s="13"/>
      <c r="J84" s="13"/>
    </row>
    <row r="85" spans="4:10" x14ac:dyDescent="0.25">
      <c r="D85" s="11"/>
      <c r="E85" s="14"/>
      <c r="F85" s="14"/>
      <c r="G85" s="14"/>
      <c r="H85" s="14"/>
      <c r="I85" s="14"/>
      <c r="J85" s="14"/>
    </row>
    <row r="86" spans="4:10" x14ac:dyDescent="0.25">
      <c r="D86" s="13"/>
      <c r="E86" s="13"/>
      <c r="F86" s="13"/>
      <c r="G86" s="13"/>
      <c r="H86" s="13"/>
      <c r="I86" s="13"/>
      <c r="J86" s="13"/>
    </row>
    <row r="87" spans="4:10" x14ac:dyDescent="0.25">
      <c r="D87" s="11"/>
      <c r="E87" s="13"/>
      <c r="F87" s="13"/>
      <c r="G87" s="13"/>
      <c r="H87" s="13"/>
      <c r="I87" s="13"/>
      <c r="J87" s="13"/>
    </row>
    <row r="88" spans="4:10" x14ac:dyDescent="0.25">
      <c r="D88" s="13"/>
      <c r="E88" s="13"/>
      <c r="F88" s="13"/>
      <c r="G88" s="13"/>
      <c r="H88" s="13"/>
      <c r="I88" s="13"/>
      <c r="J88" s="13"/>
    </row>
    <row r="89" spans="4:10" x14ac:dyDescent="0.25">
      <c r="D89" s="9"/>
      <c r="E89" s="10"/>
      <c r="F89" s="10"/>
      <c r="G89" s="10"/>
      <c r="H89" s="10"/>
      <c r="I89" s="10"/>
      <c r="J89" s="10"/>
    </row>
    <row r="90" spans="4:10" x14ac:dyDescent="0.25">
      <c r="D90" s="9"/>
      <c r="E90" s="10"/>
      <c r="F90" s="10"/>
      <c r="G90" s="10"/>
      <c r="H90" s="10"/>
      <c r="I90" s="10"/>
      <c r="J90" s="10"/>
    </row>
    <row r="91" spans="4:10" x14ac:dyDescent="0.25">
      <c r="D91" s="9"/>
      <c r="E91" s="10"/>
      <c r="F91" s="10"/>
      <c r="G91" s="10"/>
      <c r="H91" s="10"/>
      <c r="I91" s="10"/>
      <c r="J91" s="10"/>
    </row>
    <row r="92" spans="4:10" x14ac:dyDescent="0.25">
      <c r="D92" s="13"/>
      <c r="E92" s="13"/>
      <c r="F92" s="13"/>
      <c r="G92" s="13"/>
      <c r="H92" s="13"/>
      <c r="I92" s="13"/>
      <c r="J92" s="13"/>
    </row>
    <row r="93" spans="4:10" x14ac:dyDescent="0.25">
      <c r="D93" s="11"/>
      <c r="E93" s="14"/>
      <c r="F93" s="14"/>
      <c r="G93" s="14"/>
      <c r="H93" s="14"/>
      <c r="I93" s="14"/>
      <c r="J93" s="14"/>
    </row>
    <row r="94" spans="4:10" x14ac:dyDescent="0.25">
      <c r="D94" s="13"/>
      <c r="E94" s="13"/>
      <c r="F94" s="13"/>
      <c r="G94" s="13"/>
      <c r="H94" s="13"/>
      <c r="I94" s="13"/>
      <c r="J94" s="13"/>
    </row>
    <row r="95" spans="4:10" x14ac:dyDescent="0.25">
      <c r="D95" s="9"/>
      <c r="E95" s="10"/>
      <c r="F95" s="10"/>
      <c r="G95" s="10"/>
      <c r="H95" s="10"/>
      <c r="I95" s="10"/>
      <c r="J95" s="10"/>
    </row>
    <row r="96" spans="4:10" x14ac:dyDescent="0.25">
      <c r="D96" s="9"/>
      <c r="E96" s="10"/>
      <c r="F96" s="10"/>
      <c r="G96" s="10"/>
      <c r="H96" s="10"/>
      <c r="I96" s="10"/>
      <c r="J96" s="10"/>
    </row>
    <row r="97" spans="4:10" x14ac:dyDescent="0.25">
      <c r="D97" s="9"/>
      <c r="E97" s="10"/>
      <c r="F97" s="10"/>
      <c r="G97" s="10"/>
      <c r="H97" s="10"/>
      <c r="I97" s="10"/>
      <c r="J97" s="10"/>
    </row>
    <row r="98" spans="4:10" x14ac:dyDescent="0.25">
      <c r="D98" s="9"/>
      <c r="E98" s="10"/>
      <c r="F98" s="10"/>
      <c r="G98" s="10"/>
      <c r="H98" s="10"/>
      <c r="I98" s="10"/>
      <c r="J98" s="10"/>
    </row>
    <row r="99" spans="4:10" x14ac:dyDescent="0.25">
      <c r="D99" s="9"/>
      <c r="E99" s="10"/>
      <c r="F99" s="10"/>
      <c r="G99" s="10"/>
      <c r="H99" s="10"/>
      <c r="I99" s="10"/>
      <c r="J99" s="10"/>
    </row>
    <row r="100" spans="4:10" x14ac:dyDescent="0.25">
      <c r="D100" s="9"/>
      <c r="E100" s="10"/>
      <c r="F100" s="10"/>
      <c r="G100" s="10"/>
      <c r="H100" s="10"/>
      <c r="I100" s="10"/>
      <c r="J100" s="10"/>
    </row>
    <row r="101" spans="4:10" x14ac:dyDescent="0.25">
      <c r="D101" s="9"/>
      <c r="E101" s="10"/>
      <c r="F101" s="10"/>
      <c r="G101" s="10"/>
      <c r="H101" s="10"/>
      <c r="I101" s="10"/>
      <c r="J101" s="10"/>
    </row>
    <row r="102" spans="4:10" x14ac:dyDescent="0.25">
      <c r="D102" s="9"/>
      <c r="E102" s="10"/>
      <c r="F102" s="10"/>
      <c r="G102" s="10"/>
      <c r="H102" s="10"/>
      <c r="I102" s="10"/>
      <c r="J102" s="10"/>
    </row>
    <row r="103" spans="4:10" x14ac:dyDescent="0.25">
      <c r="D103" s="9"/>
      <c r="E103" s="10"/>
      <c r="F103" s="10"/>
      <c r="G103" s="10"/>
      <c r="H103" s="10"/>
      <c r="I103" s="10"/>
      <c r="J103" s="10"/>
    </row>
    <row r="104" spans="4:10" x14ac:dyDescent="0.25">
      <c r="D104" s="9"/>
      <c r="E104" s="10"/>
      <c r="F104" s="10"/>
      <c r="G104" s="10"/>
      <c r="H104" s="10"/>
      <c r="I104" s="10"/>
      <c r="J104" s="10"/>
    </row>
    <row r="105" spans="4:10" x14ac:dyDescent="0.25">
      <c r="D105" s="13"/>
      <c r="E105" s="13"/>
      <c r="F105" s="13"/>
      <c r="G105" s="13"/>
      <c r="H105" s="13"/>
      <c r="I105" s="13"/>
      <c r="J105" s="13"/>
    </row>
    <row r="106" spans="4:10" x14ac:dyDescent="0.25">
      <c r="D106" s="11"/>
      <c r="E106" s="14"/>
      <c r="F106" s="14"/>
      <c r="G106" s="14"/>
      <c r="H106" s="14"/>
      <c r="I106" s="14"/>
      <c r="J106" s="14"/>
    </row>
    <row r="107" spans="4:10" x14ac:dyDescent="0.25">
      <c r="D107" s="13"/>
      <c r="E107" s="13"/>
      <c r="F107" s="13"/>
      <c r="G107" s="13"/>
      <c r="H107" s="13"/>
      <c r="I107" s="13"/>
      <c r="J107" s="13"/>
    </row>
    <row r="108" spans="4:10" x14ac:dyDescent="0.25">
      <c r="D108" s="11"/>
      <c r="E108" s="14"/>
      <c r="F108" s="14"/>
      <c r="G108" s="14"/>
      <c r="H108" s="14"/>
      <c r="I108" s="14"/>
      <c r="J108" s="14"/>
    </row>
    <row r="109" spans="4:10" x14ac:dyDescent="0.25">
      <c r="D109" s="13"/>
      <c r="E109" s="15"/>
      <c r="F109" s="15"/>
      <c r="G109" s="15"/>
      <c r="H109" s="15"/>
      <c r="I109" s="15"/>
      <c r="J109" s="15"/>
    </row>
    <row r="110" spans="4:10" x14ac:dyDescent="0.25">
      <c r="D110" s="9"/>
      <c r="E110" s="10"/>
      <c r="F110" s="10"/>
      <c r="G110" s="10"/>
      <c r="H110" s="10"/>
      <c r="I110" s="10"/>
      <c r="J110" s="10"/>
    </row>
    <row r="111" spans="4:10" x14ac:dyDescent="0.25">
      <c r="D111" s="9"/>
      <c r="E111" s="10"/>
      <c r="F111" s="10"/>
      <c r="G111" s="10"/>
      <c r="H111" s="10"/>
      <c r="I111" s="10"/>
      <c r="J111" s="10"/>
    </row>
    <row r="112" spans="4:10" x14ac:dyDescent="0.25">
      <c r="D112" s="13"/>
      <c r="E112" s="13"/>
      <c r="F112" s="13"/>
      <c r="G112" s="13"/>
      <c r="H112" s="13"/>
      <c r="I112" s="13"/>
      <c r="J112" s="13"/>
    </row>
    <row r="113" spans="4:10" x14ac:dyDescent="0.25">
      <c r="D113" s="11"/>
      <c r="E113" s="14"/>
      <c r="F113" s="14"/>
      <c r="G113" s="14"/>
      <c r="H113" s="14"/>
      <c r="I113" s="14"/>
      <c r="J113" s="14"/>
    </row>
    <row r="114" spans="4:10" x14ac:dyDescent="0.25">
      <c r="D114" s="13"/>
      <c r="E114" s="13"/>
      <c r="F114" s="13"/>
      <c r="G114" s="13"/>
      <c r="H114" s="13"/>
      <c r="I114" s="13"/>
      <c r="J114" s="13"/>
    </row>
  </sheetData>
  <mergeCells count="1">
    <mergeCell ref="D8:T8"/>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R52"/>
  <sheetViews>
    <sheetView showGridLines="0" topLeftCell="B1" workbookViewId="0">
      <selection activeCell="C53" sqref="C53"/>
    </sheetView>
  </sheetViews>
  <sheetFormatPr baseColWidth="10" defaultRowHeight="15" x14ac:dyDescent="0.25"/>
  <cols>
    <col min="1" max="1" width="11.42578125" style="228"/>
    <col min="2" max="2" width="64.7109375" style="228" bestFit="1" customWidth="1"/>
    <col min="3" max="16384" width="11.42578125" style="228"/>
  </cols>
  <sheetData>
    <row r="8" spans="2:18" ht="15.75" thickBot="1" x14ac:dyDescent="0.3"/>
    <row r="9" spans="2:18" ht="19.5" thickBot="1" x14ac:dyDescent="0.3">
      <c r="B9" s="380" t="s">
        <v>379</v>
      </c>
      <c r="C9" s="381"/>
      <c r="D9" s="381"/>
      <c r="E9" s="381"/>
      <c r="F9" s="381"/>
      <c r="G9" s="381"/>
      <c r="H9" s="381"/>
      <c r="I9" s="381"/>
      <c r="J9" s="381"/>
      <c r="K9" s="381"/>
      <c r="L9" s="381"/>
      <c r="M9" s="217"/>
      <c r="N9" s="218"/>
      <c r="O9" s="218"/>
      <c r="P9" s="218"/>
      <c r="Q9" s="218"/>
      <c r="R9" s="218"/>
    </row>
    <row r="11" spans="2:18" x14ac:dyDescent="0.25">
      <c r="C11" s="4" t="str">
        <f>+'BGPR2008-2023'!K11</f>
        <v>2014E</v>
      </c>
      <c r="D11" s="4" t="str">
        <f>+'BGPR2008-2023'!L11</f>
        <v>2015E</v>
      </c>
      <c r="E11" s="4" t="str">
        <f>+'BGPR2008-2023'!M11</f>
        <v>2016E</v>
      </c>
      <c r="F11" s="4" t="str">
        <f>+'BGPR2008-2023'!N11</f>
        <v>2017E</v>
      </c>
      <c r="G11" s="4" t="str">
        <f>+'BGPR2008-2023'!O11</f>
        <v>2018E</v>
      </c>
      <c r="H11" s="4" t="str">
        <f>+'BGPR2008-2023'!P11</f>
        <v>2019E</v>
      </c>
      <c r="I11" s="4" t="str">
        <f>+'BGPR2008-2023'!Q11</f>
        <v>2020E</v>
      </c>
      <c r="J11" s="4" t="str">
        <f>+'BGPR2008-2023'!R11</f>
        <v>2021E</v>
      </c>
      <c r="K11" s="4" t="str">
        <f>+'BGPR2008-2023'!S11</f>
        <v>2022E</v>
      </c>
      <c r="L11" s="4" t="str">
        <f>+'BGPR2008-2023'!T11</f>
        <v>2023E</v>
      </c>
    </row>
    <row r="13" spans="2:18" x14ac:dyDescent="0.25">
      <c r="B13" s="11" t="s">
        <v>668</v>
      </c>
      <c r="C13" s="11"/>
    </row>
    <row r="15" spans="2:18" x14ac:dyDescent="0.25">
      <c r="B15" s="229" t="s">
        <v>669</v>
      </c>
      <c r="C15" s="230">
        <v>2.53E-2</v>
      </c>
      <c r="D15" s="230">
        <v>2.53E-2</v>
      </c>
      <c r="E15" s="230">
        <v>2.53E-2</v>
      </c>
      <c r="F15" s="230">
        <v>2.53E-2</v>
      </c>
      <c r="G15" s="230">
        <v>2.53E-2</v>
      </c>
      <c r="H15" s="230">
        <v>2.53E-2</v>
      </c>
      <c r="I15" s="230">
        <v>2.53E-2</v>
      </c>
      <c r="J15" s="230">
        <v>2.53E-2</v>
      </c>
      <c r="K15" s="230">
        <v>2.53E-2</v>
      </c>
      <c r="L15" s="230">
        <v>2.53E-2</v>
      </c>
    </row>
    <row r="16" spans="2:18" x14ac:dyDescent="0.25">
      <c r="B16" s="229" t="s">
        <v>670</v>
      </c>
      <c r="C16" s="231">
        <v>6.2700000000000006E-2</v>
      </c>
      <c r="D16" s="231">
        <v>6.2700000000000006E-2</v>
      </c>
      <c r="E16" s="231">
        <v>6.2700000000000006E-2</v>
      </c>
      <c r="F16" s="231">
        <v>6.2700000000000006E-2</v>
      </c>
      <c r="G16" s="231">
        <v>6.2700000000000006E-2</v>
      </c>
      <c r="H16" s="231">
        <v>6.2700000000000006E-2</v>
      </c>
      <c r="I16" s="231">
        <v>6.2700000000000006E-2</v>
      </c>
      <c r="J16" s="231">
        <v>6.2700000000000006E-2</v>
      </c>
      <c r="K16" s="231">
        <v>6.2700000000000006E-2</v>
      </c>
      <c r="L16" s="231">
        <v>6.2700000000000006E-2</v>
      </c>
    </row>
    <row r="17" spans="2:12" x14ac:dyDescent="0.25">
      <c r="B17" s="229" t="s">
        <v>671</v>
      </c>
      <c r="C17" s="230">
        <f>+C15+C16</f>
        <v>8.8000000000000009E-2</v>
      </c>
      <c r="D17" s="230">
        <f t="shared" ref="D17:L17" si="0">+D15+D16</f>
        <v>8.8000000000000009E-2</v>
      </c>
      <c r="E17" s="230">
        <f t="shared" si="0"/>
        <v>8.8000000000000009E-2</v>
      </c>
      <c r="F17" s="230">
        <f t="shared" si="0"/>
        <v>8.8000000000000009E-2</v>
      </c>
      <c r="G17" s="230">
        <f t="shared" si="0"/>
        <v>8.8000000000000009E-2</v>
      </c>
      <c r="H17" s="230">
        <f t="shared" si="0"/>
        <v>8.8000000000000009E-2</v>
      </c>
      <c r="I17" s="230">
        <f t="shared" si="0"/>
        <v>8.8000000000000009E-2</v>
      </c>
      <c r="J17" s="230">
        <f t="shared" si="0"/>
        <v>8.8000000000000009E-2</v>
      </c>
      <c r="K17" s="230">
        <f t="shared" si="0"/>
        <v>8.8000000000000009E-2</v>
      </c>
      <c r="L17" s="230">
        <f t="shared" si="0"/>
        <v>8.8000000000000009E-2</v>
      </c>
    </row>
    <row r="18" spans="2:12" x14ac:dyDescent="0.25">
      <c r="B18" s="56"/>
      <c r="C18" s="232"/>
      <c r="D18" s="232"/>
      <c r="E18" s="232"/>
      <c r="F18" s="232"/>
      <c r="G18" s="232"/>
      <c r="H18" s="232"/>
      <c r="I18" s="232"/>
      <c r="J18" s="232"/>
      <c r="K18" s="232"/>
      <c r="L18" s="232"/>
    </row>
    <row r="19" spans="2:12" x14ac:dyDescent="0.25">
      <c r="B19" s="56"/>
      <c r="C19" s="232"/>
      <c r="D19" s="232"/>
      <c r="E19" s="232"/>
      <c r="F19" s="232"/>
      <c r="G19" s="232"/>
      <c r="H19" s="232"/>
      <c r="I19" s="232"/>
      <c r="J19" s="232"/>
      <c r="K19" s="232"/>
      <c r="L19" s="232"/>
    </row>
    <row r="20" spans="2:12" x14ac:dyDescent="0.25">
      <c r="B20" s="229" t="s">
        <v>675</v>
      </c>
      <c r="C20" s="230">
        <f>+(C21*(1+C22*(1-C23)))</f>
        <v>1.0817748102492338E-2</v>
      </c>
      <c r="D20" s="230">
        <f>+(D21*(1+D22*(1-D23)))</f>
        <v>1.1448271666487132E-2</v>
      </c>
      <c r="E20" s="230">
        <f t="shared" ref="E20:L20" si="1">+(E21*(1+E22*(1-E23)))</f>
        <v>1.1482659924692915E-2</v>
      </c>
      <c r="F20" s="230">
        <f t="shared" si="1"/>
        <v>1.1536296874133557E-2</v>
      </c>
      <c r="G20" s="230">
        <f t="shared" si="1"/>
        <v>1.1597306933165259E-2</v>
      </c>
      <c r="H20" s="230">
        <f t="shared" si="1"/>
        <v>1.1660776159798813E-2</v>
      </c>
      <c r="I20" s="230">
        <f t="shared" si="1"/>
        <v>1.1737846210563981E-2</v>
      </c>
      <c r="J20" s="230">
        <f t="shared" si="1"/>
        <v>1.1816718172077139E-2</v>
      </c>
      <c r="K20" s="230">
        <f t="shared" si="1"/>
        <v>1.1898072163095325E-2</v>
      </c>
      <c r="L20" s="230">
        <f t="shared" si="1"/>
        <v>1.1990142795253279E-2</v>
      </c>
    </row>
    <row r="21" spans="2:12" x14ac:dyDescent="0.25">
      <c r="B21" s="229" t="s">
        <v>672</v>
      </c>
      <c r="C21" s="231">
        <v>9.5999999999999992E-3</v>
      </c>
      <c r="D21" s="231">
        <f>+C21</f>
        <v>9.5999999999999992E-3</v>
      </c>
      <c r="E21" s="231">
        <f t="shared" ref="E21:L21" si="2">+D21</f>
        <v>9.5999999999999992E-3</v>
      </c>
      <c r="F21" s="231">
        <f t="shared" si="2"/>
        <v>9.5999999999999992E-3</v>
      </c>
      <c r="G21" s="231">
        <f t="shared" si="2"/>
        <v>9.5999999999999992E-3</v>
      </c>
      <c r="H21" s="231">
        <f t="shared" si="2"/>
        <v>9.5999999999999992E-3</v>
      </c>
      <c r="I21" s="231">
        <f t="shared" si="2"/>
        <v>9.5999999999999992E-3</v>
      </c>
      <c r="J21" s="231">
        <f t="shared" si="2"/>
        <v>9.5999999999999992E-3</v>
      </c>
      <c r="K21" s="231">
        <f t="shared" si="2"/>
        <v>9.5999999999999992E-3</v>
      </c>
      <c r="L21" s="231">
        <f t="shared" si="2"/>
        <v>9.5999999999999992E-3</v>
      </c>
    </row>
    <row r="22" spans="2:12" x14ac:dyDescent="0.25">
      <c r="B22" s="229" t="s">
        <v>673</v>
      </c>
      <c r="C22" s="230">
        <f>+('BGPR2008-2023'!K49+'BGPR2008-2023'!K50+'BGPR2008-2023'!K64+'BGPR2008-2023'!K65)/'BGPR2008-2023'!K95</f>
        <v>0.19219509193376574</v>
      </c>
      <c r="D22" s="230">
        <f>+('BGPR2008-2023'!L49+'BGPR2008-2023'!L50+'BGPR2008-2023'!L64+'BGPR2008-2023'!L65)/'BGPR2008-2023'!L95</f>
        <v>0.29170954332183302</v>
      </c>
      <c r="E22" s="230">
        <f>+('BGPR2008-2023'!M49+'BGPR2008-2023'!M50+'BGPR2008-2023'!M64+'BGPR2008-2023'!M65)/'BGPR2008-2023'!M95</f>
        <v>0.29713698306390729</v>
      </c>
      <c r="F22" s="230">
        <f>+('BGPR2008-2023'!N49+'BGPR2008-2023'!N50+'BGPR2008-2023'!N64+'BGPR2008-2023'!N65)/'BGPR2008-2023'!N95</f>
        <v>0.30560241069027122</v>
      </c>
      <c r="G22" s="230">
        <f>+('BGPR2008-2023'!O49+'BGPR2008-2023'!O50+'BGPR2008-2023'!O64+'BGPR2008-2023'!O65)/'BGPR2008-2023'!O95</f>
        <v>0.31523152354249706</v>
      </c>
      <c r="H22" s="230">
        <f>+('BGPR2008-2023'!P49+'BGPR2008-2023'!P50+'BGPR2008-2023'!P64+'BGPR2008-2023'!P65)/'BGPR2008-2023'!P95</f>
        <v>0.3252487625945098</v>
      </c>
      <c r="I22" s="230">
        <f>+('BGPR2008-2023'!Q49+'BGPR2008-2023'!Q50+'BGPR2008-2023'!Q64+'BGPR2008-2023'!Q65)/'BGPR2008-2023'!Q95</f>
        <v>0.33741259636426479</v>
      </c>
      <c r="J22" s="230">
        <f>+('BGPR2008-2023'!R49+'BGPR2008-2023'!R50+'BGPR2008-2023'!R64+'BGPR2008-2023'!R65)/'BGPR2008-2023'!R95</f>
        <v>0.34986082261318507</v>
      </c>
      <c r="K22" s="230">
        <f>+('BGPR2008-2023'!S49+'BGPR2008-2023'!S50+'BGPR2008-2023'!S64+'BGPR2008-2023'!S65)/'BGPR2008-2023'!S95</f>
        <v>0.36270078331681288</v>
      </c>
      <c r="L22" s="230">
        <f>+('BGPR2008-2023'!T49+'BGPR2008-2023'!T50+'BGPR2008-2023'!T64+'BGPR2008-2023'!T65)/'BGPR2008-2023'!T95</f>
        <v>0.37723213308921733</v>
      </c>
    </row>
    <row r="23" spans="2:12" x14ac:dyDescent="0.25">
      <c r="B23" s="229" t="s">
        <v>674</v>
      </c>
      <c r="C23" s="231">
        <v>0.34</v>
      </c>
      <c r="D23" s="231">
        <f>+C23</f>
        <v>0.34</v>
      </c>
      <c r="E23" s="231">
        <f t="shared" ref="E23:L23" si="3">+D23</f>
        <v>0.34</v>
      </c>
      <c r="F23" s="231">
        <f t="shared" si="3"/>
        <v>0.34</v>
      </c>
      <c r="G23" s="231">
        <f t="shared" si="3"/>
        <v>0.34</v>
      </c>
      <c r="H23" s="231">
        <f t="shared" si="3"/>
        <v>0.34</v>
      </c>
      <c r="I23" s="231">
        <f t="shared" si="3"/>
        <v>0.34</v>
      </c>
      <c r="J23" s="231">
        <f t="shared" si="3"/>
        <v>0.34</v>
      </c>
      <c r="K23" s="231">
        <f t="shared" si="3"/>
        <v>0.34</v>
      </c>
      <c r="L23" s="231">
        <f t="shared" si="3"/>
        <v>0.34</v>
      </c>
    </row>
    <row r="24" spans="2:12" x14ac:dyDescent="0.25">
      <c r="B24" s="229" t="s">
        <v>695</v>
      </c>
      <c r="C24" s="230">
        <v>0</v>
      </c>
      <c r="D24" s="230">
        <v>0</v>
      </c>
      <c r="E24" s="230">
        <v>0</v>
      </c>
      <c r="F24" s="230">
        <v>0</v>
      </c>
      <c r="G24" s="230">
        <v>0</v>
      </c>
      <c r="H24" s="230">
        <v>0</v>
      </c>
      <c r="I24" s="230">
        <v>0</v>
      </c>
      <c r="J24" s="230">
        <v>0</v>
      </c>
      <c r="K24" s="230">
        <v>0</v>
      </c>
      <c r="L24" s="230">
        <v>0</v>
      </c>
    </row>
    <row r="25" spans="2:12" x14ac:dyDescent="0.25">
      <c r="B25" s="229" t="s">
        <v>676</v>
      </c>
      <c r="C25" s="231">
        <f>+C20+C24</f>
        <v>1.0817748102492338E-2</v>
      </c>
      <c r="D25" s="231">
        <f t="shared" ref="D25:L25" si="4">+D20+D24</f>
        <v>1.1448271666487132E-2</v>
      </c>
      <c r="E25" s="231">
        <f t="shared" si="4"/>
        <v>1.1482659924692915E-2</v>
      </c>
      <c r="F25" s="231">
        <f t="shared" si="4"/>
        <v>1.1536296874133557E-2</v>
      </c>
      <c r="G25" s="231">
        <f t="shared" si="4"/>
        <v>1.1597306933165259E-2</v>
      </c>
      <c r="H25" s="231">
        <f t="shared" si="4"/>
        <v>1.1660776159798813E-2</v>
      </c>
      <c r="I25" s="231">
        <f t="shared" si="4"/>
        <v>1.1737846210563981E-2</v>
      </c>
      <c r="J25" s="231">
        <f t="shared" si="4"/>
        <v>1.1816718172077139E-2</v>
      </c>
      <c r="K25" s="231">
        <f t="shared" si="4"/>
        <v>1.1898072163095325E-2</v>
      </c>
      <c r="L25" s="231">
        <f t="shared" si="4"/>
        <v>1.1990142795253279E-2</v>
      </c>
    </row>
    <row r="27" spans="2:12" x14ac:dyDescent="0.25">
      <c r="C27" s="233"/>
    </row>
    <row r="28" spans="2:12" x14ac:dyDescent="0.25">
      <c r="B28" s="229" t="s">
        <v>694</v>
      </c>
      <c r="C28" s="231">
        <v>0</v>
      </c>
      <c r="D28" s="231">
        <v>0</v>
      </c>
      <c r="E28" s="231">
        <v>0</v>
      </c>
      <c r="F28" s="231">
        <v>0</v>
      </c>
      <c r="G28" s="231">
        <v>0</v>
      </c>
      <c r="H28" s="231">
        <v>0</v>
      </c>
      <c r="I28" s="231">
        <v>0</v>
      </c>
      <c r="J28" s="231">
        <v>0</v>
      </c>
      <c r="K28" s="231">
        <v>0</v>
      </c>
      <c r="L28" s="231">
        <v>0</v>
      </c>
    </row>
    <row r="31" spans="2:12" x14ac:dyDescent="0.25">
      <c r="B31" s="229" t="s">
        <v>677</v>
      </c>
      <c r="C31" s="230">
        <f>+C17+C25+C28</f>
        <v>9.8817748102492345E-2</v>
      </c>
      <c r="D31" s="230">
        <f t="shared" ref="D31:L31" si="5">+D17+D25+D28</f>
        <v>9.9448271666487148E-2</v>
      </c>
      <c r="E31" s="230">
        <f t="shared" si="5"/>
        <v>9.9482659924692921E-2</v>
      </c>
      <c r="F31" s="230">
        <f t="shared" si="5"/>
        <v>9.9536296874133567E-2</v>
      </c>
      <c r="G31" s="230">
        <f t="shared" si="5"/>
        <v>9.9597306933165264E-2</v>
      </c>
      <c r="H31" s="230">
        <f t="shared" si="5"/>
        <v>9.966077615979882E-2</v>
      </c>
      <c r="I31" s="230">
        <f t="shared" si="5"/>
        <v>9.9737846210563988E-2</v>
      </c>
      <c r="J31" s="230">
        <f t="shared" si="5"/>
        <v>9.9816718172077143E-2</v>
      </c>
      <c r="K31" s="230">
        <f t="shared" si="5"/>
        <v>9.9898072163095333E-2</v>
      </c>
      <c r="L31" s="230">
        <f t="shared" si="5"/>
        <v>9.9990142795253284E-2</v>
      </c>
    </row>
    <row r="32" spans="2:12" x14ac:dyDescent="0.25">
      <c r="B32" s="229" t="s">
        <v>678</v>
      </c>
      <c r="C32" s="231">
        <f>+WACC!E14</f>
        <v>1.4778325123152802E-2</v>
      </c>
      <c r="D32" s="231">
        <f>+WACC!F14</f>
        <v>1.4778325123152802E-2</v>
      </c>
      <c r="E32" s="231">
        <f>+WACC!G14</f>
        <v>1.4778325123152802E-2</v>
      </c>
      <c r="F32" s="231">
        <f>+WACC!H14</f>
        <v>1.4778325123152802E-2</v>
      </c>
      <c r="G32" s="231">
        <f>+WACC!I14</f>
        <v>1.4778325123152802E-2</v>
      </c>
      <c r="H32" s="231">
        <f>+WACC!J14</f>
        <v>1.4778325123152802E-2</v>
      </c>
      <c r="I32" s="231">
        <f>+WACC!K14</f>
        <v>1.4778325123152802E-2</v>
      </c>
      <c r="J32" s="231">
        <f>+WACC!L14</f>
        <v>1.4778325123152802E-2</v>
      </c>
      <c r="K32" s="231">
        <f>+WACC!M14</f>
        <v>1.4778325123152802E-2</v>
      </c>
      <c r="L32" s="231">
        <f>+WACC!N14</f>
        <v>1.4778325123152802E-2</v>
      </c>
    </row>
    <row r="33" spans="2:12" x14ac:dyDescent="0.25">
      <c r="B33" s="234" t="s">
        <v>679</v>
      </c>
      <c r="C33" s="230">
        <f>+(1+C31)*(1+C32)-1</f>
        <v>0.11505643403504151</v>
      </c>
      <c r="D33" s="230">
        <f t="shared" ref="D33:L33" si="6">+(1+D31)*(1+D32)-1</f>
        <v>0.11569627568126273</v>
      </c>
      <c r="E33" s="230">
        <f t="shared" si="6"/>
        <v>0.11573117214032891</v>
      </c>
      <c r="F33" s="230">
        <f t="shared" si="6"/>
        <v>0.11578560175404706</v>
      </c>
      <c r="G33" s="230">
        <f t="shared" si="6"/>
        <v>0.1158475134395669</v>
      </c>
      <c r="H33" s="230">
        <f t="shared" si="6"/>
        <v>0.11591192063506672</v>
      </c>
      <c r="I33" s="230">
        <f t="shared" si="6"/>
        <v>0.11599012965209954</v>
      </c>
      <c r="J33" s="230">
        <f t="shared" si="6"/>
        <v>0.1160701672091029</v>
      </c>
      <c r="K33" s="230">
        <f t="shared" si="6"/>
        <v>0.11615272347585059</v>
      </c>
      <c r="L33" s="230">
        <f t="shared" si="6"/>
        <v>0.11624615475774469</v>
      </c>
    </row>
    <row r="34" spans="2:12" x14ac:dyDescent="0.25">
      <c r="B34" s="234" t="s">
        <v>680</v>
      </c>
      <c r="C34" s="231">
        <f>+(1+C33)/(1+'SUPUESTOS DE PROYECCIÓN'!I14)-1</f>
        <v>8.2579062169943152E-2</v>
      </c>
      <c r="D34" s="231">
        <f>+(1+D33)/(1+'SUPUESTOS DE PROYECCIÓN'!J14)-1</f>
        <v>8.3200267651711401E-2</v>
      </c>
      <c r="E34" s="231">
        <f>+(1+E33)/(1+'SUPUESTOS DE PROYECCIÓN'!K14)-1</f>
        <v>8.3234147709057238E-2</v>
      </c>
      <c r="F34" s="231">
        <f>+(1+F33)/(1+'SUPUESTOS DE PROYECCIÓN'!L14)-1</f>
        <v>8.3286991994220516E-2</v>
      </c>
      <c r="G34" s="231">
        <f>+(1+G33)/(1+'SUPUESTOS DE PROYECCIÓN'!M14)-1</f>
        <v>8.3347100426763854E-2</v>
      </c>
      <c r="H34" s="231">
        <f>+(1+H33)/(1+'SUPUESTOS DE PROYECCIÓN'!N14)-1</f>
        <v>8.3409631684530749E-2</v>
      </c>
      <c r="I34" s="231">
        <f>+(1+I33)/(1+'SUPUESTOS DE PROYECCIÓN'!O14)-1</f>
        <v>8.3485562769028743E-2</v>
      </c>
      <c r="J34" s="231">
        <f>+(1+J33)/(1+'SUPUESTOS DE PROYECCIÓN'!P14)-1</f>
        <v>8.356326913505141E-2</v>
      </c>
      <c r="K34" s="231">
        <f>+(1+K33)/(1+'SUPUESTOS DE PROYECCIÓN'!Q14)-1</f>
        <v>8.3643420850340267E-2</v>
      </c>
      <c r="L34" s="231">
        <f>+(1+L33)/(1+'SUPUESTOS DE PROYECCIÓN'!R14)-1</f>
        <v>8.3734130832761711E-2</v>
      </c>
    </row>
    <row r="37" spans="2:12" x14ac:dyDescent="0.25">
      <c r="B37" s="11" t="s">
        <v>681</v>
      </c>
      <c r="C37" s="236"/>
    </row>
    <row r="38" spans="2:12" x14ac:dyDescent="0.25">
      <c r="B38" s="11"/>
    </row>
    <row r="39" spans="2:12" x14ac:dyDescent="0.25">
      <c r="B39" s="229" t="s">
        <v>682</v>
      </c>
      <c r="C39" s="230">
        <f>+(1+C40)*(1+C41)-1</f>
        <v>0.10982000000000003</v>
      </c>
      <c r="D39" s="230">
        <f t="shared" ref="D39:L39" si="7">+(1+D40)*(1+D41)-1</f>
        <v>0.10882360000000002</v>
      </c>
      <c r="E39" s="230">
        <f t="shared" si="7"/>
        <v>0.10784712799999996</v>
      </c>
      <c r="F39" s="230">
        <f t="shared" si="7"/>
        <v>0.10689018543999995</v>
      </c>
      <c r="G39" s="230">
        <f t="shared" si="7"/>
        <v>0.10595238173120003</v>
      </c>
      <c r="H39" s="230">
        <f t="shared" si="7"/>
        <v>0.10503333409657589</v>
      </c>
      <c r="I39" s="230">
        <f t="shared" si="7"/>
        <v>0.10413266741464455</v>
      </c>
      <c r="J39" s="230">
        <f t="shared" si="7"/>
        <v>0.1032500140663517</v>
      </c>
      <c r="K39" s="230">
        <f t="shared" si="7"/>
        <v>0.10238501378502463</v>
      </c>
      <c r="L39" s="230">
        <f t="shared" si="7"/>
        <v>0.10153731350932405</v>
      </c>
    </row>
    <row r="40" spans="2:12" x14ac:dyDescent="0.25">
      <c r="B40" s="229" t="s">
        <v>683</v>
      </c>
      <c r="C40" s="231">
        <f>+'SUPUESTOS DE PROYECCIÓN'!I23</f>
        <v>4.7E-2</v>
      </c>
      <c r="D40" s="231">
        <f>+'SUPUESTOS DE PROYECCIÓN'!J23</f>
        <v>4.6059999999999997E-2</v>
      </c>
      <c r="E40" s="231">
        <f>+'SUPUESTOS DE PROYECCIÓN'!K23</f>
        <v>4.51388E-2</v>
      </c>
      <c r="F40" s="231">
        <f>+'SUPUESTOS DE PROYECCIÓN'!L23</f>
        <v>4.4236023999999999E-2</v>
      </c>
      <c r="G40" s="231">
        <f>+'SUPUESTOS DE PROYECCIÓN'!M23</f>
        <v>4.3351303520000002E-2</v>
      </c>
      <c r="H40" s="231">
        <f>+'SUPUESTOS DE PROYECCIÓN'!N23</f>
        <v>4.2484277449600004E-2</v>
      </c>
      <c r="I40" s="231">
        <f>+'SUPUESTOS DE PROYECCIÓN'!O23</f>
        <v>4.1634591900608003E-2</v>
      </c>
      <c r="J40" s="231">
        <f>+'SUPUESTOS DE PROYECCIÓN'!P23</f>
        <v>4.080190006259584E-2</v>
      </c>
      <c r="K40" s="231">
        <f>+'SUPUESTOS DE PROYECCIÓN'!Q23</f>
        <v>3.9985862061343927E-2</v>
      </c>
      <c r="L40" s="231">
        <f>+'SUPUESTOS DE PROYECCIÓN'!R23</f>
        <v>3.918614482011705E-2</v>
      </c>
    </row>
    <row r="41" spans="2:12" x14ac:dyDescent="0.25">
      <c r="B41" s="229" t="s">
        <v>684</v>
      </c>
      <c r="C41" s="230">
        <v>0.06</v>
      </c>
      <c r="D41" s="230">
        <v>0.06</v>
      </c>
      <c r="E41" s="230">
        <v>0.06</v>
      </c>
      <c r="F41" s="230">
        <v>0.06</v>
      </c>
      <c r="G41" s="230">
        <v>0.06</v>
      </c>
      <c r="H41" s="230">
        <v>0.06</v>
      </c>
      <c r="I41" s="230">
        <v>0.06</v>
      </c>
      <c r="J41" s="230">
        <v>0.06</v>
      </c>
      <c r="K41" s="230">
        <v>0.06</v>
      </c>
      <c r="L41" s="230">
        <v>0.06</v>
      </c>
    </row>
    <row r="42" spans="2:12" x14ac:dyDescent="0.25">
      <c r="B42" s="229" t="s">
        <v>685</v>
      </c>
      <c r="C42" s="231">
        <v>0.34</v>
      </c>
      <c r="D42" s="231">
        <v>0.34</v>
      </c>
      <c r="E42" s="231">
        <v>0.34</v>
      </c>
      <c r="F42" s="231">
        <v>0.34</v>
      </c>
      <c r="G42" s="231">
        <v>0.34</v>
      </c>
      <c r="H42" s="231">
        <v>0.34</v>
      </c>
      <c r="I42" s="231">
        <v>0.34</v>
      </c>
      <c r="J42" s="231">
        <v>0.34</v>
      </c>
      <c r="K42" s="231">
        <v>0.34</v>
      </c>
      <c r="L42" s="231">
        <v>0.34</v>
      </c>
    </row>
    <row r="43" spans="2:12" x14ac:dyDescent="0.25">
      <c r="B43" s="229" t="s">
        <v>696</v>
      </c>
      <c r="C43" s="231">
        <f>+C39*(1-C42)</f>
        <v>7.248120000000001E-2</v>
      </c>
      <c r="D43" s="231">
        <f>+D39*(1-D42)</f>
        <v>7.1823576E-2</v>
      </c>
      <c r="E43" s="231">
        <f t="shared" ref="E43:L43" si="8">+E39*(1-E42)</f>
        <v>7.1179104479999963E-2</v>
      </c>
      <c r="F43" s="231">
        <f t="shared" si="8"/>
        <v>7.0547522390399964E-2</v>
      </c>
      <c r="G43" s="231">
        <f t="shared" si="8"/>
        <v>6.9928571942592013E-2</v>
      </c>
      <c r="H43" s="231">
        <f>+H39*(1-H42)</f>
        <v>6.9322000503740086E-2</v>
      </c>
      <c r="I43" s="231">
        <f t="shared" si="8"/>
        <v>6.8727560493665393E-2</v>
      </c>
      <c r="J43" s="231">
        <f t="shared" si="8"/>
        <v>6.8145009283792121E-2</v>
      </c>
      <c r="K43" s="231">
        <f t="shared" si="8"/>
        <v>6.7574109098116245E-2</v>
      </c>
      <c r="L43" s="231">
        <f t="shared" si="8"/>
        <v>6.7014626916153855E-2</v>
      </c>
    </row>
    <row r="46" spans="2:12" x14ac:dyDescent="0.25">
      <c r="B46" s="11" t="s">
        <v>686</v>
      </c>
      <c r="C46" s="233">
        <f>+C48+C49</f>
        <v>1</v>
      </c>
      <c r="D46" s="233">
        <f t="shared" ref="D46:L46" si="9">+D48+D49</f>
        <v>1</v>
      </c>
      <c r="E46" s="233">
        <f t="shared" si="9"/>
        <v>1</v>
      </c>
      <c r="F46" s="233">
        <f t="shared" si="9"/>
        <v>1</v>
      </c>
      <c r="G46" s="233">
        <f t="shared" si="9"/>
        <v>1</v>
      </c>
      <c r="H46" s="233">
        <f t="shared" si="9"/>
        <v>1</v>
      </c>
      <c r="I46" s="233">
        <f t="shared" si="9"/>
        <v>1</v>
      </c>
      <c r="J46" s="233">
        <f t="shared" si="9"/>
        <v>1</v>
      </c>
      <c r="K46" s="233">
        <f t="shared" si="9"/>
        <v>1</v>
      </c>
      <c r="L46" s="233">
        <f t="shared" si="9"/>
        <v>1</v>
      </c>
    </row>
    <row r="48" spans="2:12" x14ac:dyDescent="0.25">
      <c r="B48" s="229" t="s">
        <v>689</v>
      </c>
      <c r="C48" s="230">
        <f>+'BGPR2008-2023'!K74/'BGPR2008-2023'!K38</f>
        <v>0.2749252016991286</v>
      </c>
      <c r="D48" s="230">
        <f>+'BGPR2008-2023'!L74/'BGPR2008-2023'!L38</f>
        <v>0.34672187808292665</v>
      </c>
      <c r="E48" s="230">
        <f>+'BGPR2008-2023'!M74/'BGPR2008-2023'!M38</f>
        <v>0.35674062351010677</v>
      </c>
      <c r="F48" s="230">
        <f>+'BGPR2008-2023'!N74/'BGPR2008-2023'!N38</f>
        <v>0.36928928924378535</v>
      </c>
      <c r="G48" s="230">
        <f>+'BGPR2008-2023'!O74/'BGPR2008-2023'!O38</f>
        <v>0.38350343292848504</v>
      </c>
      <c r="H48" s="230">
        <f>+'BGPR2008-2023'!P74/'BGPR2008-2023'!P38</f>
        <v>0.3976648727641563</v>
      </c>
      <c r="I48" s="230">
        <f>+'BGPR2008-2023'!Q74/'BGPR2008-2023'!Q38</f>
        <v>0.41480653439768156</v>
      </c>
      <c r="J48" s="230">
        <f>+'BGPR2008-2023'!R74/'BGPR2008-2023'!R38</f>
        <v>0.43193628511861748</v>
      </c>
      <c r="K48" s="230">
        <f>+'BGPR2008-2023'!S74/'BGPR2008-2023'!S38</f>
        <v>0.44861509573604363</v>
      </c>
      <c r="L48" s="230">
        <f>+'BGPR2008-2023'!T74/'BGPR2008-2023'!T38</f>
        <v>0.46668900568388189</v>
      </c>
    </row>
    <row r="49" spans="2:12" x14ac:dyDescent="0.25">
      <c r="B49" s="229" t="s">
        <v>687</v>
      </c>
      <c r="C49" s="231">
        <f>1-C48</f>
        <v>0.7250747983008714</v>
      </c>
      <c r="D49" s="231">
        <f t="shared" ref="D49:L49" si="10">1-D48</f>
        <v>0.65327812191707335</v>
      </c>
      <c r="E49" s="231">
        <f t="shared" si="10"/>
        <v>0.64325937648989329</v>
      </c>
      <c r="F49" s="231">
        <f t="shared" si="10"/>
        <v>0.63071071075621465</v>
      </c>
      <c r="G49" s="231">
        <f t="shared" si="10"/>
        <v>0.61649656707151501</v>
      </c>
      <c r="H49" s="231">
        <f t="shared" si="10"/>
        <v>0.6023351272358437</v>
      </c>
      <c r="I49" s="231">
        <f t="shared" si="10"/>
        <v>0.58519346560231844</v>
      </c>
      <c r="J49" s="231">
        <f t="shared" si="10"/>
        <v>0.56806371488138252</v>
      </c>
      <c r="K49" s="231">
        <f t="shared" si="10"/>
        <v>0.55138490426395637</v>
      </c>
      <c r="L49" s="231">
        <f t="shared" si="10"/>
        <v>0.53331099431611806</v>
      </c>
    </row>
    <row r="52" spans="2:12" x14ac:dyDescent="0.25">
      <c r="B52" s="228" t="s">
        <v>688</v>
      </c>
      <c r="C52" s="233">
        <f>+(C33*C49)+(C43*C48)</f>
        <v>0.10335142923057013</v>
      </c>
      <c r="D52" s="233">
        <f t="shared" ref="D52:L52" si="11">+(D33*D49)+(D43*D48)</f>
        <v>0.1004846508512071</v>
      </c>
      <c r="E52" s="233">
        <f t="shared" si="11"/>
        <v>9.9837639744518702E-2</v>
      </c>
      <c r="F52" s="233">
        <f t="shared" si="11"/>
        <v>9.907966357909187E-2</v>
      </c>
      <c r="G52" s="233">
        <f t="shared" si="11"/>
        <v>9.8237441739034759E-2</v>
      </c>
      <c r="H52" s="233">
        <f t="shared" si="11"/>
        <v>9.7384745973950512E-2</v>
      </c>
      <c r="I52" s="233">
        <f t="shared" si="11"/>
        <v>9.6385307132758724E-2</v>
      </c>
      <c r="J52" s="233">
        <f t="shared" si="11"/>
        <v>9.5369552531121088E-2</v>
      </c>
      <c r="K52" s="233">
        <f t="shared" si="11"/>
        <v>9.4359623736058953E-2</v>
      </c>
      <c r="L52" s="233">
        <f t="shared" si="11"/>
        <v>9.3270341981054314E-2</v>
      </c>
    </row>
  </sheetData>
  <mergeCells count="1">
    <mergeCell ref="B9:L9"/>
  </mergeCells>
  <pageMargins left="0.7" right="0.7" top="0.75" bottom="0.75" header="0.3" footer="0.3"/>
  <ignoredErrors>
    <ignoredError sqref="D22:L22" formula="1"/>
  </ignoredError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B7:R169"/>
  <sheetViews>
    <sheetView showGridLines="0" zoomScaleNormal="100" workbookViewId="0">
      <selection activeCell="B9" sqref="B9"/>
    </sheetView>
  </sheetViews>
  <sheetFormatPr baseColWidth="10" defaultRowHeight="15" x14ac:dyDescent="0.25"/>
  <cols>
    <col min="2" max="2" width="55.85546875" bestFit="1" customWidth="1"/>
    <col min="3" max="7" width="12.5703125" bestFit="1" customWidth="1"/>
    <col min="8" max="8" width="15.140625" bestFit="1" customWidth="1"/>
    <col min="9" max="10" width="14.140625" bestFit="1" customWidth="1"/>
    <col min="11" max="14" width="14" bestFit="1" customWidth="1"/>
    <col min="15" max="15" width="13.28515625" bestFit="1" customWidth="1"/>
    <col min="16" max="17" width="13.42578125" bestFit="1" customWidth="1"/>
    <col min="18" max="18" width="14" bestFit="1" customWidth="1"/>
  </cols>
  <sheetData>
    <row r="7" spans="2:18" ht="15.75" thickBot="1" x14ac:dyDescent="0.3"/>
    <row r="8" spans="2:18" ht="24" customHeight="1" thickBot="1" x14ac:dyDescent="0.3">
      <c r="B8" s="380" t="s">
        <v>379</v>
      </c>
      <c r="C8" s="381"/>
      <c r="D8" s="381"/>
      <c r="E8" s="381"/>
      <c r="F8" s="381"/>
      <c r="G8" s="381"/>
      <c r="H8" s="381"/>
      <c r="I8" s="381"/>
      <c r="J8" s="381"/>
      <c r="K8" s="381"/>
      <c r="L8" s="381"/>
      <c r="M8" s="381"/>
      <c r="N8" s="381"/>
      <c r="O8" s="381"/>
      <c r="P8" s="381"/>
      <c r="Q8" s="381"/>
      <c r="R8" s="382"/>
    </row>
    <row r="9" spans="2:18" x14ac:dyDescent="0.25">
      <c r="B9" s="34"/>
      <c r="C9" s="59">
        <v>1000</v>
      </c>
      <c r="D9" s="2"/>
      <c r="E9" s="2"/>
      <c r="F9" s="2"/>
      <c r="G9" s="2"/>
      <c r="H9" s="2"/>
      <c r="I9" s="2"/>
      <c r="J9" s="2"/>
      <c r="K9" s="2"/>
      <c r="L9" s="2"/>
      <c r="M9" s="2"/>
      <c r="N9" s="2"/>
      <c r="O9" s="2"/>
      <c r="P9" s="2"/>
      <c r="Q9" s="2"/>
      <c r="R9" s="2"/>
    </row>
    <row r="10" spans="2:18" x14ac:dyDescent="0.25">
      <c r="B10" s="3"/>
      <c r="C10" s="4">
        <v>2008</v>
      </c>
      <c r="D10" s="4">
        <v>2009</v>
      </c>
      <c r="E10" s="4">
        <v>2010</v>
      </c>
      <c r="F10" s="4">
        <v>2011</v>
      </c>
      <c r="G10" s="4">
        <v>2012</v>
      </c>
      <c r="H10" s="4">
        <v>2013</v>
      </c>
      <c r="I10" s="4" t="str">
        <f>+'BGPR2008-2023'!K11</f>
        <v>2014E</v>
      </c>
      <c r="J10" s="4" t="str">
        <f>+'BGPR2008-2023'!L11</f>
        <v>2015E</v>
      </c>
      <c r="K10" s="4" t="str">
        <f>+'BGPR2008-2023'!M11</f>
        <v>2016E</v>
      </c>
      <c r="L10" s="4" t="str">
        <f>+'BGPR2008-2023'!N11</f>
        <v>2017E</v>
      </c>
      <c r="M10" s="4" t="str">
        <f>+'BGPR2008-2023'!O11</f>
        <v>2018E</v>
      </c>
      <c r="N10" s="4" t="str">
        <f>+'BGPR2008-2023'!P11</f>
        <v>2019E</v>
      </c>
      <c r="O10" s="4" t="str">
        <f>+'BGPR2008-2023'!Q11</f>
        <v>2020E</v>
      </c>
      <c r="P10" s="4" t="str">
        <f>+'BGPR2008-2023'!R11</f>
        <v>2021E</v>
      </c>
      <c r="Q10" s="4" t="str">
        <f>+'BGPR2008-2023'!S11</f>
        <v>2022E</v>
      </c>
      <c r="R10" s="4" t="str">
        <f>+'BGPR2008-2023'!T11</f>
        <v>2023E</v>
      </c>
    </row>
    <row r="12" spans="2:18" x14ac:dyDescent="0.25">
      <c r="B12" s="11" t="s">
        <v>380</v>
      </c>
    </row>
    <row r="14" spans="2:18" x14ac:dyDescent="0.25">
      <c r="B14" s="219" t="s">
        <v>381</v>
      </c>
      <c r="C14" s="220">
        <v>7.6700000000000004E-2</v>
      </c>
      <c r="D14" s="220">
        <v>0.02</v>
      </c>
      <c r="E14" s="220">
        <v>3.1699999999999999E-2</v>
      </c>
      <c r="F14" s="220">
        <v>3.73E-2</v>
      </c>
      <c r="G14" s="220">
        <v>2.4400000000000002E-2</v>
      </c>
      <c r="H14" s="220">
        <v>1.9400000000000001E-2</v>
      </c>
      <c r="I14" s="221">
        <v>0.03</v>
      </c>
      <c r="J14" s="221">
        <v>0.03</v>
      </c>
      <c r="K14" s="221">
        <v>0.03</v>
      </c>
      <c r="L14" s="221">
        <v>0.03</v>
      </c>
      <c r="M14" s="221">
        <v>0.03</v>
      </c>
      <c r="N14" s="221">
        <v>0.03</v>
      </c>
      <c r="O14" s="221">
        <v>0.03</v>
      </c>
      <c r="P14" s="221">
        <v>0.03</v>
      </c>
      <c r="Q14" s="221">
        <v>0.03</v>
      </c>
      <c r="R14" s="221">
        <v>0.03</v>
      </c>
    </row>
    <row r="15" spans="2:18" x14ac:dyDescent="0.25">
      <c r="B15" s="219" t="s">
        <v>382</v>
      </c>
      <c r="C15" s="220">
        <v>5.5500000000000001E-2</v>
      </c>
      <c r="D15" s="220">
        <v>1.2699999999999999E-2</v>
      </c>
      <c r="E15" s="220">
        <v>0.09</v>
      </c>
      <c r="F15" s="220">
        <v>4.3700000000000003E-2</v>
      </c>
      <c r="G15" s="220">
        <v>0.04</v>
      </c>
      <c r="H15" s="220">
        <v>3.5999999999999997E-2</v>
      </c>
      <c r="I15" s="221">
        <v>3.4000000000000002E-2</v>
      </c>
      <c r="J15" s="221">
        <v>3.4000000000000002E-2</v>
      </c>
      <c r="K15" s="221">
        <v>3.4000000000000002E-2</v>
      </c>
      <c r="L15" s="221">
        <v>3.4000000000000002E-2</v>
      </c>
      <c r="M15" s="221">
        <v>3.4000000000000002E-2</v>
      </c>
      <c r="N15" s="221">
        <v>3.4000000000000002E-2</v>
      </c>
      <c r="O15" s="221">
        <v>3.4000000000000002E-2</v>
      </c>
      <c r="P15" s="221">
        <v>3.4000000000000002E-2</v>
      </c>
      <c r="Q15" s="221">
        <v>3.4000000000000002E-2</v>
      </c>
      <c r="R15" s="221">
        <v>3.4000000000000002E-2</v>
      </c>
    </row>
    <row r="16" spans="2:18" x14ac:dyDescent="0.25">
      <c r="B16" s="219" t="s">
        <v>383</v>
      </c>
      <c r="C16" s="220">
        <v>3.5470000000000002E-2</v>
      </c>
      <c r="D16" s="220">
        <v>1.652E-2</v>
      </c>
      <c r="E16" s="220">
        <v>4.0010000000000004E-2</v>
      </c>
      <c r="F16" s="220">
        <v>5.9139999999999998E-2</v>
      </c>
      <c r="G16" s="220">
        <v>0.04</v>
      </c>
      <c r="H16" s="220">
        <v>4.2999999999999997E-2</v>
      </c>
      <c r="I16" s="221">
        <v>4.4999999999999998E-2</v>
      </c>
      <c r="J16" s="221">
        <v>4.5030000000000001E-2</v>
      </c>
      <c r="K16" s="221">
        <v>4.4889999999999999E-2</v>
      </c>
      <c r="L16" s="221">
        <v>4.4950000000000004E-2</v>
      </c>
      <c r="M16" s="221">
        <v>4.4699999999999997E-2</v>
      </c>
      <c r="N16" s="221">
        <v>4.4699999999999997E-2</v>
      </c>
      <c r="O16" s="221">
        <v>4.4699999999999997E-2</v>
      </c>
      <c r="P16" s="221">
        <v>4.4699999999999997E-2</v>
      </c>
      <c r="Q16" s="221">
        <v>4.4699999999999997E-2</v>
      </c>
      <c r="R16" s="221">
        <v>4.4699999999999997E-2</v>
      </c>
    </row>
    <row r="17" spans="2:18" x14ac:dyDescent="0.25">
      <c r="B17" s="219"/>
      <c r="C17" s="222"/>
      <c r="D17" s="222"/>
      <c r="E17" s="222"/>
      <c r="F17" s="222"/>
      <c r="G17" s="222"/>
      <c r="H17" s="222"/>
      <c r="I17" s="221"/>
      <c r="J17" s="221"/>
      <c r="K17" s="221"/>
      <c r="L17" s="221"/>
      <c r="M17" s="221"/>
      <c r="N17" s="221"/>
      <c r="O17" s="221"/>
      <c r="P17" s="221"/>
      <c r="Q17" s="221"/>
      <c r="R17" s="221"/>
    </row>
    <row r="18" spans="2:18" x14ac:dyDescent="0.25">
      <c r="B18" s="219" t="s">
        <v>384</v>
      </c>
      <c r="C18" s="222">
        <v>0.11357680319243979</v>
      </c>
      <c r="D18" s="222">
        <v>-8.8857589844846929E-2</v>
      </c>
      <c r="E18" s="222">
        <v>-6.3715922376640588E-2</v>
      </c>
      <c r="F18" s="222">
        <v>1.500538145644148E-2</v>
      </c>
      <c r="G18" s="222">
        <v>-8.980799917640403E-2</v>
      </c>
      <c r="H18" s="222">
        <v>6.6563738880123235E-3</v>
      </c>
      <c r="I18" s="221">
        <v>1.9101123595505642E-2</v>
      </c>
      <c r="J18" s="221">
        <v>-3.3627342888643885E-2</v>
      </c>
      <c r="K18" s="221">
        <v>-1.65430690245294E-2</v>
      </c>
      <c r="L18" s="221">
        <v>-2.7262180974477968E-2</v>
      </c>
      <c r="M18" s="221">
        <v>1.1568527320579669E-2</v>
      </c>
      <c r="N18" s="221">
        <v>1.1568527320579669E-2</v>
      </c>
      <c r="O18" s="221">
        <v>1.1568527320579669E-2</v>
      </c>
      <c r="P18" s="221">
        <v>1.1568527320579669E-2</v>
      </c>
      <c r="Q18" s="221">
        <v>1.1568527320579669E-2</v>
      </c>
      <c r="R18" s="221">
        <v>1.1568527320579669E-2</v>
      </c>
    </row>
    <row r="19" spans="2:18" x14ac:dyDescent="0.25">
      <c r="B19" s="219" t="s">
        <v>385</v>
      </c>
      <c r="C19" s="222">
        <v>-5.255114209498013E-2</v>
      </c>
      <c r="D19" s="222">
        <v>9.4649112774144006E-2</v>
      </c>
      <c r="E19" s="222">
        <v>-0.11824376516040358</v>
      </c>
      <c r="F19" s="222">
        <v>-2.7238120876071803E-2</v>
      </c>
      <c r="G19" s="222">
        <v>-2.6241450645360209E-2</v>
      </c>
      <c r="H19" s="222">
        <v>1.9738671114817974E-2</v>
      </c>
      <c r="I19" s="221">
        <v>-3.2170119956379528E-2</v>
      </c>
      <c r="J19" s="221">
        <v>-4.0000000000000036E-2</v>
      </c>
      <c r="K19" s="221">
        <v>-9.3896713615023719E-3</v>
      </c>
      <c r="L19" s="221">
        <v>2.7843601895734649E-2</v>
      </c>
      <c r="M19" s="221">
        <v>1.1568527320579669E-2</v>
      </c>
      <c r="N19" s="221">
        <v>1.1568527320579669E-2</v>
      </c>
      <c r="O19" s="221">
        <v>1.1568527320579669E-2</v>
      </c>
      <c r="P19" s="221">
        <v>1.1568527320579669E-2</v>
      </c>
      <c r="Q19" s="221">
        <v>1.1568527320579669E-2</v>
      </c>
      <c r="R19" s="221">
        <v>1.1568527320579669E-2</v>
      </c>
    </row>
    <row r="20" spans="2:18" x14ac:dyDescent="0.25">
      <c r="B20" s="219" t="s">
        <v>386</v>
      </c>
      <c r="C20" s="223">
        <v>2243.59</v>
      </c>
      <c r="D20" s="223">
        <v>2044.23</v>
      </c>
      <c r="E20" s="223">
        <v>1913.98</v>
      </c>
      <c r="F20" s="223">
        <v>1942.7</v>
      </c>
      <c r="G20" s="223">
        <v>1768.23</v>
      </c>
      <c r="H20" s="223">
        <v>1926</v>
      </c>
      <c r="I20" s="224">
        <f>+(H20*3%)+H20</f>
        <v>1983.78</v>
      </c>
      <c r="J20" s="224">
        <v>1918.24</v>
      </c>
      <c r="K20" s="224">
        <v>1942.64</v>
      </c>
      <c r="L20" s="224">
        <v>1967.3503000000001</v>
      </c>
      <c r="M20" s="224">
        <v>1992.3749</v>
      </c>
      <c r="N20" s="224">
        <v>2017.7179000000001</v>
      </c>
      <c r="O20" s="224">
        <v>2043.3832</v>
      </c>
      <c r="P20" s="224">
        <v>2043.3832</v>
      </c>
      <c r="Q20" s="224">
        <v>2043.3832</v>
      </c>
      <c r="R20" s="224">
        <v>2043.3832</v>
      </c>
    </row>
    <row r="21" spans="2:18" x14ac:dyDescent="0.25">
      <c r="B21" s="219" t="s">
        <v>387</v>
      </c>
      <c r="C21" s="223">
        <v>1967.1122677595602</v>
      </c>
      <c r="D21" s="223">
        <v>2153.2976986301369</v>
      </c>
      <c r="E21" s="223">
        <v>1898.6836712328775</v>
      </c>
      <c r="F21" s="223">
        <v>1846.9670958904126</v>
      </c>
      <c r="G21" s="223">
        <v>1798.5</v>
      </c>
      <c r="H21" s="223">
        <v>1879</v>
      </c>
      <c r="I21" s="224">
        <v>1894</v>
      </c>
      <c r="J21" s="224">
        <v>1906.19325</v>
      </c>
      <c r="K21" s="224">
        <v>1930.44</v>
      </c>
      <c r="L21" s="224">
        <v>1954.9951500000002</v>
      </c>
      <c r="M21" s="224">
        <v>1979.8625999999999</v>
      </c>
      <c r="N21" s="224">
        <v>1979.8625999999999</v>
      </c>
      <c r="O21" s="224">
        <v>2005.0464000000002</v>
      </c>
      <c r="P21" s="224">
        <v>2030.5505499999999</v>
      </c>
      <c r="Q21" s="224">
        <v>2030.5505499999999</v>
      </c>
      <c r="R21" s="224">
        <v>2030.5505499999999</v>
      </c>
    </row>
    <row r="22" spans="2:18" x14ac:dyDescent="0.25">
      <c r="B22" s="219"/>
      <c r="C22" s="235"/>
      <c r="D22" s="235"/>
      <c r="E22" s="235"/>
      <c r="F22" s="235"/>
      <c r="G22" s="235"/>
      <c r="H22" s="235"/>
      <c r="I22" s="235"/>
      <c r="J22" s="235"/>
      <c r="K22" s="235"/>
      <c r="L22" s="235"/>
      <c r="M22" s="225"/>
      <c r="N22" s="225"/>
      <c r="O22" s="225"/>
      <c r="P22" s="225"/>
      <c r="Q22" s="225"/>
      <c r="R22" s="225"/>
    </row>
    <row r="23" spans="2:18" x14ac:dyDescent="0.25">
      <c r="B23" s="219" t="s">
        <v>388</v>
      </c>
      <c r="C23" s="222">
        <v>9.7000000000000003E-2</v>
      </c>
      <c r="D23" s="222">
        <v>6.1400000000000003E-2</v>
      </c>
      <c r="E23" s="222">
        <v>3.6600000000000001E-2</v>
      </c>
      <c r="F23" s="222">
        <v>4.3499999999999997E-2</v>
      </c>
      <c r="G23" s="222">
        <v>5.2699999999999997E-2</v>
      </c>
      <c r="H23" s="222">
        <v>4.8500000000000001E-2</v>
      </c>
      <c r="I23" s="225">
        <v>4.7E-2</v>
      </c>
      <c r="J23" s="225">
        <f>+I23-(I23*2%)</f>
        <v>4.6059999999999997E-2</v>
      </c>
      <c r="K23" s="225">
        <f t="shared" ref="K23:R23" si="0">+J23-(J23*2%)</f>
        <v>4.51388E-2</v>
      </c>
      <c r="L23" s="225">
        <f t="shared" si="0"/>
        <v>4.4236023999999999E-2</v>
      </c>
      <c r="M23" s="225">
        <f t="shared" si="0"/>
        <v>4.3351303520000002E-2</v>
      </c>
      <c r="N23" s="225">
        <f t="shared" si="0"/>
        <v>4.2484277449600004E-2</v>
      </c>
      <c r="O23" s="225">
        <f t="shared" si="0"/>
        <v>4.1634591900608003E-2</v>
      </c>
      <c r="P23" s="225">
        <f t="shared" si="0"/>
        <v>4.080190006259584E-2</v>
      </c>
      <c r="Q23" s="225">
        <f t="shared" si="0"/>
        <v>3.9985862061343927E-2</v>
      </c>
      <c r="R23" s="225">
        <f t="shared" si="0"/>
        <v>3.918614482011705E-2</v>
      </c>
    </row>
    <row r="24" spans="2:18" x14ac:dyDescent="0.25">
      <c r="B24" s="219" t="s">
        <v>389</v>
      </c>
      <c r="C24" s="222">
        <v>6.25E-2</v>
      </c>
      <c r="D24" s="222">
        <v>8.0100000000000005E-2</v>
      </c>
      <c r="E24" s="222">
        <v>9.7000000000000003E-2</v>
      </c>
      <c r="F24" s="222">
        <v>3.6600000000000001E-2</v>
      </c>
      <c r="G24" s="222">
        <v>4.3499999999999997E-2</v>
      </c>
      <c r="H24" s="222">
        <v>5.62E-2</v>
      </c>
      <c r="I24" s="225">
        <v>4.2999999999999997E-2</v>
      </c>
      <c r="J24" s="225">
        <v>4.2999999999999997E-2</v>
      </c>
      <c r="K24" s="225">
        <v>4.2999999999999997E-2</v>
      </c>
      <c r="L24" s="225">
        <v>4.2999999999999997E-2</v>
      </c>
      <c r="M24" s="225">
        <v>4.2999999999999997E-2</v>
      </c>
      <c r="N24" s="225">
        <v>4.2999999999999997E-2</v>
      </c>
      <c r="O24" s="225">
        <v>4.2999999999999997E-2</v>
      </c>
      <c r="P24" s="225">
        <v>4.2999999999999997E-2</v>
      </c>
      <c r="Q24" s="225">
        <v>4.2999999999999997E-2</v>
      </c>
      <c r="R24" s="225">
        <v>4.2999999999999997E-2</v>
      </c>
    </row>
    <row r="25" spans="2:18" x14ac:dyDescent="0.25">
      <c r="B25" s="219" t="s">
        <v>390</v>
      </c>
      <c r="C25" s="222">
        <v>5.2499999999999998E-2</v>
      </c>
      <c r="D25" s="222">
        <v>4.2500000000000003E-2</v>
      </c>
      <c r="E25" s="222">
        <v>2.5000000000000001E-3</v>
      </c>
      <c r="F25" s="222">
        <v>2.5000000000000001E-3</v>
      </c>
      <c r="G25" s="222">
        <v>2.5000000000000001E-3</v>
      </c>
      <c r="H25" s="222">
        <v>2.5000000000000001E-3</v>
      </c>
      <c r="I25" s="225">
        <v>2.5000000000000001E-3</v>
      </c>
      <c r="J25" s="225">
        <v>7.4999999999999997E-3</v>
      </c>
      <c r="K25" s="225">
        <v>0.01</v>
      </c>
      <c r="L25" s="225">
        <v>1.2500000000000001E-2</v>
      </c>
      <c r="M25" s="225">
        <v>1.7500000000000002E-2</v>
      </c>
      <c r="N25" s="225">
        <v>1.7500000000000002E-2</v>
      </c>
      <c r="O25" s="225">
        <v>1.7500000000000002E-2</v>
      </c>
      <c r="P25" s="225">
        <v>1.7500000000000002E-2</v>
      </c>
      <c r="Q25" s="225">
        <v>1.7500000000000002E-2</v>
      </c>
      <c r="R25" s="225">
        <v>1.7500000000000002E-2</v>
      </c>
    </row>
    <row r="26" spans="2:18" x14ac:dyDescent="0.25">
      <c r="B26" s="219" t="s">
        <v>391</v>
      </c>
      <c r="C26" s="226">
        <v>1.45</v>
      </c>
      <c r="D26" s="226">
        <v>1.3971</v>
      </c>
      <c r="E26" s="226">
        <v>1.3387</v>
      </c>
      <c r="F26" s="226">
        <v>1.2961</v>
      </c>
      <c r="G26" s="226">
        <v>1.2598</v>
      </c>
      <c r="H26" s="226">
        <v>1.2334000000000001</v>
      </c>
      <c r="I26" s="227">
        <v>1.2858000000000001</v>
      </c>
      <c r="J26" s="227">
        <v>1.3097000000000001</v>
      </c>
      <c r="K26" s="227">
        <v>1.3206</v>
      </c>
      <c r="L26" s="227">
        <v>1.357</v>
      </c>
      <c r="M26" s="227">
        <v>1.357</v>
      </c>
      <c r="N26" s="227">
        <v>1.357</v>
      </c>
      <c r="O26" s="227">
        <v>1.357</v>
      </c>
      <c r="P26" s="227">
        <v>1.357</v>
      </c>
      <c r="Q26" s="227">
        <v>1.357</v>
      </c>
      <c r="R26" s="227">
        <v>2.3570000000000002</v>
      </c>
    </row>
    <row r="27" spans="2:18" x14ac:dyDescent="0.25">
      <c r="B27" s="219" t="s">
        <v>392</v>
      </c>
      <c r="C27" s="222">
        <v>7.1300000000000001E-3</v>
      </c>
      <c r="D27" s="222">
        <v>1.9110000000000002E-2</v>
      </c>
      <c r="E27" s="222">
        <v>1.6789999999999999E-2</v>
      </c>
      <c r="F27" s="222">
        <v>3.0769999999999999E-2</v>
      </c>
      <c r="G27" s="222">
        <v>1.583E-2</v>
      </c>
      <c r="H27" s="222">
        <v>1.8319999999999999E-2</v>
      </c>
      <c r="I27" s="225">
        <v>1.7390000000000003E-2</v>
      </c>
      <c r="J27" s="225">
        <v>1.9119999999999998E-2</v>
      </c>
      <c r="K27" s="225">
        <v>2.1080000000000002E-2</v>
      </c>
      <c r="L27" s="225">
        <v>1.8280000000000001E-2</v>
      </c>
      <c r="M27" s="225">
        <v>1.8280000000000001E-2</v>
      </c>
      <c r="N27" s="225">
        <v>1.8280000000000001E-2</v>
      </c>
      <c r="O27" s="225">
        <v>1.8280000000000001E-2</v>
      </c>
      <c r="P27" s="225">
        <v>1.8280000000000001E-2</v>
      </c>
      <c r="Q27" s="225">
        <v>1.8280000000000001E-2</v>
      </c>
      <c r="R27" s="225">
        <v>1.8280000000000001E-2</v>
      </c>
    </row>
    <row r="30" spans="2:18" x14ac:dyDescent="0.25">
      <c r="C30" s="4">
        <v>2008</v>
      </c>
      <c r="D30" s="4">
        <v>2009</v>
      </c>
      <c r="E30" s="4">
        <v>2010</v>
      </c>
      <c r="F30" s="4">
        <v>2011</v>
      </c>
      <c r="G30" s="4">
        <v>2012</v>
      </c>
      <c r="H30" s="4">
        <v>2013</v>
      </c>
      <c r="I30" s="4">
        <v>2014</v>
      </c>
      <c r="J30" s="4">
        <v>2015</v>
      </c>
      <c r="K30" s="4">
        <v>2016</v>
      </c>
      <c r="L30" s="4">
        <v>2017</v>
      </c>
      <c r="M30" s="4">
        <v>2018</v>
      </c>
      <c r="N30" s="4">
        <v>2019</v>
      </c>
      <c r="O30" s="4">
        <v>2020</v>
      </c>
      <c r="P30" s="4">
        <v>2021</v>
      </c>
      <c r="Q30" s="4">
        <v>2022</v>
      </c>
      <c r="R30" s="4">
        <v>2023</v>
      </c>
    </row>
    <row r="31" spans="2:18" x14ac:dyDescent="0.25">
      <c r="C31" s="4"/>
      <c r="D31" s="4"/>
      <c r="E31" s="4"/>
      <c r="F31" s="4"/>
      <c r="G31" s="4"/>
      <c r="H31" s="4"/>
      <c r="I31" s="140"/>
      <c r="J31" s="4"/>
      <c r="K31" s="4"/>
      <c r="L31" s="4"/>
      <c r="M31" s="4"/>
      <c r="N31" s="4"/>
      <c r="O31" s="4"/>
      <c r="P31" s="4"/>
      <c r="Q31" s="4"/>
      <c r="R31" s="4"/>
    </row>
    <row r="32" spans="2:18" x14ac:dyDescent="0.25">
      <c r="B32" s="11" t="s">
        <v>393</v>
      </c>
    </row>
    <row r="34" spans="2:18" x14ac:dyDescent="0.25">
      <c r="B34" s="11" t="s">
        <v>394</v>
      </c>
      <c r="C34" s="65">
        <f>+'ERPR2008-2023'!E13</f>
        <v>191413.47700000001</v>
      </c>
      <c r="D34" s="65">
        <f>+'ERPR2008-2023'!F13</f>
        <v>222721.31599999999</v>
      </c>
      <c r="E34" s="65">
        <f>+'ERPR2008-2023'!G13</f>
        <v>214414.239</v>
      </c>
      <c r="F34" s="65">
        <f>+'ERPR2008-2023'!H13</f>
        <v>239826.701</v>
      </c>
      <c r="G34" s="65">
        <f>+'ERPR2008-2023'!I13</f>
        <v>264981.21799999999</v>
      </c>
      <c r="H34" s="65">
        <f>+'ERPR2008-2023'!J13</f>
        <v>306866.99300000002</v>
      </c>
      <c r="I34" s="65">
        <f>H34*(1+I35)</f>
        <v>337553.69230000005</v>
      </c>
      <c r="J34" s="65">
        <f>I34*(1+J35)</f>
        <v>371309.06153000006</v>
      </c>
      <c r="K34" s="65">
        <f t="shared" ref="K34:R34" si="1">J34*(1+K35)</f>
        <v>408439.96768300008</v>
      </c>
      <c r="L34" s="65">
        <f t="shared" si="1"/>
        <v>449283.96445130015</v>
      </c>
      <c r="M34" s="65">
        <f t="shared" si="1"/>
        <v>494212.36089643021</v>
      </c>
      <c r="N34" s="65">
        <f t="shared" si="1"/>
        <v>543633.5969860733</v>
      </c>
      <c r="O34" s="65">
        <f t="shared" si="1"/>
        <v>597996.95668468066</v>
      </c>
      <c r="P34" s="65">
        <f t="shared" si="1"/>
        <v>657796.65235314879</v>
      </c>
      <c r="Q34" s="65">
        <f t="shared" si="1"/>
        <v>723576.31758846377</v>
      </c>
      <c r="R34" s="65">
        <f t="shared" si="1"/>
        <v>795933.94934731023</v>
      </c>
    </row>
    <row r="35" spans="2:18" ht="15.75" thickBot="1" x14ac:dyDescent="0.3">
      <c r="B35" s="63" t="s">
        <v>395</v>
      </c>
      <c r="C35" s="63"/>
      <c r="D35" s="64">
        <f>D34/C34-1</f>
        <v>0.1635613097399613</v>
      </c>
      <c r="E35" s="64">
        <f t="shared" ref="E35:H35" si="2">E34/D34-1</f>
        <v>-3.7298077926227746E-2</v>
      </c>
      <c r="F35" s="64">
        <f t="shared" si="2"/>
        <v>0.11852040292902366</v>
      </c>
      <c r="G35" s="64">
        <f t="shared" si="2"/>
        <v>0.10488622365697298</v>
      </c>
      <c r="H35" s="64">
        <f t="shared" si="2"/>
        <v>0.15807073163955354</v>
      </c>
      <c r="I35" s="64">
        <v>0.1</v>
      </c>
      <c r="J35" s="64">
        <v>0.1</v>
      </c>
      <c r="K35" s="64">
        <v>0.1</v>
      </c>
      <c r="L35" s="64">
        <v>0.1</v>
      </c>
      <c r="M35" s="64">
        <v>0.1</v>
      </c>
      <c r="N35" s="64">
        <v>0.1</v>
      </c>
      <c r="O35" s="64">
        <v>0.1</v>
      </c>
      <c r="P35" s="64">
        <v>0.1</v>
      </c>
      <c r="Q35" s="64">
        <v>0.1</v>
      </c>
      <c r="R35" s="64">
        <v>0.1</v>
      </c>
    </row>
    <row r="36" spans="2:18" x14ac:dyDescent="0.25">
      <c r="B36" s="66"/>
      <c r="C36" s="66"/>
      <c r="D36" s="67"/>
      <c r="E36" s="67"/>
      <c r="F36" s="67"/>
      <c r="G36" s="67"/>
      <c r="H36" s="67"/>
      <c r="I36" s="207"/>
      <c r="J36" s="207"/>
      <c r="K36" s="207"/>
      <c r="L36" s="67"/>
      <c r="M36" s="67"/>
      <c r="N36" s="67"/>
      <c r="O36" s="67"/>
      <c r="P36" s="67"/>
      <c r="Q36" s="67"/>
      <c r="R36" s="67"/>
    </row>
    <row r="37" spans="2:18" x14ac:dyDescent="0.25">
      <c r="B37" s="11" t="s">
        <v>396</v>
      </c>
      <c r="C37" s="65">
        <f>+'ERPR2008-2023'!E17</f>
        <v>-162694.41099999999</v>
      </c>
      <c r="D37" s="65">
        <f>+'ERPR2008-2023'!F17</f>
        <v>-183376.93700000001</v>
      </c>
      <c r="E37" s="65">
        <f>+'ERPR2008-2023'!G17</f>
        <v>-195135.8</v>
      </c>
      <c r="F37" s="65">
        <f>+'ERPR2008-2023'!H17</f>
        <v>-204288.12100000001</v>
      </c>
      <c r="G37" s="65">
        <f>+'ERPR2008-2023'!I17</f>
        <v>-230679.09</v>
      </c>
      <c r="H37" s="65">
        <f>+'ERPR2008-2023'!J17</f>
        <v>-246877.611</v>
      </c>
      <c r="I37" s="65">
        <f>I38*I34</f>
        <v>-253165.26922500005</v>
      </c>
      <c r="J37" s="65">
        <f>J38*J34</f>
        <v>-278481.79614750005</v>
      </c>
      <c r="K37" s="65">
        <f>K38*K34</f>
        <v>-306329.97576225008</v>
      </c>
      <c r="L37" s="65">
        <f t="shared" ref="L37:R37" si="3">L38*L34</f>
        <v>-336962.9733384751</v>
      </c>
      <c r="M37" s="65">
        <f t="shared" si="3"/>
        <v>-370659.27067232266</v>
      </c>
      <c r="N37" s="65">
        <f t="shared" si="3"/>
        <v>-407725.19773955498</v>
      </c>
      <c r="O37" s="65">
        <f t="shared" si="3"/>
        <v>-448497.71751351049</v>
      </c>
      <c r="P37" s="65">
        <f t="shared" si="3"/>
        <v>-493347.48926486156</v>
      </c>
      <c r="Q37" s="65">
        <f t="shared" si="3"/>
        <v>-542682.2381913478</v>
      </c>
      <c r="R37" s="65">
        <f t="shared" si="3"/>
        <v>-596950.46201048268</v>
      </c>
    </row>
    <row r="38" spans="2:18" ht="15.75" thickBot="1" x14ac:dyDescent="0.3">
      <c r="B38" s="63" t="s">
        <v>397</v>
      </c>
      <c r="C38" s="70">
        <f>C37/C34</f>
        <v>-0.84996319773241458</v>
      </c>
      <c r="D38" s="70">
        <f t="shared" ref="D38:G38" si="4">D37/D34</f>
        <v>-0.82334704326190322</v>
      </c>
      <c r="E38" s="70">
        <f t="shared" si="4"/>
        <v>-0.91008787900508781</v>
      </c>
      <c r="F38" s="70">
        <f t="shared" si="4"/>
        <v>-0.85181558245259781</v>
      </c>
      <c r="G38" s="70">
        <f t="shared" si="4"/>
        <v>-0.87054883263462091</v>
      </c>
      <c r="H38" s="70">
        <f>H37/H34</f>
        <v>-0.80451015140621529</v>
      </c>
      <c r="I38" s="70">
        <v>-0.75</v>
      </c>
      <c r="J38" s="70">
        <v>-0.75</v>
      </c>
      <c r="K38" s="70">
        <v>-0.75</v>
      </c>
      <c r="L38" s="70">
        <v>-0.75</v>
      </c>
      <c r="M38" s="70">
        <v>-0.75</v>
      </c>
      <c r="N38" s="70">
        <v>-0.75</v>
      </c>
      <c r="O38" s="70">
        <v>-0.75</v>
      </c>
      <c r="P38" s="70">
        <v>-0.75</v>
      </c>
      <c r="Q38" s="70">
        <v>-0.75</v>
      </c>
      <c r="R38" s="70">
        <v>-0.75</v>
      </c>
    </row>
    <row r="39" spans="2:18" x14ac:dyDescent="0.25">
      <c r="B39" s="66"/>
      <c r="C39" s="66"/>
      <c r="D39" s="66"/>
      <c r="E39" s="66"/>
      <c r="F39" s="66"/>
      <c r="G39" s="66"/>
      <c r="H39" s="66"/>
      <c r="I39" s="66"/>
      <c r="J39" s="66"/>
      <c r="K39" s="66"/>
      <c r="L39" s="66"/>
      <c r="M39" s="66"/>
      <c r="N39" s="66"/>
      <c r="O39" s="66"/>
      <c r="P39" s="66"/>
      <c r="Q39" s="66"/>
      <c r="R39" s="66"/>
    </row>
    <row r="40" spans="2:18" x14ac:dyDescent="0.25">
      <c r="B40" s="11" t="s">
        <v>398</v>
      </c>
      <c r="C40" s="65">
        <f t="shared" ref="C40:H40" si="5">+C41+C43</f>
        <v>-7780.2479999999996</v>
      </c>
      <c r="D40" s="65">
        <f t="shared" si="5"/>
        <v>-13694.688</v>
      </c>
      <c r="E40" s="65">
        <f t="shared" si="5"/>
        <v>-9113.8700000000008</v>
      </c>
      <c r="F40" s="65">
        <f t="shared" si="5"/>
        <v>-11978.58</v>
      </c>
      <c r="G40" s="65">
        <f t="shared" si="5"/>
        <v>-12745.097</v>
      </c>
      <c r="H40" s="65">
        <f t="shared" si="5"/>
        <v>-15754.243</v>
      </c>
      <c r="I40" s="65">
        <f>+I41+I43</f>
        <v>-18905.0916</v>
      </c>
      <c r="J40" s="65">
        <f t="shared" ref="J40" si="6">+J41+J43</f>
        <v>-22686.109919999999</v>
      </c>
      <c r="K40" s="65">
        <f t="shared" ref="K40" si="7">+K41+K43</f>
        <v>-27223.331903999999</v>
      </c>
      <c r="L40" s="65">
        <f t="shared" ref="L40" si="8">+L41+L43</f>
        <v>-32667.998284799996</v>
      </c>
      <c r="M40" s="65">
        <f t="shared" ref="M40" si="9">+M41+M43</f>
        <v>-39201.597941759996</v>
      </c>
      <c r="N40" s="65">
        <f t="shared" ref="N40" si="10">+N41+N43</f>
        <v>-47041.91753011199</v>
      </c>
      <c r="O40" s="65">
        <f t="shared" ref="O40" si="11">+O41+O43</f>
        <v>-56450.301036134384</v>
      </c>
      <c r="P40" s="65">
        <f t="shared" ref="P40" si="12">+P41+P43</f>
        <v>-67740.361243361258</v>
      </c>
      <c r="Q40" s="65">
        <f t="shared" ref="Q40" si="13">+Q41+Q43</f>
        <v>-81288.43349203351</v>
      </c>
      <c r="R40" s="65">
        <f t="shared" ref="R40" si="14">+R41+R43</f>
        <v>-97546.120190440211</v>
      </c>
    </row>
    <row r="41" spans="2:18" x14ac:dyDescent="0.25">
      <c r="B41" t="s">
        <v>399</v>
      </c>
      <c r="C41" s="22">
        <f>+'ERPR2008-2023'!E22</f>
        <v>-7780.2479999999996</v>
      </c>
      <c r="D41" s="22">
        <f>+'ERPR2008-2023'!F22</f>
        <v>-13694.688</v>
      </c>
      <c r="E41" s="22">
        <f>+'ERPR2008-2023'!G22</f>
        <v>-9113.8700000000008</v>
      </c>
      <c r="F41" s="22">
        <f>+'ERPR2008-2023'!H22</f>
        <v>-11978.58</v>
      </c>
      <c r="G41" s="22">
        <f>+'ERPR2008-2023'!I22</f>
        <v>-12745.097</v>
      </c>
      <c r="H41" s="22">
        <f>+'ERPR2008-2023'!J22</f>
        <v>-15754.243</v>
      </c>
      <c r="I41" s="22">
        <f>H40*(1+I42)</f>
        <v>-18905.0916</v>
      </c>
      <c r="J41" s="22">
        <f t="shared" ref="J41:R41" si="15">I40*(1+J42)</f>
        <v>-22686.109919999999</v>
      </c>
      <c r="K41" s="22">
        <f t="shared" si="15"/>
        <v>-27223.331903999999</v>
      </c>
      <c r="L41" s="22">
        <f t="shared" si="15"/>
        <v>-32667.998284799996</v>
      </c>
      <c r="M41" s="22">
        <f t="shared" si="15"/>
        <v>-39201.597941759996</v>
      </c>
      <c r="N41" s="22">
        <f t="shared" si="15"/>
        <v>-47041.91753011199</v>
      </c>
      <c r="O41" s="22">
        <f t="shared" si="15"/>
        <v>-56450.301036134384</v>
      </c>
      <c r="P41" s="22">
        <f t="shared" si="15"/>
        <v>-67740.361243361258</v>
      </c>
      <c r="Q41" s="22">
        <f t="shared" si="15"/>
        <v>-81288.43349203351</v>
      </c>
      <c r="R41" s="22">
        <f t="shared" si="15"/>
        <v>-97546.120190440211</v>
      </c>
    </row>
    <row r="42" spans="2:18" x14ac:dyDescent="0.25">
      <c r="B42" t="s">
        <v>400</v>
      </c>
      <c r="C42" s="68"/>
      <c r="D42" s="71">
        <f>D40/C40-1</f>
        <v>0.7601865647470365</v>
      </c>
      <c r="E42" s="71">
        <f>E40/D40-1</f>
        <v>-0.33449597391338881</v>
      </c>
      <c r="F42" s="71">
        <f>F40/E40-1</f>
        <v>0.31432421133942001</v>
      </c>
      <c r="G42" s="71">
        <f>G40/F40-1</f>
        <v>6.3990639958993345E-2</v>
      </c>
      <c r="H42" s="71">
        <f>H40/G40-1</f>
        <v>0.23610224386679834</v>
      </c>
      <c r="I42" s="71">
        <v>0.2</v>
      </c>
      <c r="J42" s="71">
        <v>0.2</v>
      </c>
      <c r="K42" s="71">
        <v>0.2</v>
      </c>
      <c r="L42" s="71">
        <v>0.2</v>
      </c>
      <c r="M42" s="71">
        <v>0.2</v>
      </c>
      <c r="N42" s="71">
        <v>0.2</v>
      </c>
      <c r="O42" s="71">
        <v>0.2</v>
      </c>
      <c r="P42" s="71">
        <v>0.2</v>
      </c>
      <c r="Q42" s="71">
        <v>0.2</v>
      </c>
      <c r="R42" s="71">
        <v>0.2</v>
      </c>
    </row>
    <row r="43" spans="2:18" ht="15.75" thickBot="1" x14ac:dyDescent="0.3">
      <c r="B43" s="63" t="s">
        <v>401</v>
      </c>
      <c r="C43" s="69"/>
      <c r="D43" s="69"/>
      <c r="E43" s="69"/>
      <c r="F43" s="69"/>
      <c r="G43" s="69"/>
      <c r="H43" s="69"/>
      <c r="I43" s="69"/>
      <c r="J43" s="69"/>
      <c r="K43" s="69"/>
      <c r="L43" s="69"/>
      <c r="M43" s="69"/>
      <c r="N43" s="69"/>
      <c r="O43" s="69"/>
      <c r="P43" s="69"/>
      <c r="Q43" s="69"/>
      <c r="R43" s="69"/>
    </row>
    <row r="44" spans="2:18" x14ac:dyDescent="0.25">
      <c r="B44" s="66"/>
      <c r="C44" s="66"/>
      <c r="D44" s="74"/>
      <c r="E44" s="74"/>
      <c r="F44" s="74"/>
      <c r="G44" s="74"/>
      <c r="H44" s="74"/>
      <c r="I44" s="66"/>
      <c r="J44" s="66"/>
      <c r="K44" s="66"/>
      <c r="L44" s="66"/>
      <c r="M44" s="66"/>
      <c r="N44" s="66"/>
      <c r="O44" s="66"/>
      <c r="P44" s="66"/>
      <c r="Q44" s="66"/>
      <c r="R44" s="66"/>
    </row>
    <row r="45" spans="2:18" x14ac:dyDescent="0.25">
      <c r="B45" s="11" t="s">
        <v>408</v>
      </c>
      <c r="C45" s="65">
        <f>+'ERPR2008-2023'!E27</f>
        <v>8721.5460000000003</v>
      </c>
      <c r="D45" s="65">
        <f>+'ERPR2008-2023'!F27</f>
        <v>16878.544999999998</v>
      </c>
      <c r="E45" s="65">
        <f>+'ERPR2008-2023'!G27</f>
        <v>20982.376</v>
      </c>
      <c r="F45" s="65">
        <f>+'ERPR2008-2023'!H27</f>
        <v>33788.159</v>
      </c>
      <c r="G45" s="65">
        <f>+'ERPR2008-2023'!I27</f>
        <v>31851.146000000001</v>
      </c>
      <c r="H45" s="65">
        <f>+'ERPR2008-2023'!J27</f>
        <v>37393.591999999997</v>
      </c>
      <c r="I45" s="65">
        <f>I46*I34</f>
        <v>27004.295384000005</v>
      </c>
      <c r="J45" s="65">
        <f t="shared" ref="J45:R45" si="16">J46*J34</f>
        <v>29704.724922400004</v>
      </c>
      <c r="K45" s="65">
        <f t="shared" si="16"/>
        <v>32675.197414640006</v>
      </c>
      <c r="L45" s="65">
        <f t="shared" si="16"/>
        <v>35942.717156104016</v>
      </c>
      <c r="M45" s="65">
        <f t="shared" si="16"/>
        <v>39536.98887171442</v>
      </c>
      <c r="N45" s="65">
        <f t="shared" si="16"/>
        <v>43490.687758885862</v>
      </c>
      <c r="O45" s="65">
        <f t="shared" si="16"/>
        <v>47839.756534774453</v>
      </c>
      <c r="P45" s="65">
        <f t="shared" si="16"/>
        <v>52623.732188251903</v>
      </c>
      <c r="Q45" s="65">
        <f t="shared" si="16"/>
        <v>57886.105407077106</v>
      </c>
      <c r="R45" s="65">
        <f t="shared" si="16"/>
        <v>63674.715947784818</v>
      </c>
    </row>
    <row r="46" spans="2:18" ht="15.75" thickBot="1" x14ac:dyDescent="0.3">
      <c r="B46" s="63" t="s">
        <v>407</v>
      </c>
      <c r="C46" s="70">
        <f>+C45/C34</f>
        <v>4.5563907707501704E-2</v>
      </c>
      <c r="D46" s="70">
        <f t="shared" ref="D46:H46" si="17">+D45/D34</f>
        <v>7.5783249233315406E-2</v>
      </c>
      <c r="E46" s="70">
        <f t="shared" si="17"/>
        <v>9.7859060563603703E-2</v>
      </c>
      <c r="F46" s="70">
        <f t="shared" si="17"/>
        <v>0.14088572648130618</v>
      </c>
      <c r="G46" s="70">
        <f t="shared" si="17"/>
        <v>0.1202015231132344</v>
      </c>
      <c r="H46" s="70">
        <f t="shared" si="17"/>
        <v>0.12185602509553706</v>
      </c>
      <c r="I46" s="70">
        <v>0.08</v>
      </c>
      <c r="J46" s="70">
        <v>0.08</v>
      </c>
      <c r="K46" s="70">
        <v>0.08</v>
      </c>
      <c r="L46" s="70">
        <v>0.08</v>
      </c>
      <c r="M46" s="70">
        <v>0.08</v>
      </c>
      <c r="N46" s="70">
        <v>0.08</v>
      </c>
      <c r="O46" s="70">
        <v>0.08</v>
      </c>
      <c r="P46" s="70">
        <v>0.08</v>
      </c>
      <c r="Q46" s="70">
        <v>0.08</v>
      </c>
      <c r="R46" s="70">
        <v>0.08</v>
      </c>
    </row>
    <row r="48" spans="2:18" x14ac:dyDescent="0.25">
      <c r="B48" s="11" t="s">
        <v>633</v>
      </c>
      <c r="C48" s="65">
        <f>+'ERPR2008-2023'!E28</f>
        <v>-895.60699999999997</v>
      </c>
      <c r="D48" s="65">
        <f>+'ERPR2008-2023'!F28</f>
        <v>-4113.2629999999999</v>
      </c>
      <c r="E48" s="65">
        <f>+'ERPR2008-2023'!G28</f>
        <v>-795.66</v>
      </c>
      <c r="F48" s="65">
        <f>+'ERPR2008-2023'!H28</f>
        <v>-3034.922</v>
      </c>
      <c r="G48" s="65">
        <f>+'ERPR2008-2023'!I28</f>
        <v>-5513.6229999999996</v>
      </c>
      <c r="H48" s="65">
        <f>+'ERPR2008-2023'!J28</f>
        <v>-2819.1680000000001</v>
      </c>
      <c r="I48" s="65">
        <f>I49*I34</f>
        <v>-3375.5369230000006</v>
      </c>
      <c r="J48" s="65">
        <f t="shared" ref="J48:R48" si="18">J49*J34</f>
        <v>-3713.0906153000005</v>
      </c>
      <c r="K48" s="65">
        <f t="shared" si="18"/>
        <v>-4084.3996768300008</v>
      </c>
      <c r="L48" s="65">
        <f t="shared" si="18"/>
        <v>-4492.839644513002</v>
      </c>
      <c r="M48" s="65">
        <f t="shared" si="18"/>
        <v>-4942.1236089643025</v>
      </c>
      <c r="N48" s="65">
        <f t="shared" si="18"/>
        <v>-5436.3359698607328</v>
      </c>
      <c r="O48" s="65">
        <f t="shared" si="18"/>
        <v>-5979.9695668468066</v>
      </c>
      <c r="P48" s="65">
        <f t="shared" si="18"/>
        <v>-6577.9665235314878</v>
      </c>
      <c r="Q48" s="65">
        <f t="shared" si="18"/>
        <v>-7235.7631758846383</v>
      </c>
      <c r="R48" s="65">
        <f t="shared" si="18"/>
        <v>-7959.3394934731023</v>
      </c>
    </row>
    <row r="49" spans="2:18" ht="15.75" thickBot="1" x14ac:dyDescent="0.3">
      <c r="B49" s="63" t="s">
        <v>406</v>
      </c>
      <c r="C49" s="75">
        <f>+C48/C34</f>
        <v>-4.6789129691218135E-3</v>
      </c>
      <c r="D49" s="75">
        <f t="shared" ref="D49:H49" si="19">+D48/D34</f>
        <v>-1.8468205351300997E-2</v>
      </c>
      <c r="E49" s="75">
        <f t="shared" si="19"/>
        <v>-3.7108542963884034E-3</v>
      </c>
      <c r="F49" s="75">
        <f t="shared" si="19"/>
        <v>-1.2654645989563939E-2</v>
      </c>
      <c r="G49" s="75">
        <f t="shared" si="19"/>
        <v>-2.0807599276715529E-2</v>
      </c>
      <c r="H49" s="75">
        <f t="shared" si="19"/>
        <v>-9.1869378731129943E-3</v>
      </c>
      <c r="I49" s="76">
        <v>-0.01</v>
      </c>
      <c r="J49" s="76">
        <v>-0.01</v>
      </c>
      <c r="K49" s="76">
        <v>-0.01</v>
      </c>
      <c r="L49" s="76">
        <v>-0.01</v>
      </c>
      <c r="M49" s="76">
        <v>-0.01</v>
      </c>
      <c r="N49" s="76">
        <v>-0.01</v>
      </c>
      <c r="O49" s="76">
        <v>-0.01</v>
      </c>
      <c r="P49" s="76">
        <v>-0.01</v>
      </c>
      <c r="Q49" s="76">
        <v>-0.01</v>
      </c>
      <c r="R49" s="76">
        <v>-0.01</v>
      </c>
    </row>
    <row r="50" spans="2:18" x14ac:dyDescent="0.25">
      <c r="B50" s="66"/>
      <c r="C50" s="66"/>
      <c r="D50" s="66"/>
      <c r="E50" s="66"/>
      <c r="F50" s="66"/>
      <c r="G50" s="66"/>
      <c r="H50" s="66"/>
      <c r="I50" s="66"/>
      <c r="J50" s="66"/>
      <c r="K50" s="66"/>
      <c r="L50" s="66"/>
      <c r="M50" s="66"/>
      <c r="N50" s="66"/>
      <c r="O50" s="66"/>
      <c r="P50" s="66"/>
      <c r="Q50" s="66"/>
      <c r="R50" s="66"/>
    </row>
    <row r="51" spans="2:18" x14ac:dyDescent="0.25">
      <c r="B51" s="66"/>
      <c r="C51" s="66"/>
      <c r="D51" s="66"/>
      <c r="E51" s="66"/>
      <c r="F51" s="66"/>
      <c r="G51" s="66"/>
      <c r="H51" s="66"/>
      <c r="I51" s="66"/>
      <c r="J51" s="66"/>
      <c r="K51" s="66"/>
      <c r="L51" s="66"/>
      <c r="M51" s="66"/>
      <c r="N51" s="66"/>
      <c r="O51" s="66"/>
      <c r="P51" s="66"/>
      <c r="Q51" s="66"/>
      <c r="R51" s="66"/>
    </row>
    <row r="52" spans="2:18" x14ac:dyDescent="0.25">
      <c r="B52" s="11" t="s">
        <v>402</v>
      </c>
      <c r="C52" s="65">
        <f>+'ERPR2008-2023'!E34</f>
        <v>1565.0889999999999</v>
      </c>
      <c r="D52" s="65">
        <f>+'ERPR2008-2023'!F34</f>
        <v>7978.4639999999999</v>
      </c>
      <c r="E52" s="65">
        <f>+'ERPR2008-2023'!G34</f>
        <v>4462.2950000000001</v>
      </c>
      <c r="F52" s="65">
        <f>+'ERPR2008-2023'!H34</f>
        <v>2979.1790000000001</v>
      </c>
      <c r="G52" s="65">
        <f>+'ERPR2008-2023'!I34</f>
        <v>8370.9549999999999</v>
      </c>
      <c r="H52" s="65">
        <f>+'ERPR2008-2023'!J34</f>
        <v>2680.241</v>
      </c>
      <c r="I52" s="65">
        <f>IF((I54*H53)&gt;0,(I54*H53),0)</f>
        <v>1613.9492950000001</v>
      </c>
      <c r="J52" s="65">
        <f>IF((J54*I53)&gt;0,(J54*I53),0)</f>
        <v>1650.7762760424662</v>
      </c>
      <c r="K52" s="65">
        <f t="shared" ref="K52:R52" si="20">IF((K54*J53)&gt;0,(K54*J53),0)</f>
        <v>1709.0389681380827</v>
      </c>
      <c r="L52" s="65">
        <f>IF((L54*K53)&gt;0,(L54*K53),0)</f>
        <v>1958.2738176582197</v>
      </c>
      <c r="M52" s="65">
        <f t="shared" si="20"/>
        <v>2154.1011994240421</v>
      </c>
      <c r="N52" s="65">
        <f t="shared" si="20"/>
        <v>2369.5113193664465</v>
      </c>
      <c r="O52" s="65">
        <f t="shared" si="20"/>
        <v>2606.4624513030917</v>
      </c>
      <c r="P52" s="65">
        <f t="shared" si="20"/>
        <v>2867.1086964334008</v>
      </c>
      <c r="Q52" s="65">
        <f t="shared" si="20"/>
        <v>3153.8195660767415</v>
      </c>
      <c r="R52" s="65">
        <f t="shared" si="20"/>
        <v>3469.201522684416</v>
      </c>
    </row>
    <row r="53" spans="2:18" x14ac:dyDescent="0.25">
      <c r="B53" t="s">
        <v>403</v>
      </c>
      <c r="C53" s="22">
        <f>+'BGPR2008-2023'!E17+'BGPR2008-2023'!E18</f>
        <v>33387.474000000002</v>
      </c>
      <c r="D53" s="22">
        <f>+'BGPR2008-2023'!F17+'BGPR2008-2023'!F18</f>
        <v>34400.097999999998</v>
      </c>
      <c r="E53" s="22">
        <f>+'BGPR2008-2023'!G17+'BGPR2008-2023'!G18</f>
        <v>22443.755000000001</v>
      </c>
      <c r="F53" s="22">
        <f>+'BGPR2008-2023'!H17+'BGPR2008-2023'!H18</f>
        <v>49100.156000000003</v>
      </c>
      <c r="G53" s="22">
        <f>+'BGPR2008-2023'!I17+'BGPR2008-2023'!I18</f>
        <v>18468.109</v>
      </c>
      <c r="H53" s="22">
        <f>+'BGPR2008-2023'!J17+'BGPR2008-2023'!J18</f>
        <v>46112.837</v>
      </c>
      <c r="I53" s="22">
        <f>+'BGPR2008-2023'!K17+'BGPR2008-2023'!K18</f>
        <v>47165.036458356175</v>
      </c>
      <c r="J53" s="22">
        <f>+'BGPR2008-2023'!L17+'BGPR2008-2023'!L18</f>
        <v>48829.684803945216</v>
      </c>
      <c r="K53" s="22">
        <f>+'BGPR2008-2023'!M17+'BGPR2008-2023'!M18</f>
        <v>55950.680504520562</v>
      </c>
      <c r="L53" s="22">
        <f>+'BGPR2008-2023'!N17+'BGPR2008-2023'!N18</f>
        <v>61545.748554972619</v>
      </c>
      <c r="M53" s="22">
        <f>+'BGPR2008-2023'!O17+'BGPR2008-2023'!O18</f>
        <v>67700.323410469893</v>
      </c>
      <c r="N53" s="22">
        <f>+'BGPR2008-2023'!P17+'BGPR2008-2023'!P18</f>
        <v>74470.355751516894</v>
      </c>
      <c r="O53" s="22">
        <f>+'BGPR2008-2023'!Q17+'BGPR2008-2023'!Q18</f>
        <v>81917.391326668585</v>
      </c>
      <c r="P53" s="22">
        <f>+'BGPR2008-2023'!R17+'BGPR2008-2023'!R18</f>
        <v>90109.130459335458</v>
      </c>
      <c r="Q53" s="22">
        <f>+'BGPR2008-2023'!S17+'BGPR2008-2023'!S18</f>
        <v>99120.043505269015</v>
      </c>
      <c r="R53" s="22">
        <f>+'BGPR2008-2023'!T17+'BGPR2008-2023'!T18</f>
        <v>109032.04785579591</v>
      </c>
    </row>
    <row r="54" spans="2:18" ht="15.75" thickBot="1" x14ac:dyDescent="0.3">
      <c r="B54" s="63" t="s">
        <v>404</v>
      </c>
      <c r="C54" s="63"/>
      <c r="D54" s="63"/>
      <c r="E54" s="63"/>
      <c r="F54" s="63"/>
      <c r="G54" s="63"/>
      <c r="H54" s="63"/>
      <c r="I54" s="174">
        <v>3.5000000000000003E-2</v>
      </c>
      <c r="J54" s="174">
        <v>3.5000000000000003E-2</v>
      </c>
      <c r="K54" s="174">
        <v>3.5000000000000003E-2</v>
      </c>
      <c r="L54" s="174">
        <v>3.5000000000000003E-2</v>
      </c>
      <c r="M54" s="174">
        <v>3.5000000000000003E-2</v>
      </c>
      <c r="N54" s="174">
        <v>3.5000000000000003E-2</v>
      </c>
      <c r="O54" s="174">
        <v>3.5000000000000003E-2</v>
      </c>
      <c r="P54" s="174">
        <v>3.5000000000000003E-2</v>
      </c>
      <c r="Q54" s="174">
        <v>3.5000000000000003E-2</v>
      </c>
      <c r="R54" s="174">
        <v>3.5000000000000003E-2</v>
      </c>
    </row>
    <row r="55" spans="2:18" x14ac:dyDescent="0.25">
      <c r="B55" s="66"/>
      <c r="C55" s="66"/>
      <c r="D55" s="66"/>
      <c r="E55" s="66"/>
      <c r="F55" s="66"/>
      <c r="G55" s="66"/>
      <c r="H55" s="66"/>
      <c r="I55" s="66"/>
      <c r="J55" s="66"/>
      <c r="K55" s="66"/>
      <c r="L55" s="66"/>
      <c r="M55" s="66"/>
      <c r="N55" s="66"/>
      <c r="O55" s="66"/>
      <c r="P55" s="66"/>
      <c r="Q55" s="66"/>
      <c r="R55" s="66"/>
    </row>
    <row r="56" spans="2:18" x14ac:dyDescent="0.25">
      <c r="B56" s="11" t="s">
        <v>405</v>
      </c>
      <c r="C56" s="65">
        <f>+'ERPR2008-2023'!E35</f>
        <v>-7975.8959999999997</v>
      </c>
      <c r="D56" s="65">
        <f>+'ERPR2008-2023'!F35</f>
        <v>-9841.4979999999996</v>
      </c>
      <c r="E56" s="65">
        <f>+'ERPR2008-2023'!G35</f>
        <v>-9047.1479999999992</v>
      </c>
      <c r="F56" s="65">
        <f>+'ERPR2008-2023'!H35</f>
        <v>-9638.1409999999996</v>
      </c>
      <c r="G56" s="65">
        <f>+'ERPR2008-2023'!I35</f>
        <v>-16239.825000000001</v>
      </c>
      <c r="H56" s="65">
        <f>+'ERPR2008-2023'!J35</f>
        <v>-6731.7640000000001</v>
      </c>
      <c r="I56" s="65">
        <f>-I65</f>
        <v>-2251.6799618493551</v>
      </c>
      <c r="J56" s="65">
        <f t="shared" ref="J56:K56" si="21">-J65</f>
        <v>-2251.6799618493551</v>
      </c>
      <c r="K56" s="65">
        <f t="shared" si="21"/>
        <v>-2251.6799618493551</v>
      </c>
      <c r="L56" s="65">
        <f>-L65</f>
        <v>-1125.8399809246775</v>
      </c>
      <c r="M56" s="65">
        <v>0</v>
      </c>
      <c r="N56" s="65">
        <v>0</v>
      </c>
      <c r="O56" s="65">
        <v>0</v>
      </c>
      <c r="P56" s="65">
        <v>0</v>
      </c>
      <c r="Q56" s="65">
        <v>0</v>
      </c>
      <c r="R56" s="65">
        <v>0</v>
      </c>
    </row>
    <row r="58" spans="2:18" x14ac:dyDescent="0.25">
      <c r="B58" s="11" t="s">
        <v>409</v>
      </c>
      <c r="H58" s="65">
        <f>+'BGPR2008-2023'!J64</f>
        <v>29450.59</v>
      </c>
    </row>
    <row r="59" spans="2:18" x14ac:dyDescent="0.25">
      <c r="B59" t="s">
        <v>410</v>
      </c>
      <c r="H59" s="72">
        <f>+H58</f>
        <v>29450.59</v>
      </c>
      <c r="I59" s="72">
        <f>H59-I60</f>
        <v>29450.59</v>
      </c>
      <c r="J59" s="72">
        <f t="shared" ref="J59:K59" si="22">I59-J60</f>
        <v>29450.59</v>
      </c>
      <c r="K59" s="72">
        <f t="shared" si="22"/>
        <v>29450.59</v>
      </c>
      <c r="L59" s="72">
        <f>K59-L60</f>
        <v>0</v>
      </c>
    </row>
    <row r="60" spans="2:18" x14ac:dyDescent="0.25">
      <c r="B60" t="s">
        <v>411</v>
      </c>
      <c r="I60">
        <v>0</v>
      </c>
      <c r="J60">
        <v>0</v>
      </c>
      <c r="K60">
        <v>0</v>
      </c>
      <c r="L60" s="72">
        <f>+H59</f>
        <v>29450.59</v>
      </c>
    </row>
    <row r="61" spans="2:18" x14ac:dyDescent="0.25">
      <c r="B61" t="s">
        <v>412</v>
      </c>
      <c r="I61" s="78">
        <f>(1/((1-(I62/4))^4)-1)</f>
        <v>7.6456191942142926E-2</v>
      </c>
      <c r="J61" s="78">
        <f t="shared" ref="J61:L61" si="23">(1/((1-(J62/4))^4)-1)</f>
        <v>7.6456191942142926E-2</v>
      </c>
      <c r="K61" s="78">
        <f t="shared" si="23"/>
        <v>7.6456191942142926E-2</v>
      </c>
      <c r="L61" s="78">
        <f t="shared" si="23"/>
        <v>7.6456191942142926E-2</v>
      </c>
    </row>
    <row r="62" spans="2:18" x14ac:dyDescent="0.25">
      <c r="B62" t="s">
        <v>413</v>
      </c>
      <c r="I62" s="78">
        <f>I63+I64</f>
        <v>7.3000000000000009E-2</v>
      </c>
      <c r="J62" s="78">
        <f t="shared" ref="J62:L62" si="24">J63+J64</f>
        <v>7.3000000000000009E-2</v>
      </c>
      <c r="K62" s="78">
        <f t="shared" si="24"/>
        <v>7.3000000000000009E-2</v>
      </c>
      <c r="L62" s="78">
        <f t="shared" si="24"/>
        <v>7.3000000000000009E-2</v>
      </c>
    </row>
    <row r="63" spans="2:18" x14ac:dyDescent="0.25">
      <c r="B63" t="s">
        <v>414</v>
      </c>
      <c r="I63" s="78">
        <v>0.04</v>
      </c>
      <c r="J63" s="78">
        <v>0.04</v>
      </c>
      <c r="K63" s="78">
        <v>0.04</v>
      </c>
      <c r="L63" s="78">
        <v>0.04</v>
      </c>
    </row>
    <row r="64" spans="2:18" x14ac:dyDescent="0.25">
      <c r="B64" t="s">
        <v>415</v>
      </c>
      <c r="I64" s="78">
        <v>3.3000000000000002E-2</v>
      </c>
      <c r="J64" s="78">
        <v>3.3000000000000002E-2</v>
      </c>
      <c r="K64" s="78">
        <v>3.3000000000000002E-2</v>
      </c>
      <c r="L64" s="78">
        <v>3.3000000000000002E-2</v>
      </c>
    </row>
    <row r="65" spans="2:18" x14ac:dyDescent="0.25">
      <c r="B65" t="s">
        <v>416</v>
      </c>
      <c r="I65" s="79">
        <f>AVERAGE(H59:I59)*I61</f>
        <v>2251.6799618493551</v>
      </c>
      <c r="J65" s="79">
        <f t="shared" ref="J65:L65" si="25">AVERAGE(I59:J59)*J61</f>
        <v>2251.6799618493551</v>
      </c>
      <c r="K65" s="79">
        <f t="shared" si="25"/>
        <v>2251.6799618493551</v>
      </c>
      <c r="L65" s="79">
        <f t="shared" si="25"/>
        <v>1125.8399809246775</v>
      </c>
    </row>
    <row r="66" spans="2:18" x14ac:dyDescent="0.25">
      <c r="B66" t="s">
        <v>417</v>
      </c>
    </row>
    <row r="68" spans="2:18" x14ac:dyDescent="0.25">
      <c r="B68" s="11" t="s">
        <v>418</v>
      </c>
      <c r="C68" s="65">
        <f>+'ERPR2008-2023'!E40</f>
        <v>-3458.587</v>
      </c>
      <c r="D68" s="65">
        <f>+'ERPR2008-2023'!F40</f>
        <v>-4903.01</v>
      </c>
      <c r="E68" s="65">
        <f>+'ERPR2008-2023'!G40</f>
        <v>-900.26</v>
      </c>
      <c r="F68" s="65">
        <f>+'ERPR2008-2023'!H40</f>
        <v>-6060.4970000000003</v>
      </c>
      <c r="G68" s="65">
        <f>+'ERPR2008-2023'!I40</f>
        <v>-8274.8089999999993</v>
      </c>
      <c r="H68" s="65">
        <f>+'ERPR2008-2023'!J40</f>
        <v>-18954.278999999999</v>
      </c>
      <c r="I68" s="65">
        <f>I69*I34</f>
        <v>-20253.221538000002</v>
      </c>
      <c r="J68" s="65">
        <f t="shared" ref="J68:R68" si="26">J69*J34</f>
        <v>-22278.543691800001</v>
      </c>
      <c r="K68" s="65">
        <f t="shared" si="26"/>
        <v>-24506.398060980006</v>
      </c>
      <c r="L68" s="65">
        <f t="shared" si="26"/>
        <v>-26957.037867078008</v>
      </c>
      <c r="M68" s="65">
        <f t="shared" si="26"/>
        <v>-29652.741653785812</v>
      </c>
      <c r="N68" s="65">
        <f t="shared" si="26"/>
        <v>-32618.015819164397</v>
      </c>
      <c r="O68" s="65">
        <f t="shared" si="26"/>
        <v>-35879.817401080836</v>
      </c>
      <c r="P68" s="65">
        <f t="shared" si="26"/>
        <v>-39467.799141188923</v>
      </c>
      <c r="Q68" s="65">
        <f t="shared" si="26"/>
        <v>-43414.579055307826</v>
      </c>
      <c r="R68" s="65">
        <f t="shared" si="26"/>
        <v>-47756.03696083861</v>
      </c>
    </row>
    <row r="69" spans="2:18" ht="15.75" thickBot="1" x14ac:dyDescent="0.3">
      <c r="B69" s="63" t="s">
        <v>419</v>
      </c>
      <c r="C69" s="75">
        <f>+C68/C34</f>
        <v>-1.8068670264006541E-2</v>
      </c>
      <c r="D69" s="75">
        <f t="shared" ref="D69:H69" si="27">+D68/D34</f>
        <v>-2.201410304166845E-2</v>
      </c>
      <c r="E69" s="75">
        <f t="shared" si="27"/>
        <v>-4.198695031629872E-3</v>
      </c>
      <c r="F69" s="75">
        <f t="shared" si="27"/>
        <v>-2.5270318003498701E-2</v>
      </c>
      <c r="G69" s="75">
        <f t="shared" si="27"/>
        <v>-3.1227907632306224E-2</v>
      </c>
      <c r="H69" s="75">
        <f t="shared" si="27"/>
        <v>-6.1767082913345449E-2</v>
      </c>
      <c r="I69" s="76">
        <v>-0.06</v>
      </c>
      <c r="J69" s="76">
        <v>-0.06</v>
      </c>
      <c r="K69" s="76">
        <v>-0.06</v>
      </c>
      <c r="L69" s="76">
        <v>-0.06</v>
      </c>
      <c r="M69" s="76">
        <v>-0.06</v>
      </c>
      <c r="N69" s="76">
        <v>-0.06</v>
      </c>
      <c r="O69" s="76">
        <v>-0.06</v>
      </c>
      <c r="P69" s="76">
        <v>-0.06</v>
      </c>
      <c r="Q69" s="76">
        <v>-0.06</v>
      </c>
      <c r="R69" s="76">
        <v>-0.06</v>
      </c>
    </row>
    <row r="72" spans="2:18" x14ac:dyDescent="0.25">
      <c r="B72" s="11" t="s">
        <v>420</v>
      </c>
    </row>
    <row r="74" spans="2:18" x14ac:dyDescent="0.25">
      <c r="B74" s="11" t="s">
        <v>421</v>
      </c>
    </row>
    <row r="75" spans="2:18" x14ac:dyDescent="0.25">
      <c r="B75" s="11" t="s">
        <v>422</v>
      </c>
    </row>
    <row r="76" spans="2:18" x14ac:dyDescent="0.25">
      <c r="B76" s="11"/>
      <c r="F76" s="72"/>
    </row>
    <row r="77" spans="2:18" x14ac:dyDescent="0.25">
      <c r="B77" s="11" t="s">
        <v>92</v>
      </c>
      <c r="C77" s="65">
        <f>+'BGPR2008-2023'!E17</f>
        <v>7892.6120000000001</v>
      </c>
      <c r="D77" s="65">
        <f>+'BGPR2008-2023'!F17</f>
        <v>4655.2110000000002</v>
      </c>
      <c r="E77" s="65">
        <f>+'BGPR2008-2023'!G17</f>
        <v>1996.4659999999999</v>
      </c>
      <c r="F77" s="65">
        <f>+'BGPR2008-2023'!H17</f>
        <v>17846.741000000002</v>
      </c>
      <c r="G77" s="65">
        <f>+'BGPR2008-2023'!I17</f>
        <v>8528.6440000000002</v>
      </c>
      <c r="H77" s="65">
        <f>+'BGPR2008-2023'!J17</f>
        <v>10353.384</v>
      </c>
      <c r="I77" s="65">
        <f>+I78/365*'ERPR2008-2023'!K13</f>
        <v>11097.655637260275</v>
      </c>
      <c r="J77" s="65">
        <f>+J78/365*'ERPR2008-2023'!L13</f>
        <v>12207.421200986302</v>
      </c>
      <c r="K77" s="65">
        <f>+K78/365*'ERPR2008-2023'!M13</f>
        <v>13428.163321084932</v>
      </c>
      <c r="L77" s="65">
        <f>+L78/365*'ERPR2008-2023'!N13</f>
        <v>14770.979653193428</v>
      </c>
      <c r="M77" s="65">
        <f>+M78/365*'ERPR2008-2023'!O13</f>
        <v>16248.077618512772</v>
      </c>
      <c r="N77" s="65">
        <f>+N78/365*'ERPR2008-2023'!P13</f>
        <v>17872.885380364052</v>
      </c>
      <c r="O77" s="65">
        <f>+O78/365*'ERPR2008-2023'!Q13</f>
        <v>19660.173918400458</v>
      </c>
      <c r="P77" s="65">
        <f>+P78/365*'ERPR2008-2023'!R13</f>
        <v>21626.191310240505</v>
      </c>
      <c r="Q77" s="65">
        <f>+Q78/365*'ERPR2008-2023'!S13</f>
        <v>23788.810441264559</v>
      </c>
      <c r="R77" s="65">
        <f>+R78/365*'ERPR2008-2023'!T13</f>
        <v>26167.69148539102</v>
      </c>
    </row>
    <row r="78" spans="2:18" ht="15.75" thickBot="1" x14ac:dyDescent="0.3">
      <c r="B78" s="63" t="s">
        <v>423</v>
      </c>
      <c r="C78" s="91">
        <f>+C77/'ERPR2008-2023'!E13*365</f>
        <v>15.050159608145041</v>
      </c>
      <c r="D78" s="91">
        <f>+D77/'ERPR2008-2023'!F13*365</f>
        <v>7.6290498166776279</v>
      </c>
      <c r="E78" s="91">
        <f>+E77/'ERPR2008-2023'!G13*365</f>
        <v>3.3986086623659357</v>
      </c>
      <c r="F78" s="91">
        <f>+F77/'ERPR2008-2023'!H13*365</f>
        <v>27.161531380111011</v>
      </c>
      <c r="G78" s="91">
        <f>+G77/'ERPR2008-2023'!I13*365</f>
        <v>11.747832859610451</v>
      </c>
      <c r="H78" s="91">
        <f>+H77/'ERPR2008-2023'!J13*365</f>
        <v>12.314733243402296</v>
      </c>
      <c r="I78" s="91">
        <v>12</v>
      </c>
      <c r="J78" s="91">
        <v>12</v>
      </c>
      <c r="K78" s="91">
        <v>12</v>
      </c>
      <c r="L78" s="91">
        <v>12</v>
      </c>
      <c r="M78" s="91">
        <v>12</v>
      </c>
      <c r="N78" s="91">
        <v>12</v>
      </c>
      <c r="O78" s="91">
        <v>12</v>
      </c>
      <c r="P78" s="91">
        <v>12</v>
      </c>
      <c r="Q78" s="91">
        <v>12</v>
      </c>
      <c r="R78" s="91">
        <v>12</v>
      </c>
    </row>
    <row r="79" spans="2:18" x14ac:dyDescent="0.25">
      <c r="B79" s="66"/>
      <c r="C79" s="93"/>
      <c r="D79" s="93"/>
      <c r="E79" s="93"/>
      <c r="F79" s="93"/>
      <c r="G79" s="93"/>
      <c r="H79" s="93"/>
      <c r="I79" s="93"/>
      <c r="J79" s="93"/>
      <c r="K79" s="93"/>
      <c r="L79" s="93"/>
      <c r="M79" s="93"/>
      <c r="N79" s="93"/>
      <c r="O79" s="93"/>
      <c r="P79" s="93"/>
      <c r="Q79" s="93"/>
      <c r="R79" s="93"/>
    </row>
    <row r="80" spans="2:18" x14ac:dyDescent="0.25">
      <c r="B80" s="11" t="s">
        <v>430</v>
      </c>
      <c r="C80" s="65">
        <f>+'BGPR2008-2023'!E18</f>
        <v>25494.862000000001</v>
      </c>
      <c r="D80" s="65">
        <f>+'BGPR2008-2023'!F18</f>
        <v>29744.886999999999</v>
      </c>
      <c r="E80" s="65">
        <f>+'BGPR2008-2023'!G18</f>
        <v>20447.289000000001</v>
      </c>
      <c r="F80" s="65">
        <f>+'BGPR2008-2023'!H18</f>
        <v>31253.415000000001</v>
      </c>
      <c r="G80" s="65">
        <f>+'BGPR2008-2023'!I18</f>
        <v>9939.4650000000001</v>
      </c>
      <c r="H80" s="65">
        <f>+'BGPR2008-2023'!J18</f>
        <v>35759.453000000001</v>
      </c>
      <c r="I80" s="65">
        <f>+I81/365*'ERPR2008-2023'!K13</f>
        <v>36067.380821095896</v>
      </c>
      <c r="J80" s="65">
        <f>+J81/365*'ERPR2008-2023'!L13</f>
        <v>36622.263602958912</v>
      </c>
      <c r="K80" s="65">
        <f>+K81/365*'ERPR2008-2023'!M13</f>
        <v>42522.51718343563</v>
      </c>
      <c r="L80" s="65">
        <f>+L81/365*'ERPR2008-2023'!N13</f>
        <v>46774.768901779193</v>
      </c>
      <c r="M80" s="65">
        <f>+M81/365*'ERPR2008-2023'!O13</f>
        <v>51452.245791957117</v>
      </c>
      <c r="N80" s="65">
        <f>+N81/365*'ERPR2008-2023'!P13</f>
        <v>56597.470371152842</v>
      </c>
      <c r="O80" s="65">
        <f>+O81/365*'ERPR2008-2023'!Q13</f>
        <v>62257.217408268123</v>
      </c>
      <c r="P80" s="65">
        <f>+P81/365*'ERPR2008-2023'!R13</f>
        <v>68482.939149094949</v>
      </c>
      <c r="Q80" s="65">
        <f>+Q81/365*'ERPR2008-2023'!S13</f>
        <v>75331.233064004453</v>
      </c>
      <c r="R80" s="65">
        <f>+R81/365*'ERPR2008-2023'!T13</f>
        <v>82864.356370404901</v>
      </c>
    </row>
    <row r="81" spans="2:18" ht="15.75" thickBot="1" x14ac:dyDescent="0.3">
      <c r="B81" s="63" t="s">
        <v>423</v>
      </c>
      <c r="C81" s="91">
        <f>+C80/'ERPR2008-2023'!E13*365</f>
        <v>48.615305337147184</v>
      </c>
      <c r="D81" s="91">
        <f>+D80/'ERPR2008-2023'!F13*365</f>
        <v>48.746496069554482</v>
      </c>
      <c r="E81" s="91">
        <f>+E80/'ERPR2008-2023'!G13*365</f>
        <v>34.807671914923525</v>
      </c>
      <c r="F81" s="91">
        <f>+F80/'ERPR2008-2023'!H13*365</f>
        <v>47.565581427899481</v>
      </c>
      <c r="G81" s="91">
        <f>+G80/'ERPR2008-2023'!I13*365</f>
        <v>13.691176878053298</v>
      </c>
      <c r="H81" s="91">
        <f>+H80/'ERPR2008-2023'!J13*365</f>
        <v>42.533738208201491</v>
      </c>
      <c r="I81" s="91">
        <v>39</v>
      </c>
      <c r="J81" s="91">
        <v>36</v>
      </c>
      <c r="K81" s="91">
        <v>38</v>
      </c>
      <c r="L81" s="91">
        <v>38</v>
      </c>
      <c r="M81" s="91">
        <v>38</v>
      </c>
      <c r="N81" s="91">
        <v>38</v>
      </c>
      <c r="O81" s="91">
        <v>38</v>
      </c>
      <c r="P81" s="91">
        <v>38</v>
      </c>
      <c r="Q81" s="91">
        <v>38</v>
      </c>
      <c r="R81" s="91">
        <v>38</v>
      </c>
    </row>
    <row r="82" spans="2:18" x14ac:dyDescent="0.25">
      <c r="B82" s="66"/>
      <c r="C82" s="93"/>
      <c r="D82" s="93"/>
      <c r="E82" s="93"/>
      <c r="F82" s="93"/>
      <c r="G82" s="93"/>
      <c r="H82" s="93"/>
      <c r="I82" s="93"/>
      <c r="J82" s="93"/>
      <c r="K82" s="93">
        <f>+K83-J83</f>
        <v>7934.8237806410762</v>
      </c>
      <c r="L82" s="93">
        <f t="shared" ref="L82:R82" si="28">+L83-K83</f>
        <v>8952.1088807233318</v>
      </c>
      <c r="M82" s="93">
        <f t="shared" si="28"/>
        <v>8862.5877919160703</v>
      </c>
      <c r="N82" s="93">
        <f t="shared" si="28"/>
        <v>8665.6413965401589</v>
      </c>
      <c r="O82" s="93">
        <f t="shared" si="28"/>
        <v>8340.6798441699357</v>
      </c>
      <c r="P82" s="93">
        <f t="shared" si="28"/>
        <v>9666.2521765468991</v>
      </c>
      <c r="Q82" s="93">
        <f t="shared" si="28"/>
        <v>9371.3495677709288</v>
      </c>
      <c r="R82" s="93">
        <f t="shared" si="28"/>
        <v>8920.8039154742146</v>
      </c>
    </row>
    <row r="83" spans="2:18" x14ac:dyDescent="0.25">
      <c r="B83" s="11" t="s">
        <v>119</v>
      </c>
      <c r="C83" s="65">
        <f>+'BGPR2008-2023'!E19</f>
        <v>58405.019</v>
      </c>
      <c r="D83" s="65">
        <f>+'BGPR2008-2023'!F19</f>
        <v>65579.332999999999</v>
      </c>
      <c r="E83" s="65">
        <f>+'BGPR2008-2023'!G19</f>
        <v>55585.624000000003</v>
      </c>
      <c r="F83" s="65">
        <f>+'BGPR2008-2023'!H19</f>
        <v>131374.39199999999</v>
      </c>
      <c r="G83" s="65">
        <f>+'BGPR2008-2023'!I19</f>
        <v>174953.96599999999</v>
      </c>
      <c r="H83" s="65">
        <f>+'BGPR2008-2023'!J19</f>
        <v>172129.71799999999</v>
      </c>
      <c r="I83" s="65">
        <f>+I84/365*'ERPR2008-2023'!K13</f>
        <v>175712.88092328768</v>
      </c>
      <c r="J83" s="65">
        <f>+J84/365*'ERPR2008-2023'!L13</f>
        <v>180059.46271454799</v>
      </c>
      <c r="K83" s="65">
        <f>+K84/365*'ERPR2008-2023'!M13</f>
        <v>187994.28649518907</v>
      </c>
      <c r="L83" s="65">
        <f>+L84/365*'ERPR2008-2023'!N13</f>
        <v>196946.3953759124</v>
      </c>
      <c r="M83" s="65">
        <f>+M84/365*'ERPR2008-2023'!O13</f>
        <v>205808.98316782847</v>
      </c>
      <c r="N83" s="65">
        <f>+N84/365*'ERPR2008-2023'!P13</f>
        <v>214474.62456436863</v>
      </c>
      <c r="O83" s="65">
        <f>+O84/365*'ERPR2008-2023'!Q13</f>
        <v>222815.30440853856</v>
      </c>
      <c r="P83" s="65">
        <f>+P84/365*'ERPR2008-2023'!R13</f>
        <v>232481.55658508546</v>
      </c>
      <c r="Q83" s="65">
        <f>+Q84/365*'ERPR2008-2023'!S13</f>
        <v>241852.90615285639</v>
      </c>
      <c r="R83" s="65">
        <f>+R84/365*'ERPR2008-2023'!T13</f>
        <v>250773.71006833061</v>
      </c>
    </row>
    <row r="84" spans="2:18" ht="15.75" thickBot="1" x14ac:dyDescent="0.3">
      <c r="B84" s="63" t="s">
        <v>423</v>
      </c>
      <c r="C84" s="91">
        <f>+C83/'ERPR2008-2023'!E13*365</f>
        <v>111.37059035294573</v>
      </c>
      <c r="D84" s="91">
        <f>+D83/'ERPR2008-2023'!F13*365</f>
        <v>107.47267919789053</v>
      </c>
      <c r="E84" s="91">
        <f>+E83/'ERPR2008-2023'!G13*365</f>
        <v>94.624092385953915</v>
      </c>
      <c r="F84" s="91">
        <f>+F83/'ERPR2008-2023'!H13*365</f>
        <v>199.9429291236425</v>
      </c>
      <c r="G84" s="91">
        <f>+G83/'ERPR2008-2023'!I13*365</f>
        <v>240.99141090822519</v>
      </c>
      <c r="H84" s="91">
        <f>+H83/'ERPR2008-2023'!J13*365</f>
        <v>204.73804124642362</v>
      </c>
      <c r="I84" s="92">
        <v>190</v>
      </c>
      <c r="J84" s="92">
        <v>177</v>
      </c>
      <c r="K84" s="92">
        <v>168</v>
      </c>
      <c r="L84" s="92">
        <v>160</v>
      </c>
      <c r="M84" s="92">
        <v>152</v>
      </c>
      <c r="N84" s="92">
        <v>144</v>
      </c>
      <c r="O84" s="92">
        <v>136</v>
      </c>
      <c r="P84" s="92">
        <v>129</v>
      </c>
      <c r="Q84" s="92">
        <v>122</v>
      </c>
      <c r="R84" s="92">
        <v>115</v>
      </c>
    </row>
    <row r="86" spans="2:18" x14ac:dyDescent="0.25">
      <c r="B86" s="11" t="s">
        <v>424</v>
      </c>
      <c r="C86" s="65">
        <f>+'BGPR2008-2023'!E20</f>
        <v>3576.2570000000001</v>
      </c>
      <c r="D86" s="65">
        <f>+'BGPR2008-2023'!F20</f>
        <v>3883.8910000000001</v>
      </c>
      <c r="E86" s="65">
        <f>+'BGPR2008-2023'!G20</f>
        <v>4790.9359999999997</v>
      </c>
      <c r="F86" s="65">
        <f>+'BGPR2008-2023'!H20</f>
        <v>13089.352000000001</v>
      </c>
      <c r="G86" s="65">
        <f>+'BGPR2008-2023'!I20</f>
        <v>26324.063999999998</v>
      </c>
      <c r="H86" s="65">
        <f>+'BGPR2008-2023'!J20</f>
        <v>24888.494999999999</v>
      </c>
      <c r="I86" s="65">
        <f>+I87/365*'ERPR2008-2023'!K13</f>
        <v>26819.334456712335</v>
      </c>
      <c r="J86" s="65">
        <f>+J87/365*'ERPR2008-2023'!L13</f>
        <v>29501.26790238357</v>
      </c>
      <c r="K86" s="65">
        <f>+K87/365*'ERPR2008-2023'!M13</f>
        <v>32451.394692621929</v>
      </c>
      <c r="L86" s="65">
        <f>+L87/365*'ERPR2008-2023'!N13</f>
        <v>35696.534161884127</v>
      </c>
      <c r="M86" s="65">
        <f>+M87/365*'ERPR2008-2023'!O13</f>
        <v>39266.187578072539</v>
      </c>
      <c r="N86" s="65">
        <f>+N87/365*'ERPR2008-2023'!P13</f>
        <v>43192.806335879803</v>
      </c>
      <c r="O86" s="65">
        <f>+O87/365*'ERPR2008-2023'!Q13</f>
        <v>47512.086969467782</v>
      </c>
      <c r="P86" s="65">
        <f>+P87/365*'ERPR2008-2023'!R13</f>
        <v>52263.295666414568</v>
      </c>
      <c r="Q86" s="65">
        <f>+Q87/365*'ERPR2008-2023'!S13</f>
        <v>57489.625233056031</v>
      </c>
      <c r="R86" s="65">
        <f>+R87/365*'ERPR2008-2023'!T13</f>
        <v>63238.587756361638</v>
      </c>
    </row>
    <row r="87" spans="2:18" x14ac:dyDescent="0.25">
      <c r="B87" t="s">
        <v>425</v>
      </c>
      <c r="C87" s="94">
        <f>+C86/'ERPR2008-2023'!E13*365</f>
        <v>6.8194456600357354</v>
      </c>
      <c r="D87" s="94">
        <f>+D86/'ERPR2008-2023'!F13*365</f>
        <v>6.3649956836641541</v>
      </c>
      <c r="E87" s="94">
        <f>+E86/'ERPR2008-2023'!G13*365</f>
        <v>8.1556693629847974</v>
      </c>
      <c r="F87" s="94">
        <f>+F86/'ERPR2008-2023'!H13*365</f>
        <v>19.921107449999905</v>
      </c>
      <c r="G87" s="94">
        <f>+G86/'ERPR2008-2023'!I13*365</f>
        <v>36.260243018431588</v>
      </c>
      <c r="H87" s="94">
        <f>+H86/'ERPR2008-2023'!J13*365</f>
        <v>29.603381537355503</v>
      </c>
      <c r="I87">
        <v>29</v>
      </c>
      <c r="J87">
        <v>29</v>
      </c>
      <c r="K87">
        <v>29</v>
      </c>
      <c r="L87">
        <v>29</v>
      </c>
      <c r="M87">
        <v>29</v>
      </c>
      <c r="N87">
        <v>29</v>
      </c>
      <c r="O87">
        <v>29</v>
      </c>
      <c r="P87">
        <v>29</v>
      </c>
      <c r="Q87">
        <v>29</v>
      </c>
      <c r="R87">
        <v>29</v>
      </c>
    </row>
    <row r="88" spans="2:18" ht="15.75" thickBot="1" x14ac:dyDescent="0.3">
      <c r="B88" s="63" t="s">
        <v>426</v>
      </c>
      <c r="C88" s="75"/>
      <c r="D88" s="75"/>
      <c r="E88" s="75"/>
      <c r="F88" s="75"/>
      <c r="G88" s="75"/>
      <c r="H88" s="75"/>
      <c r="I88" s="76"/>
      <c r="J88" s="76"/>
      <c r="K88" s="76"/>
      <c r="L88" s="76"/>
      <c r="M88" s="76"/>
      <c r="N88" s="76"/>
      <c r="O88" s="76"/>
      <c r="P88" s="76"/>
      <c r="Q88" s="76"/>
      <c r="R88" s="76"/>
    </row>
    <row r="90" spans="2:18" x14ac:dyDescent="0.25">
      <c r="B90" s="11" t="s">
        <v>427</v>
      </c>
      <c r="C90" s="65"/>
      <c r="D90" s="65"/>
      <c r="E90" s="65"/>
      <c r="F90" s="65"/>
      <c r="G90" s="65"/>
      <c r="H90" s="65"/>
      <c r="I90" s="65"/>
      <c r="J90" s="65"/>
      <c r="K90" s="65"/>
      <c r="L90" s="65"/>
      <c r="M90" s="65"/>
      <c r="N90" s="65"/>
      <c r="O90" s="65"/>
      <c r="P90" s="65"/>
      <c r="Q90" s="65"/>
      <c r="R90" s="65"/>
    </row>
    <row r="91" spans="2:18" x14ac:dyDescent="0.25">
      <c r="B91" t="s">
        <v>423</v>
      </c>
    </row>
    <row r="92" spans="2:18" ht="15.75" thickBot="1" x14ac:dyDescent="0.3">
      <c r="B92" s="63" t="s">
        <v>428</v>
      </c>
      <c r="C92" s="75"/>
      <c r="D92" s="75"/>
      <c r="E92" s="75"/>
      <c r="F92" s="75"/>
      <c r="G92" s="75"/>
      <c r="H92" s="75"/>
      <c r="I92" s="76"/>
      <c r="J92" s="76"/>
      <c r="K92" s="76"/>
      <c r="L92" s="76"/>
      <c r="M92" s="76"/>
      <c r="N92" s="76"/>
      <c r="O92" s="76"/>
      <c r="P92" s="76"/>
      <c r="Q92" s="76"/>
      <c r="R92" s="76"/>
    </row>
    <row r="94" spans="2:18" x14ac:dyDescent="0.25">
      <c r="B94" s="11" t="s">
        <v>431</v>
      </c>
      <c r="H94" s="72"/>
      <c r="I94" s="72"/>
      <c r="J94" s="72"/>
      <c r="K94" s="72"/>
    </row>
    <row r="95" spans="2:18" x14ac:dyDescent="0.25">
      <c r="F95" s="78"/>
      <c r="G95" s="78"/>
      <c r="H95" s="78"/>
      <c r="I95" s="78"/>
      <c r="J95" s="210"/>
      <c r="K95" s="210"/>
      <c r="L95" s="210"/>
      <c r="M95" s="210"/>
      <c r="N95" s="210"/>
      <c r="O95" s="210"/>
      <c r="P95" s="210"/>
      <c r="Q95" s="210"/>
      <c r="R95" s="210"/>
    </row>
    <row r="96" spans="2:18" x14ac:dyDescent="0.25">
      <c r="B96" s="11" t="s">
        <v>10</v>
      </c>
      <c r="C96" s="65">
        <f>+'BGPR2008-2023'!E34</f>
        <v>132228.54300000001</v>
      </c>
      <c r="D96" s="65">
        <f>+'BGPR2008-2023'!F34</f>
        <v>178092.23699999999</v>
      </c>
      <c r="E96" s="65">
        <f>+'BGPR2008-2023'!G34</f>
        <v>40502.411999999997</v>
      </c>
      <c r="F96" s="65">
        <f>+'BGPR2008-2023'!H34</f>
        <v>96780.870999999999</v>
      </c>
      <c r="G96" s="65">
        <f>+'BGPR2008-2023'!I34</f>
        <v>292630.31099999999</v>
      </c>
      <c r="H96" s="65">
        <f>+'BGPR2008-2023'!J34</f>
        <v>282060.28399999999</v>
      </c>
      <c r="I96" s="65">
        <f>+I97/365*'ERPR2008-2023'!K13</f>
        <v>282990.21875013702</v>
      </c>
      <c r="J96" s="65">
        <f>+J97/365*'ERPR2008-2023'!L13</f>
        <v>284839.82802301372</v>
      </c>
      <c r="K96" s="65">
        <f>+K97/365*'ERPR2008-2023'!M13</f>
        <v>313323.81082531513</v>
      </c>
      <c r="L96" s="65">
        <f>+L97/365*'ERPR2008-2023'!N13</f>
        <v>344656.19190784666</v>
      </c>
      <c r="M96" s="65">
        <f>+M97/365*'ERPR2008-2023'!O13</f>
        <v>379121.81109863135</v>
      </c>
      <c r="N96" s="65">
        <f>+N97/365*'ERPR2008-2023'!P13</f>
        <v>417033.99220849457</v>
      </c>
      <c r="O96" s="65">
        <f>+O97/365*'ERPR2008-2023'!Q13</f>
        <v>458737.39142934402</v>
      </c>
      <c r="P96" s="65">
        <f>+P97/365*'ERPR2008-2023'!R13</f>
        <v>504611.13057227852</v>
      </c>
      <c r="Q96" s="65">
        <f>+Q97/365*'ERPR2008-2023'!S13</f>
        <v>555072.24362950644</v>
      </c>
      <c r="R96" s="65">
        <f>+R97/365*'ERPR2008-2023'!T13</f>
        <v>610579.4679924571</v>
      </c>
    </row>
    <row r="97" spans="2:18" ht="15.75" thickBot="1" x14ac:dyDescent="0.3">
      <c r="B97" s="63" t="s">
        <v>423</v>
      </c>
      <c r="C97" s="91">
        <f>+C96/'ERPR2008-2023'!E13*365</f>
        <v>252.14221564451285</v>
      </c>
      <c r="D97" s="91">
        <f>+D96/'ERPR2008-2023'!F13*365</f>
        <v>291.86100222665709</v>
      </c>
      <c r="E97" s="91">
        <f>+E96/'ERPR2008-2023'!G13*365</f>
        <v>68.947754817719911</v>
      </c>
      <c r="F97" s="91">
        <f>+F96/'ERPR2008-2023'!H13*365</f>
        <v>147.29393252588667</v>
      </c>
      <c r="G97" s="91">
        <f>+G96/'ERPR2008-2023'!I13*365</f>
        <v>403.08541232156313</v>
      </c>
      <c r="H97" s="91">
        <f>+H96/'ERPR2008-2023'!J13*365-1</f>
        <v>334.49389803549184</v>
      </c>
      <c r="I97" s="91">
        <v>306</v>
      </c>
      <c r="J97" s="91">
        <v>280</v>
      </c>
      <c r="K97" s="91">
        <v>280</v>
      </c>
      <c r="L97" s="91">
        <v>280</v>
      </c>
      <c r="M97" s="91">
        <v>280</v>
      </c>
      <c r="N97" s="91">
        <v>280</v>
      </c>
      <c r="O97" s="91">
        <v>280</v>
      </c>
      <c r="P97" s="91">
        <v>280</v>
      </c>
      <c r="Q97" s="91">
        <v>280</v>
      </c>
      <c r="R97" s="91">
        <v>280</v>
      </c>
    </row>
    <row r="98" spans="2:18" x14ac:dyDescent="0.25">
      <c r="H98" s="78"/>
      <c r="I98" s="209"/>
      <c r="J98" s="209"/>
      <c r="K98" s="209"/>
      <c r="L98" s="78"/>
      <c r="M98" s="78">
        <f t="shared" ref="M98:R98" si="29">+M99/L99-1</f>
        <v>9.9999999999999867E-2</v>
      </c>
      <c r="N98" s="78">
        <f t="shared" si="29"/>
        <v>0.10000000000000009</v>
      </c>
      <c r="O98" s="78">
        <f t="shared" si="29"/>
        <v>0.10000000000000009</v>
      </c>
      <c r="P98" s="78">
        <f t="shared" si="29"/>
        <v>0.10000000000000009</v>
      </c>
      <c r="Q98" s="78">
        <f t="shared" si="29"/>
        <v>0.10000000000000031</v>
      </c>
      <c r="R98" s="78">
        <f t="shared" si="29"/>
        <v>0.10000000000000009</v>
      </c>
    </row>
    <row r="99" spans="2:18" x14ac:dyDescent="0.25">
      <c r="B99" s="11" t="s">
        <v>119</v>
      </c>
      <c r="C99" s="65">
        <f>+'BGPR2008-2023'!E30</f>
        <v>4038.902</v>
      </c>
      <c r="D99" s="65">
        <f>+'BGPR2008-2023'!F30</f>
        <v>3817.8090000000002</v>
      </c>
      <c r="E99" s="65">
        <f>+'BGPR2008-2023'!G30</f>
        <v>34747.006000000001</v>
      </c>
      <c r="F99" s="65">
        <f>+'BGPR2008-2023'!H30</f>
        <v>30126.844000000001</v>
      </c>
      <c r="G99" s="65">
        <f>+'BGPR2008-2023'!I30</f>
        <v>105658.2</v>
      </c>
      <c r="H99" s="65">
        <f>+'BGPR2008-2023'!J30</f>
        <v>143641.973</v>
      </c>
      <c r="I99" s="65">
        <f>+I100/365*'ERPR2008-2023'!K13</f>
        <v>143344.71864794521</v>
      </c>
      <c r="J99" s="65">
        <f>+J100/365*'ERPR2008-2023'!L13</f>
        <v>147506.33951191782</v>
      </c>
      <c r="K99" s="65">
        <f>+K100/365*'ERPR2008-2023'!M13</f>
        <v>162256.97346310961</v>
      </c>
      <c r="L99" s="65">
        <f>+L100/365*'ERPR2008-2023'!N13</f>
        <v>178482.67080942061</v>
      </c>
      <c r="M99" s="65">
        <f>+M100/365*'ERPR2008-2023'!O13</f>
        <v>196330.93789036266</v>
      </c>
      <c r="N99" s="65">
        <f>+N100/365*'ERPR2008-2023'!P13</f>
        <v>215964.03167939896</v>
      </c>
      <c r="O99" s="65">
        <f>+O100/365*'ERPR2008-2023'!Q13</f>
        <v>237560.43484733888</v>
      </c>
      <c r="P99" s="65">
        <f>+P100/365*'ERPR2008-2023'!R13</f>
        <v>261316.47833207279</v>
      </c>
      <c r="Q99" s="65">
        <f>+Q100/365*'ERPR2008-2023'!S13</f>
        <v>287448.12616528012</v>
      </c>
      <c r="R99" s="65">
        <f>+R100/365*'ERPR2008-2023'!T13</f>
        <v>316192.93878180813</v>
      </c>
    </row>
    <row r="100" spans="2:18" ht="15.75" thickBot="1" x14ac:dyDescent="0.3">
      <c r="B100" s="63" t="s">
        <v>423</v>
      </c>
      <c r="C100" s="91">
        <f>+C99/'ERPR2008-2023'!E13*365</f>
        <v>7.7016480401743079</v>
      </c>
      <c r="D100" s="91">
        <f>+D99/'ERPR2008-2023'!F13*365</f>
        <v>6.2566992240652901</v>
      </c>
      <c r="E100" s="91">
        <f>+E99/'ERPR2008-2023'!G13*365</f>
        <v>59.150256294312619</v>
      </c>
      <c r="F100" s="91">
        <f>+F99/'ERPR2008-2023'!H13*365</f>
        <v>45.851016647224782</v>
      </c>
      <c r="G100" s="91">
        <f>+G99/'ERPR2008-2023'!I13*365</f>
        <v>145.53953405105113</v>
      </c>
      <c r="H100" s="91">
        <f>+H99/'ERPR2008-2023'!J13*365</f>
        <v>170.85356633647464</v>
      </c>
      <c r="I100" s="92">
        <v>155</v>
      </c>
      <c r="J100" s="92">
        <v>145</v>
      </c>
      <c r="K100" s="92">
        <v>145</v>
      </c>
      <c r="L100" s="92">
        <v>145</v>
      </c>
      <c r="M100" s="92">
        <v>145</v>
      </c>
      <c r="N100" s="92">
        <v>145</v>
      </c>
      <c r="O100" s="92">
        <v>145</v>
      </c>
      <c r="P100" s="92">
        <v>145</v>
      </c>
      <c r="Q100" s="92">
        <v>145</v>
      </c>
      <c r="R100" s="92">
        <v>145</v>
      </c>
    </row>
    <row r="101" spans="2:18" x14ac:dyDescent="0.25">
      <c r="B101" s="66"/>
      <c r="C101" s="93"/>
      <c r="D101" s="93"/>
      <c r="E101" s="93"/>
      <c r="F101" s="93"/>
      <c r="G101" s="93"/>
      <c r="H101" s="93"/>
      <c r="I101" s="95"/>
      <c r="J101" s="95"/>
      <c r="K101" s="95"/>
      <c r="L101" s="95"/>
      <c r="M101" s="95"/>
      <c r="N101" s="95"/>
      <c r="O101" s="95"/>
      <c r="P101" s="95"/>
      <c r="Q101" s="95"/>
      <c r="R101" s="95"/>
    </row>
    <row r="102" spans="2:18" x14ac:dyDescent="0.25">
      <c r="B102" s="11" t="s">
        <v>437</v>
      </c>
      <c r="C102" s="65">
        <f>+'BGPR2008-2023'!E31</f>
        <v>8735.9259999999995</v>
      </c>
      <c r="D102" s="65">
        <f>+'BGPR2008-2023'!F31</f>
        <v>23342.565999999999</v>
      </c>
      <c r="E102" s="65">
        <f>+'BGPR2008-2023'!G31</f>
        <v>35035.629999999997</v>
      </c>
      <c r="F102" s="65">
        <f>+'BGPR2008-2023'!H31</f>
        <v>54655.214999999997</v>
      </c>
      <c r="G102" s="65">
        <f>+'BGPR2008-2023'!I31</f>
        <v>45805.290999999997</v>
      </c>
      <c r="H102" s="65">
        <f>+'BGPR2008-2023'!J31</f>
        <v>41902.521999999997</v>
      </c>
      <c r="I102" s="65">
        <f>+(H102*I103)+H102</f>
        <v>45254.723759999993</v>
      </c>
      <c r="J102" s="65">
        <f t="shared" ref="J102:R102" si="30">+(I102*J103)+I102</f>
        <v>48875.101660799992</v>
      </c>
      <c r="K102" s="65">
        <f t="shared" si="30"/>
        <v>52785.109793663993</v>
      </c>
      <c r="L102" s="65">
        <f t="shared" si="30"/>
        <v>57007.918577157114</v>
      </c>
      <c r="M102" s="65">
        <f t="shared" si="30"/>
        <v>61568.552063329684</v>
      </c>
      <c r="N102" s="65">
        <f t="shared" si="30"/>
        <v>66494.036228396057</v>
      </c>
      <c r="O102" s="65">
        <f t="shared" si="30"/>
        <v>71813.559126667737</v>
      </c>
      <c r="P102" s="65">
        <f t="shared" si="30"/>
        <v>77558.643856801151</v>
      </c>
      <c r="Q102" s="65">
        <f t="shared" si="30"/>
        <v>83763.335365345236</v>
      </c>
      <c r="R102" s="65">
        <f t="shared" si="30"/>
        <v>90464.40219457286</v>
      </c>
    </row>
    <row r="103" spans="2:18" ht="15.75" thickBot="1" x14ac:dyDescent="0.3">
      <c r="B103" s="63" t="s">
        <v>438</v>
      </c>
      <c r="C103" s="91"/>
      <c r="D103" s="75">
        <f>+D102/C102-1</f>
        <v>1.6720196576756718</v>
      </c>
      <c r="E103" s="75">
        <f t="shared" ref="E103:H103" si="31">+E102/D102-1</f>
        <v>0.50093310221335563</v>
      </c>
      <c r="F103" s="75">
        <f t="shared" si="31"/>
        <v>0.55998950211541798</v>
      </c>
      <c r="G103" s="75">
        <f t="shared" si="31"/>
        <v>-0.16192277351758655</v>
      </c>
      <c r="H103" s="75">
        <f t="shared" si="31"/>
        <v>-8.5203453897935044E-2</v>
      </c>
      <c r="I103" s="75">
        <v>0.08</v>
      </c>
      <c r="J103" s="75">
        <v>0.08</v>
      </c>
      <c r="K103" s="75">
        <v>0.08</v>
      </c>
      <c r="L103" s="75">
        <v>0.08</v>
      </c>
      <c r="M103" s="75">
        <v>0.08</v>
      </c>
      <c r="N103" s="75">
        <v>0.08</v>
      </c>
      <c r="O103" s="75">
        <v>0.08</v>
      </c>
      <c r="P103" s="75">
        <v>0.08</v>
      </c>
      <c r="Q103" s="75">
        <v>0.08</v>
      </c>
      <c r="R103" s="75">
        <v>0.08</v>
      </c>
    </row>
    <row r="104" spans="2:18" x14ac:dyDescent="0.25">
      <c r="B104" s="66"/>
      <c r="C104" s="93"/>
      <c r="D104" s="93"/>
      <c r="E104" s="93"/>
      <c r="F104" s="93"/>
      <c r="G104" s="93"/>
      <c r="H104" s="93"/>
      <c r="I104" s="95"/>
      <c r="J104" s="95"/>
      <c r="K104" s="95"/>
      <c r="L104" s="95"/>
      <c r="M104" s="95"/>
      <c r="N104" s="95"/>
      <c r="O104" s="95"/>
      <c r="P104" s="95"/>
      <c r="Q104" s="95"/>
      <c r="R104" s="95"/>
    </row>
    <row r="105" spans="2:18" x14ac:dyDescent="0.25">
      <c r="B105" s="11" t="s">
        <v>432</v>
      </c>
      <c r="C105" s="65">
        <f>+'BGPR2008-2023'!E32</f>
        <v>77848.429000000004</v>
      </c>
      <c r="D105" s="65">
        <f>+'BGPR2008-2023'!F32</f>
        <v>77533.066999999995</v>
      </c>
      <c r="E105" s="65">
        <f>+'BGPR2008-2023'!G32</f>
        <v>88694.164000000004</v>
      </c>
      <c r="F105" s="65">
        <f>+'BGPR2008-2023'!H32</f>
        <v>57471.796000000002</v>
      </c>
      <c r="G105" s="65">
        <f>+'BGPR2008-2023'!I32</f>
        <v>43030.550999999999</v>
      </c>
      <c r="H105" s="65">
        <f>+'BGPR2008-2023'!J32</f>
        <v>36645.315000000002</v>
      </c>
      <c r="I105" s="65">
        <f>(+H105+$I$107)</f>
        <v>42852.315000000002</v>
      </c>
      <c r="J105" s="65">
        <f t="shared" ref="J105:R105" si="32">(+I105+$I$107)</f>
        <v>49059.315000000002</v>
      </c>
      <c r="K105" s="65">
        <f t="shared" si="32"/>
        <v>55266.315000000002</v>
      </c>
      <c r="L105" s="65">
        <f t="shared" si="32"/>
        <v>61473.315000000002</v>
      </c>
      <c r="M105" s="65">
        <f t="shared" si="32"/>
        <v>67680.315000000002</v>
      </c>
      <c r="N105" s="65">
        <f t="shared" si="32"/>
        <v>73887.315000000002</v>
      </c>
      <c r="O105" s="65">
        <f t="shared" si="32"/>
        <v>80094.315000000002</v>
      </c>
      <c r="P105" s="65">
        <f t="shared" si="32"/>
        <v>86301.315000000002</v>
      </c>
      <c r="Q105" s="65">
        <f t="shared" si="32"/>
        <v>92508.315000000002</v>
      </c>
      <c r="R105" s="65">
        <f t="shared" si="32"/>
        <v>98715.315000000002</v>
      </c>
    </row>
    <row r="106" spans="2:18" ht="15.75" thickBot="1" x14ac:dyDescent="0.3">
      <c r="C106" s="238"/>
      <c r="D106" s="75">
        <f t="shared" ref="D106:H106" si="33">+D105/C105-1</f>
        <v>-4.0509744904423384E-3</v>
      </c>
      <c r="E106" s="75">
        <f t="shared" si="33"/>
        <v>0.14395273438622014</v>
      </c>
      <c r="F106" s="75">
        <f t="shared" si="33"/>
        <v>-0.35202280050804702</v>
      </c>
      <c r="G106" s="75">
        <f t="shared" si="33"/>
        <v>-0.25127533860260787</v>
      </c>
      <c r="H106" s="75">
        <f t="shared" si="33"/>
        <v>-0.14838843220947828</v>
      </c>
      <c r="I106" s="75">
        <f>+I105/H105-1</f>
        <v>0.16938045149837033</v>
      </c>
      <c r="J106" s="75">
        <f>+J105/I105-1</f>
        <v>0.14484631693760308</v>
      </c>
      <c r="K106" s="75">
        <f>+K105/J105-1</f>
        <v>0.12652031525511509</v>
      </c>
      <c r="L106" s="75">
        <v>0.13</v>
      </c>
      <c r="M106" s="75">
        <v>0.13</v>
      </c>
      <c r="N106" s="75">
        <v>0.13</v>
      </c>
      <c r="O106" s="75">
        <v>0.13</v>
      </c>
      <c r="P106" s="75">
        <v>0.13</v>
      </c>
      <c r="Q106" s="75">
        <v>0.13</v>
      </c>
      <c r="R106" s="75">
        <v>0.13</v>
      </c>
    </row>
    <row r="107" spans="2:18" x14ac:dyDescent="0.25">
      <c r="B107" t="s">
        <v>432</v>
      </c>
      <c r="H107" s="214">
        <f>SUM(H108:H110)</f>
        <v>62070</v>
      </c>
      <c r="I107" s="22">
        <f>+H107/10</f>
        <v>6207</v>
      </c>
    </row>
    <row r="108" spans="2:18" x14ac:dyDescent="0.25">
      <c r="B108" t="s">
        <v>433</v>
      </c>
      <c r="H108" s="215">
        <v>18000</v>
      </c>
    </row>
    <row r="109" spans="2:18" x14ac:dyDescent="0.25">
      <c r="B109" t="s">
        <v>434</v>
      </c>
      <c r="H109" s="215">
        <v>7500</v>
      </c>
    </row>
    <row r="110" spans="2:18" ht="15.75" thickBot="1" x14ac:dyDescent="0.3">
      <c r="B110" s="63" t="s">
        <v>45</v>
      </c>
      <c r="C110" s="91"/>
      <c r="D110" s="91"/>
      <c r="E110" s="91"/>
      <c r="F110" s="91"/>
      <c r="G110" s="91"/>
      <c r="H110" s="216">
        <v>36570</v>
      </c>
      <c r="I110" s="92"/>
      <c r="J110" s="92"/>
      <c r="K110" s="92"/>
      <c r="L110" s="92"/>
      <c r="M110" s="92"/>
      <c r="N110" s="92"/>
      <c r="O110" s="92"/>
      <c r="P110" s="92"/>
      <c r="Q110" s="92"/>
      <c r="R110" s="92"/>
    </row>
    <row r="112" spans="2:18" x14ac:dyDescent="0.25">
      <c r="B112" s="11" t="s">
        <v>435</v>
      </c>
      <c r="C112" s="65">
        <f>+'BGPR2008-2023'!E34</f>
        <v>132228.54300000001</v>
      </c>
      <c r="D112" s="65">
        <f>+'BGPR2008-2023'!F34</f>
        <v>178092.23699999999</v>
      </c>
      <c r="E112" s="65">
        <f>+'BGPR2008-2023'!G34</f>
        <v>40502.411999999997</v>
      </c>
      <c r="F112" s="65">
        <f>+'BGPR2008-2023'!H34</f>
        <v>96780.870999999999</v>
      </c>
      <c r="G112" s="65">
        <f>+'BGPR2008-2023'!I34</f>
        <v>292630.31099999999</v>
      </c>
      <c r="H112" s="65">
        <f>+'BGPR2008-2023'!J34</f>
        <v>282060.28399999999</v>
      </c>
      <c r="I112" s="65">
        <f>+(H112*I113)+H112</f>
        <v>282060.28399999999</v>
      </c>
      <c r="J112" s="65">
        <f>+(I112*J113)+I112</f>
        <v>283470.58541999996</v>
      </c>
      <c r="K112" s="65">
        <f t="shared" ref="K112:R112" si="34">+(J112*K113)+J112</f>
        <v>289139.99712839996</v>
      </c>
      <c r="L112" s="65">
        <f t="shared" si="34"/>
        <v>294922.79707096796</v>
      </c>
      <c r="M112" s="65">
        <f t="shared" si="34"/>
        <v>300821.25301238731</v>
      </c>
      <c r="N112" s="65">
        <f t="shared" si="34"/>
        <v>306837.67807263508</v>
      </c>
      <c r="O112" s="65">
        <f t="shared" si="34"/>
        <v>312974.43163408781</v>
      </c>
      <c r="P112" s="65">
        <f t="shared" si="34"/>
        <v>319233.92026676959</v>
      </c>
      <c r="Q112" s="65">
        <f t="shared" si="34"/>
        <v>325618.598672105</v>
      </c>
      <c r="R112" s="65">
        <f t="shared" si="34"/>
        <v>332130.97064554709</v>
      </c>
    </row>
    <row r="113" spans="2:18" ht="15.75" thickBot="1" x14ac:dyDescent="0.3">
      <c r="B113" s="63" t="s">
        <v>436</v>
      </c>
      <c r="C113" s="91"/>
      <c r="D113" s="75">
        <f>+D112/C112-1</f>
        <v>0.34685169298129526</v>
      </c>
      <c r="E113" s="75">
        <f t="shared" ref="E113:H113" si="35">+E112/D112-1</f>
        <v>-0.77257620723805043</v>
      </c>
      <c r="F113" s="75">
        <f t="shared" si="35"/>
        <v>1.3895088272767557</v>
      </c>
      <c r="G113" s="75">
        <f t="shared" si="35"/>
        <v>2.0236379149759873</v>
      </c>
      <c r="H113" s="75">
        <f t="shared" si="35"/>
        <v>-3.6120752371411102E-2</v>
      </c>
      <c r="I113" s="75"/>
      <c r="J113" s="75">
        <v>5.0000000000000001E-3</v>
      </c>
      <c r="K113" s="75">
        <v>0.02</v>
      </c>
      <c r="L113" s="75">
        <v>0.02</v>
      </c>
      <c r="M113" s="75">
        <v>0.02</v>
      </c>
      <c r="N113" s="75">
        <v>0.02</v>
      </c>
      <c r="O113" s="75">
        <v>0.02</v>
      </c>
      <c r="P113" s="75">
        <v>0.02</v>
      </c>
      <c r="Q113" s="75">
        <v>0.02</v>
      </c>
      <c r="R113" s="75">
        <v>0.02</v>
      </c>
    </row>
    <row r="116" spans="2:18" x14ac:dyDescent="0.25">
      <c r="B116" s="11" t="s">
        <v>439</v>
      </c>
    </row>
    <row r="117" spans="2:18" x14ac:dyDescent="0.25">
      <c r="B117" s="11" t="s">
        <v>440</v>
      </c>
    </row>
    <row r="118" spans="2:18" x14ac:dyDescent="0.25">
      <c r="C118" s="72"/>
      <c r="D118" s="72"/>
      <c r="E118" s="72"/>
      <c r="F118" s="72"/>
      <c r="G118" s="72"/>
      <c r="H118" s="72"/>
      <c r="I118" s="72"/>
      <c r="J118" s="72"/>
      <c r="K118" s="72">
        <f t="shared" ref="K118:Q118" si="36">+K119+K122+K139+K142</f>
        <v>219647.5916292</v>
      </c>
      <c r="L118" s="72">
        <f t="shared" si="36"/>
        <v>237219.39895953599</v>
      </c>
      <c r="M118" s="72">
        <f t="shared" si="36"/>
        <v>256196.95087629888</v>
      </c>
      <c r="N118" s="72">
        <f t="shared" si="36"/>
        <v>276692.70694640279</v>
      </c>
      <c r="O118" s="72">
        <f t="shared" si="36"/>
        <v>298828.12350211502</v>
      </c>
      <c r="P118" s="72">
        <f t="shared" si="36"/>
        <v>322734.37338228419</v>
      </c>
      <c r="Q118" s="72">
        <f t="shared" si="36"/>
        <v>348553.12325286691</v>
      </c>
      <c r="R118" s="72">
        <f>+R119+R122+R139+R142</f>
        <v>376437.37311309634</v>
      </c>
    </row>
    <row r="119" spans="2:18" x14ac:dyDescent="0.25">
      <c r="B119" s="11" t="s">
        <v>21</v>
      </c>
      <c r="C119" s="65">
        <f>+'BGPR2008-2023'!E49</f>
        <v>22474.5</v>
      </c>
      <c r="D119" s="65">
        <f>+'BGPR2008-2023'!F49</f>
        <v>29066.067999999999</v>
      </c>
      <c r="E119" s="65">
        <f>+'BGPR2008-2023'!G49</f>
        <v>63005.417000000001</v>
      </c>
      <c r="F119" s="65">
        <f>+'BGPR2008-2023'!H49</f>
        <v>81943.252999999997</v>
      </c>
      <c r="G119" s="65">
        <f>+'BGPR2008-2023'!I49</f>
        <v>23455.621999999999</v>
      </c>
      <c r="H119" s="65">
        <f>+'BGPR2008-2023'!J49</f>
        <v>11080</v>
      </c>
      <c r="I119" s="173">
        <f>+(H119*I120)+H119+(8000+5872.4)</f>
        <v>28830.400000000001</v>
      </c>
      <c r="J119" s="65">
        <f>+(I119*J120)+I119+3080</f>
        <v>42001.04</v>
      </c>
      <c r="K119" s="65">
        <f>+(J119*K120)+J119</f>
        <v>45361.123200000002</v>
      </c>
      <c r="L119" s="65">
        <f>+(K119*L120)+K119</f>
        <v>48990.013056000003</v>
      </c>
      <c r="M119" s="65">
        <f>+(L119*M120)+L119</f>
        <v>52909.214100480007</v>
      </c>
      <c r="N119" s="65">
        <f>+(M119*N120)+M119</f>
        <v>57141.95122851841</v>
      </c>
      <c r="O119" s="65">
        <f>+(N119*O120)+N119</f>
        <v>61713.307326799884</v>
      </c>
      <c r="P119" s="65">
        <f t="shared" ref="P119:R119" si="37">+(O119*P120)+O119</f>
        <v>66650.371912943869</v>
      </c>
      <c r="Q119" s="65">
        <f t="shared" si="37"/>
        <v>71982.401665979385</v>
      </c>
      <c r="R119" s="65">
        <f t="shared" si="37"/>
        <v>77740.993799257732</v>
      </c>
    </row>
    <row r="120" spans="2:18" ht="15.75" thickBot="1" x14ac:dyDescent="0.3">
      <c r="B120" s="11"/>
      <c r="C120" s="75"/>
      <c r="D120" s="75">
        <f t="shared" ref="D120:G120" si="38">+D119/C119-1</f>
        <v>0.29329097421522166</v>
      </c>
      <c r="E120" s="75">
        <f t="shared" si="38"/>
        <v>1.1676622032261124</v>
      </c>
      <c r="F120" s="75">
        <f t="shared" si="38"/>
        <v>0.30057472677309627</v>
      </c>
      <c r="G120" s="75">
        <f t="shared" si="38"/>
        <v>-0.71375773915150775</v>
      </c>
      <c r="H120" s="75">
        <f>+H119/G119-1</f>
        <v>-0.52761858116574356</v>
      </c>
      <c r="I120" s="75">
        <v>0.35</v>
      </c>
      <c r="J120" s="75">
        <v>0.35</v>
      </c>
      <c r="K120" s="75">
        <v>0.08</v>
      </c>
      <c r="L120" s="75">
        <v>0.08</v>
      </c>
      <c r="M120" s="75">
        <v>0.08</v>
      </c>
      <c r="N120" s="75">
        <v>0.08</v>
      </c>
      <c r="O120" s="75">
        <v>0.08</v>
      </c>
      <c r="P120" s="75">
        <v>0.08</v>
      </c>
      <c r="Q120" s="75">
        <v>0.08</v>
      </c>
      <c r="R120" s="75">
        <v>0.08</v>
      </c>
    </row>
    <row r="121" spans="2:18" x14ac:dyDescent="0.25">
      <c r="H121" s="72"/>
      <c r="K121" s="72"/>
    </row>
    <row r="122" spans="2:18" x14ac:dyDescent="0.25">
      <c r="B122" s="11" t="s">
        <v>22</v>
      </c>
      <c r="C122" s="65">
        <f>+'BGPR2008-2023'!E50</f>
        <v>9540.7090000000007</v>
      </c>
      <c r="D122" s="65">
        <f>+'BGPR2008-2023'!F50</f>
        <v>8402.7180000000008</v>
      </c>
      <c r="E122" s="65">
        <f>+'BGPR2008-2023'!G50</f>
        <v>19673.646000000001</v>
      </c>
      <c r="F122" s="65">
        <f>+'BGPR2008-2023'!H50</f>
        <v>17024.421999999999</v>
      </c>
      <c r="G122" s="65">
        <f>+'BGPR2008-2023'!I50</f>
        <v>15109.566000000001</v>
      </c>
      <c r="H122" s="65">
        <f>+'BGPR2008-2023'!J50</f>
        <v>11904.644</v>
      </c>
      <c r="I122" s="65">
        <f>+(H122*I123)+H122+(11904.644+2499.975)</f>
        <v>30475.888400000003</v>
      </c>
      <c r="J122" s="65">
        <f>+(I122*J123)+I122</f>
        <v>41142.449340000006</v>
      </c>
      <c r="K122" s="65">
        <f>+(J122*K123)+J122</f>
        <v>44433.845287200005</v>
      </c>
      <c r="L122" s="65">
        <f t="shared" ref="L122:R122" si="39">+(K122*L123)+K122</f>
        <v>47988.552910176004</v>
      </c>
      <c r="M122" s="65">
        <f t="shared" si="39"/>
        <v>51827.637142990083</v>
      </c>
      <c r="N122" s="65">
        <f t="shared" si="39"/>
        <v>55973.848114429289</v>
      </c>
      <c r="O122" s="65">
        <f t="shared" si="39"/>
        <v>60451.75596358363</v>
      </c>
      <c r="P122" s="65">
        <f t="shared" si="39"/>
        <v>65287.896440670316</v>
      </c>
      <c r="Q122" s="65">
        <f t="shared" si="39"/>
        <v>70510.928155923946</v>
      </c>
      <c r="R122" s="65">
        <f t="shared" si="39"/>
        <v>76151.802408397867</v>
      </c>
    </row>
    <row r="123" spans="2:18" ht="15.75" thickBot="1" x14ac:dyDescent="0.3">
      <c r="B123" s="11"/>
      <c r="C123" s="75"/>
      <c r="D123" s="75">
        <f>+D122/C122-1</f>
        <v>-0.11927740380720131</v>
      </c>
      <c r="E123" s="75">
        <f t="shared" ref="E123" si="40">+E122/D122-1</f>
        <v>1.341343122546776</v>
      </c>
      <c r="F123" s="75">
        <f t="shared" ref="F123" si="41">+F122/E122-1</f>
        <v>-0.13465851728754308</v>
      </c>
      <c r="G123" s="75">
        <f t="shared" ref="G123" si="42">+G122/F122-1</f>
        <v>-0.11247700509303626</v>
      </c>
      <c r="H123" s="75">
        <f>+H122/G122-1</f>
        <v>-0.21211211493434035</v>
      </c>
      <c r="I123" s="75">
        <v>0.35</v>
      </c>
      <c r="J123" s="75">
        <v>0.35</v>
      </c>
      <c r="K123" s="75">
        <v>0.08</v>
      </c>
      <c r="L123" s="75">
        <v>0.08</v>
      </c>
      <c r="M123" s="75">
        <v>0.08</v>
      </c>
      <c r="N123" s="75">
        <v>0.08</v>
      </c>
      <c r="O123" s="75">
        <v>0.08</v>
      </c>
      <c r="P123" s="75">
        <v>0.08</v>
      </c>
      <c r="Q123" s="75">
        <v>0.08</v>
      </c>
      <c r="R123" s="75">
        <v>0.08</v>
      </c>
    </row>
    <row r="125" spans="2:18" x14ac:dyDescent="0.25">
      <c r="B125" s="11" t="s">
        <v>93</v>
      </c>
      <c r="C125" s="65">
        <f>+'BGPR2008-2023'!E51</f>
        <v>3292.84</v>
      </c>
      <c r="D125" s="65">
        <f>+'BGPR2008-2023'!F51</f>
        <v>1643.163</v>
      </c>
      <c r="E125" s="65">
        <f>+'BGPR2008-2023'!G51</f>
        <v>4578.1959999999999</v>
      </c>
      <c r="F125" s="65">
        <f>+'BGPR2008-2023'!H51</f>
        <v>4525.5810000000001</v>
      </c>
      <c r="G125" s="65">
        <f>+'BGPR2008-2023'!I51</f>
        <v>2541.77</v>
      </c>
      <c r="H125" s="65">
        <f>+'BGPR2008-2023'!J51</f>
        <v>5025.8140000000003</v>
      </c>
      <c r="I125" s="65">
        <f>+I126/365*'ERPR2008-2023'!K13</f>
        <v>12022.460273698633</v>
      </c>
      <c r="J125" s="65">
        <f>+J126/365*'ERPR2008-2023'!L13</f>
        <v>13224.706301068496</v>
      </c>
      <c r="K125" s="65">
        <f>+K126/365*'ERPR2008-2023'!M13</f>
        <v>14547.176931175345</v>
      </c>
      <c r="L125" s="65">
        <f>+L126/365*'ERPR2008-2023'!N13</f>
        <v>16001.894624292881</v>
      </c>
      <c r="M125" s="65">
        <f>+M126/365*'ERPR2008-2023'!O13</f>
        <v>17602.08408672217</v>
      </c>
      <c r="N125" s="65">
        <f>+N126/365*'ERPR2008-2023'!P13</f>
        <v>19362.292495394391</v>
      </c>
      <c r="O125" s="65">
        <f>+O126/365*'ERPR2008-2023'!Q13</f>
        <v>21298.521744933831</v>
      </c>
      <c r="P125" s="65">
        <f>+P126/365*'ERPR2008-2023'!R13</f>
        <v>23428.373919427217</v>
      </c>
      <c r="Q125" s="65">
        <f>+Q126/365*'ERPR2008-2023'!S13</f>
        <v>25771.211311369942</v>
      </c>
      <c r="R125" s="65">
        <f>+R126/365*'ERPR2008-2023'!T13</f>
        <v>28348.33244250694</v>
      </c>
    </row>
    <row r="126" spans="2:18" ht="15.75" thickBot="1" x14ac:dyDescent="0.3">
      <c r="B126" s="63" t="s">
        <v>423</v>
      </c>
      <c r="C126" s="91">
        <f>+C125/'ERPR2008-2023'!E13*365</f>
        <v>6.2790071986415033</v>
      </c>
      <c r="D126" s="91">
        <f>+D125/'ERPR2008-2023'!F13*365</f>
        <v>2.6928473025006734</v>
      </c>
      <c r="E126" s="91">
        <f>+E125/'ERPR2008-2023'!G13*365</f>
        <v>7.7935194406561772</v>
      </c>
      <c r="F126" s="91">
        <f>+F125/'ERPR2008-2023'!H13*365</f>
        <v>6.887627850078295</v>
      </c>
      <c r="G126" s="91">
        <f>+G125/'ERPR2008-2023'!I13*365</f>
        <v>3.5011766381117626</v>
      </c>
      <c r="H126" s="91">
        <f>+H125/'ERPR2008-2023'!J13*365</f>
        <v>5.9779062324894614</v>
      </c>
      <c r="I126" s="92">
        <v>13</v>
      </c>
      <c r="J126" s="92">
        <v>13</v>
      </c>
      <c r="K126" s="92">
        <v>13</v>
      </c>
      <c r="L126" s="92">
        <v>13</v>
      </c>
      <c r="M126" s="92">
        <v>13</v>
      </c>
      <c r="N126" s="92">
        <v>13</v>
      </c>
      <c r="O126" s="92">
        <v>13</v>
      </c>
      <c r="P126" s="92">
        <v>13</v>
      </c>
      <c r="Q126" s="92">
        <v>13</v>
      </c>
      <c r="R126" s="92">
        <v>13</v>
      </c>
    </row>
    <row r="127" spans="2:18" x14ac:dyDescent="0.25">
      <c r="J127" s="72"/>
      <c r="K127" s="72"/>
      <c r="L127" s="72"/>
      <c r="M127" s="72"/>
      <c r="N127" s="72"/>
      <c r="O127" s="72"/>
      <c r="P127" s="72"/>
      <c r="Q127" s="72"/>
      <c r="R127" s="72"/>
    </row>
    <row r="128" spans="2:18" x14ac:dyDescent="0.25">
      <c r="B128" s="11" t="s">
        <v>94</v>
      </c>
      <c r="C128" s="65">
        <f>+'BGPR2008-2023'!E52</f>
        <v>8088.0770000000002</v>
      </c>
      <c r="D128" s="65">
        <f>+'BGPR2008-2023'!F52</f>
        <v>5367.6670000000004</v>
      </c>
      <c r="E128" s="65">
        <f>+'BGPR2008-2023'!G52</f>
        <v>5790.3339999999998</v>
      </c>
      <c r="F128" s="65">
        <f>+'BGPR2008-2023'!H52</f>
        <v>62953.584999999999</v>
      </c>
      <c r="G128" s="65">
        <f>+'BGPR2008-2023'!I52</f>
        <v>55371.131999999998</v>
      </c>
      <c r="H128" s="65">
        <f>+'BGPR2008-2023'!J52</f>
        <v>50949.726000000002</v>
      </c>
      <c r="I128" s="65">
        <f>+I129/365*'ERPR2008-2023'!K13</f>
        <v>55488.278186301373</v>
      </c>
      <c r="J128" s="65">
        <f>+J129/365*'ERPR2008-2023'!L13</f>
        <v>61037.106004931513</v>
      </c>
      <c r="K128" s="65">
        <f>+K129/365*'ERPR2008-2023'!M13</f>
        <v>67140.816605424669</v>
      </c>
      <c r="L128" s="65">
        <f>+L129/365*'ERPR2008-2023'!N13</f>
        <v>73854.898265967146</v>
      </c>
      <c r="M128" s="65">
        <f>+M129/365*'ERPR2008-2023'!O13</f>
        <v>81240.388092563866</v>
      </c>
      <c r="N128" s="65">
        <f>+N129/365*'ERPR2008-2023'!P13</f>
        <v>89364.426901820261</v>
      </c>
      <c r="O128" s="65">
        <f>+O129/365*'ERPR2008-2023'!Q13</f>
        <v>98300.869592002287</v>
      </c>
      <c r="P128" s="65">
        <f>+P129/365*'ERPR2008-2023'!R13</f>
        <v>108130.95655120253</v>
      </c>
      <c r="Q128" s="65">
        <f>+Q129/365*'ERPR2008-2023'!S13</f>
        <v>118944.05220632281</v>
      </c>
      <c r="R128" s="65">
        <f>+R129/365*'ERPR2008-2023'!T13</f>
        <v>130838.45742695509</v>
      </c>
    </row>
    <row r="129" spans="2:18" ht="15.75" thickBot="1" x14ac:dyDescent="0.3">
      <c r="B129" s="63" t="s">
        <v>423</v>
      </c>
      <c r="C129" s="91">
        <f>+C128/'ERPR2008-2023'!E13*365</f>
        <v>15.422885322750812</v>
      </c>
      <c r="D129" s="91">
        <f>+D128/'ERPR2008-2023'!F13*365</f>
        <v>8.796636488085408</v>
      </c>
      <c r="E129" s="91">
        <f>+E128/'ERPR2008-2023'!G13*365</f>
        <v>9.8569568880171232</v>
      </c>
      <c r="F129" s="91">
        <f>+F128/'ERPR2008-2023'!H13*365</f>
        <v>95.811093715540864</v>
      </c>
      <c r="G129" s="91">
        <f>+G128/'ERPR2008-2023'!I13*365</f>
        <v>76.27130455714034</v>
      </c>
      <c r="H129" s="91">
        <v>76</v>
      </c>
      <c r="I129" s="92">
        <v>60</v>
      </c>
      <c r="J129" s="92">
        <v>60</v>
      </c>
      <c r="K129" s="92">
        <v>60</v>
      </c>
      <c r="L129" s="92">
        <v>60</v>
      </c>
      <c r="M129" s="92">
        <v>60</v>
      </c>
      <c r="N129" s="92">
        <v>60</v>
      </c>
      <c r="O129" s="92">
        <v>60</v>
      </c>
      <c r="P129" s="92">
        <v>60</v>
      </c>
      <c r="Q129" s="92">
        <v>60</v>
      </c>
      <c r="R129" s="92">
        <v>60</v>
      </c>
    </row>
    <row r="130" spans="2:18" x14ac:dyDescent="0.25">
      <c r="M130" s="72">
        <f>+M131-L131</f>
        <v>5279.8128749999996</v>
      </c>
      <c r="N130" s="72">
        <f t="shared" ref="N130:R130" si="43">+N131-M131</f>
        <v>6335.775450000001</v>
      </c>
      <c r="O130" s="72">
        <f t="shared" si="43"/>
        <v>8870.0856299999978</v>
      </c>
      <c r="P130" s="72">
        <f t="shared" si="43"/>
        <v>9313.5899114999993</v>
      </c>
      <c r="Q130" s="72">
        <f t="shared" si="43"/>
        <v>8071.7779232999965</v>
      </c>
      <c r="R130" s="72">
        <f t="shared" si="43"/>
        <v>9686.1335079599958</v>
      </c>
    </row>
    <row r="131" spans="2:18" x14ac:dyDescent="0.25">
      <c r="B131" s="11" t="s">
        <v>27</v>
      </c>
      <c r="C131" s="65">
        <f>+'BGPR2008-2023'!E55</f>
        <v>929.529</v>
      </c>
      <c r="D131" s="65">
        <f>+'BGPR2008-2023'!F55</f>
        <v>766.96199999999999</v>
      </c>
      <c r="E131" s="65">
        <f>+'BGPR2008-2023'!G55</f>
        <v>875.72900000000004</v>
      </c>
      <c r="F131" s="65">
        <f>+'BGPR2008-2023'!H55</f>
        <v>1684.1869999999999</v>
      </c>
      <c r="G131" s="65">
        <f>+'BGPR2008-2023'!I55</f>
        <v>1584.7090000000001</v>
      </c>
      <c r="H131" s="65">
        <f>+'BGPR2008-2023'!J55</f>
        <v>2085.8519999999999</v>
      </c>
      <c r="I131" s="65">
        <f>+(H131*I132)+H131</f>
        <v>3128.7779999999998</v>
      </c>
      <c r="J131" s="65">
        <f t="shared" ref="J131:R131" si="44">+(I131*J132)+I131</f>
        <v>4693.1669999999995</v>
      </c>
      <c r="K131" s="65">
        <f t="shared" si="44"/>
        <v>7039.7504999999992</v>
      </c>
      <c r="L131" s="65">
        <f t="shared" si="44"/>
        <v>10559.625749999999</v>
      </c>
      <c r="M131" s="65">
        <f t="shared" si="44"/>
        <v>15839.438624999999</v>
      </c>
      <c r="N131" s="65">
        <f t="shared" si="44"/>
        <v>22175.214075</v>
      </c>
      <c r="O131" s="65">
        <f t="shared" si="44"/>
        <v>31045.299704999998</v>
      </c>
      <c r="P131" s="65">
        <f t="shared" si="44"/>
        <v>40358.889616499997</v>
      </c>
      <c r="Q131" s="65">
        <f t="shared" si="44"/>
        <v>48430.667539799993</v>
      </c>
      <c r="R131" s="65">
        <f t="shared" si="44"/>
        <v>58116.801047759989</v>
      </c>
    </row>
    <row r="132" spans="2:18" ht="15.75" thickBot="1" x14ac:dyDescent="0.3">
      <c r="B132" s="63" t="s">
        <v>441</v>
      </c>
      <c r="C132" s="91"/>
      <c r="D132" s="75">
        <f>+D131/C131-1</f>
        <v>-0.17489180004066573</v>
      </c>
      <c r="E132" s="75">
        <f t="shared" ref="E132" si="45">+E131/D131-1</f>
        <v>0.14181537025302426</v>
      </c>
      <c r="F132" s="75">
        <f t="shared" ref="F132" si="46">+F131/E131-1</f>
        <v>0.92318285679702261</v>
      </c>
      <c r="G132" s="75">
        <f t="shared" ref="G132" si="47">+G131/F131-1</f>
        <v>-5.9065887576617015E-2</v>
      </c>
      <c r="H132" s="75">
        <f>+H131/G131-1</f>
        <v>0.31623660874015336</v>
      </c>
      <c r="I132" s="75">
        <v>0.5</v>
      </c>
      <c r="J132" s="75">
        <v>0.5</v>
      </c>
      <c r="K132" s="75">
        <v>0.5</v>
      </c>
      <c r="L132" s="75">
        <v>0.5</v>
      </c>
      <c r="M132" s="75">
        <v>0.5</v>
      </c>
      <c r="N132" s="75">
        <v>0.4</v>
      </c>
      <c r="O132" s="75">
        <v>0.4</v>
      </c>
      <c r="P132" s="75">
        <v>0.3</v>
      </c>
      <c r="Q132" s="75">
        <v>0.2</v>
      </c>
      <c r="R132" s="75">
        <v>0.2</v>
      </c>
    </row>
    <row r="133" spans="2:18" x14ac:dyDescent="0.25">
      <c r="K133" s="72"/>
      <c r="L133" s="72"/>
      <c r="M133" s="72"/>
      <c r="N133" s="72"/>
      <c r="O133" s="72"/>
      <c r="P133" s="72"/>
      <c r="Q133" s="72"/>
      <c r="R133" s="72"/>
    </row>
    <row r="134" spans="2:18" x14ac:dyDescent="0.25">
      <c r="B134" s="11" t="s">
        <v>34</v>
      </c>
      <c r="C134" s="65">
        <f>+'BGPR2008-2023'!E56</f>
        <v>1446.519</v>
      </c>
      <c r="D134" s="65">
        <f>+'BGPR2008-2023'!F56</f>
        <v>1150.384</v>
      </c>
      <c r="E134" s="65">
        <f>+'BGPR2008-2023'!G56</f>
        <v>1292.568</v>
      </c>
      <c r="F134" s="65">
        <f>+'BGPR2008-2023'!H56</f>
        <v>9162.518</v>
      </c>
      <c r="G134" s="65">
        <f>+'BGPR2008-2023'!I56</f>
        <v>10304.258</v>
      </c>
      <c r="H134" s="65">
        <f>+'BGPR2008-2023'!J56</f>
        <v>21778.981</v>
      </c>
      <c r="I134" s="65">
        <f>+(H134*I135)+H134</f>
        <v>30490.573400000001</v>
      </c>
      <c r="J134" s="65">
        <f t="shared" ref="J134" si="48">+(I134*J135)+I134</f>
        <v>42686.802760000006</v>
      </c>
      <c r="K134" s="65">
        <f t="shared" ref="K134" si="49">+(J134*K135)+J134</f>
        <v>51224.163312000004</v>
      </c>
      <c r="L134" s="65">
        <f>+(K134*L135)+K134</f>
        <v>61468.995974400008</v>
      </c>
      <c r="M134" s="65">
        <f t="shared" ref="M134" si="50">+(L134*M135)+L134</f>
        <v>73762.795169280012</v>
      </c>
      <c r="N134" s="65">
        <f t="shared" ref="N134" si="51">+(M134*N135)+M134</f>
        <v>88515.354203136012</v>
      </c>
      <c r="O134" s="65">
        <f t="shared" ref="O134" si="52">+(N134*O135)+N134</f>
        <v>106218.42504376321</v>
      </c>
      <c r="P134" s="65">
        <f t="shared" ref="P134" si="53">+(O134*P135)+O134</f>
        <v>127462.11005251585</v>
      </c>
      <c r="Q134" s="65">
        <f t="shared" ref="Q134" si="54">+(P134*Q135)+P134</f>
        <v>152954.53206301903</v>
      </c>
      <c r="R134" s="65">
        <f t="shared" ref="R134" si="55">+(Q134*R135)+Q134</f>
        <v>183545.43847562282</v>
      </c>
    </row>
    <row r="135" spans="2:18" ht="15.75" thickBot="1" x14ac:dyDescent="0.3">
      <c r="B135" s="63" t="s">
        <v>442</v>
      </c>
      <c r="C135" s="91"/>
      <c r="D135" s="75">
        <f>+D134/C134-1</f>
        <v>-0.20472250969396188</v>
      </c>
      <c r="E135" s="75">
        <f t="shared" ref="E135" si="56">+E134/D134-1</f>
        <v>0.12359699022239523</v>
      </c>
      <c r="F135" s="75">
        <f t="shared" ref="F135" si="57">+F134/E134-1</f>
        <v>6.0886158407139899</v>
      </c>
      <c r="G135" s="75">
        <f t="shared" ref="G135" si="58">+G134/F134-1</f>
        <v>0.12460985069824693</v>
      </c>
      <c r="H135" s="75">
        <f>+H134/G134-1</f>
        <v>1.1135904205814722</v>
      </c>
      <c r="I135" s="75">
        <v>0.4</v>
      </c>
      <c r="J135" s="75">
        <v>0.4</v>
      </c>
      <c r="K135" s="75">
        <v>0.2</v>
      </c>
      <c r="L135" s="75">
        <v>0.2</v>
      </c>
      <c r="M135" s="75">
        <v>0.2</v>
      </c>
      <c r="N135" s="75">
        <v>0.2</v>
      </c>
      <c r="O135" s="75">
        <v>0.2</v>
      </c>
      <c r="P135" s="75">
        <v>0.2</v>
      </c>
      <c r="Q135" s="75">
        <v>0.2</v>
      </c>
      <c r="R135" s="75">
        <v>0.2</v>
      </c>
    </row>
    <row r="136" spans="2:18" x14ac:dyDescent="0.25">
      <c r="J136" s="72"/>
      <c r="K136" s="72"/>
      <c r="L136" s="72"/>
      <c r="M136" s="72"/>
      <c r="N136" s="72"/>
      <c r="O136" s="72"/>
      <c r="P136" s="72"/>
      <c r="Q136" s="72"/>
      <c r="R136" s="72"/>
    </row>
    <row r="137" spans="2:18" x14ac:dyDescent="0.25">
      <c r="B137" s="11" t="s">
        <v>443</v>
      </c>
      <c r="I137" s="72"/>
      <c r="J137" s="72"/>
      <c r="K137" s="72"/>
      <c r="L137" s="72"/>
      <c r="M137" s="72"/>
      <c r="N137" s="72"/>
      <c r="O137" s="72"/>
      <c r="P137" s="72"/>
      <c r="Q137" s="72"/>
      <c r="R137" s="72"/>
    </row>
    <row r="138" spans="2:18" x14ac:dyDescent="0.25">
      <c r="J138" s="72"/>
      <c r="K138" s="72"/>
    </row>
    <row r="139" spans="2:18" x14ac:dyDescent="0.25">
      <c r="B139" s="11" t="s">
        <v>21</v>
      </c>
      <c r="C139" s="65">
        <f>+'BGPR2008-2023'!E64</f>
        <v>15290.475</v>
      </c>
      <c r="D139" s="65">
        <f>+'BGPR2008-2023'!F64</f>
        <v>17000</v>
      </c>
      <c r="E139" s="65">
        <f>+'BGPR2008-2023'!G64</f>
        <v>7000</v>
      </c>
      <c r="F139" s="65">
        <f>+'BGPR2008-2023'!H64</f>
        <v>0</v>
      </c>
      <c r="G139" s="65">
        <f>+'BGPR2008-2023'!I64</f>
        <v>21831.15</v>
      </c>
      <c r="H139" s="65">
        <f>+'BGPR2008-2023'!J64</f>
        <v>29450.59</v>
      </c>
      <c r="I139" s="65">
        <f>+(H139*I140)+29450.59+10278.753+10000</f>
        <v>60037.049499999994</v>
      </c>
      <c r="J139" s="65">
        <f>+(I139*J140)+20000+29450.59</f>
        <v>70463.557325000002</v>
      </c>
      <c r="K139" s="65">
        <f>+(J139*K140)+40000+29450.59</f>
        <v>75087.674585999994</v>
      </c>
      <c r="L139" s="65">
        <f>+(K139*L140)+K139</f>
        <v>81094.68855287999</v>
      </c>
      <c r="M139" s="65">
        <f t="shared" ref="M139:R139" si="59">+(L139*M140)+L139</f>
        <v>87582.263637110387</v>
      </c>
      <c r="N139" s="65">
        <f t="shared" si="59"/>
        <v>94588.844728079217</v>
      </c>
      <c r="O139" s="65">
        <f t="shared" si="59"/>
        <v>102155.95230632555</v>
      </c>
      <c r="P139" s="65">
        <f t="shared" si="59"/>
        <v>110328.42849083159</v>
      </c>
      <c r="Q139" s="65">
        <f t="shared" si="59"/>
        <v>119154.70277009811</v>
      </c>
      <c r="R139" s="65">
        <f t="shared" si="59"/>
        <v>128687.07899170596</v>
      </c>
    </row>
    <row r="140" spans="2:18" ht="15.75" thickBot="1" x14ac:dyDescent="0.3">
      <c r="B140" s="11"/>
      <c r="C140" s="75"/>
      <c r="D140" s="75">
        <f>+D139/C139-1</f>
        <v>0.11180326314257738</v>
      </c>
      <c r="E140" s="75">
        <f>+E139/D139-1</f>
        <v>-0.58823529411764708</v>
      </c>
      <c r="F140" s="75">
        <f>+F139/E139-1</f>
        <v>-1</v>
      </c>
      <c r="G140" s="75">
        <v>1</v>
      </c>
      <c r="H140" s="75">
        <f>+H139/G139-1</f>
        <v>0.34901688642146644</v>
      </c>
      <c r="I140" s="75">
        <v>0.35</v>
      </c>
      <c r="J140" s="75">
        <v>0.35</v>
      </c>
      <c r="K140" s="75">
        <v>0.08</v>
      </c>
      <c r="L140" s="75">
        <v>0.08</v>
      </c>
      <c r="M140" s="75">
        <v>0.08</v>
      </c>
      <c r="N140" s="75">
        <v>0.08</v>
      </c>
      <c r="O140" s="75">
        <v>0.08</v>
      </c>
      <c r="P140" s="75">
        <v>0.08</v>
      </c>
      <c r="Q140" s="75">
        <v>0.08</v>
      </c>
      <c r="R140" s="75">
        <v>0.08</v>
      </c>
    </row>
    <row r="141" spans="2:18" x14ac:dyDescent="0.25">
      <c r="J141" s="72"/>
      <c r="K141" s="72"/>
    </row>
    <row r="142" spans="2:18" x14ac:dyDescent="0.25">
      <c r="B142" s="11" t="s">
        <v>22</v>
      </c>
      <c r="C142" s="65">
        <f>+'BGPR2008-2023'!E65</f>
        <v>32463.393</v>
      </c>
      <c r="D142" s="65">
        <f>+'BGPR2008-2023'!F65</f>
        <v>43761.953000000001</v>
      </c>
      <c r="E142" s="65">
        <f>+'BGPR2008-2023'!G65</f>
        <v>46752.567000000003</v>
      </c>
      <c r="F142" s="65">
        <f>+'BGPR2008-2023'!H65</f>
        <v>35916.053999999996</v>
      </c>
      <c r="G142" s="65">
        <f>+'BGPR2008-2023'!I65</f>
        <v>19076.620999999999</v>
      </c>
      <c r="H142" s="65">
        <f>+'BGPR2008-2023'!J65</f>
        <v>8681.42</v>
      </c>
      <c r="I142" s="65">
        <f>+(H142*I143)+8681.42+4730.665+10000</f>
        <v>26450.581999999999</v>
      </c>
      <c r="J142" s="65">
        <f>+(I142*J143)+I142+15000</f>
        <v>50708.285699999993</v>
      </c>
      <c r="K142" s="65">
        <f>+(J142*K143)+J142</f>
        <v>54764.948555999996</v>
      </c>
      <c r="L142" s="65">
        <f>+(K142*L143)+K142</f>
        <v>59146.144440479999</v>
      </c>
      <c r="M142" s="65">
        <f t="shared" ref="M142:N142" si="60">+(L142*M143)+L142</f>
        <v>63877.8359957184</v>
      </c>
      <c r="N142" s="65">
        <f t="shared" si="60"/>
        <v>68988.062875375879</v>
      </c>
      <c r="O142" s="65">
        <f t="shared" ref="O142" si="61">+(N142*O143)+N142</f>
        <v>74507.107905405952</v>
      </c>
      <c r="P142" s="65">
        <f t="shared" ref="P142" si="62">+(O142*P143)+O142</f>
        <v>80467.67653783843</v>
      </c>
      <c r="Q142" s="65">
        <f t="shared" ref="Q142" si="63">+(P142*Q143)+P142</f>
        <v>86905.090660865506</v>
      </c>
      <c r="R142" s="65">
        <f t="shared" ref="R142" si="64">+(Q142*R143)+Q142</f>
        <v>93857.49791373474</v>
      </c>
    </row>
    <row r="143" spans="2:18" ht="15.75" thickBot="1" x14ac:dyDescent="0.3">
      <c r="B143" s="11"/>
      <c r="C143" s="75"/>
      <c r="D143" s="75">
        <f>+D142/C142-1</f>
        <v>0.34804002157137437</v>
      </c>
      <c r="E143" s="75">
        <f t="shared" ref="E143" si="65">+E142/D142-1</f>
        <v>6.8338220645682846E-2</v>
      </c>
      <c r="F143" s="75">
        <f t="shared" ref="F143" si="66">+F142/E142-1</f>
        <v>-0.23178434245118573</v>
      </c>
      <c r="G143" s="75">
        <f t="shared" ref="G143" si="67">+G142/F142-1</f>
        <v>-0.46885532024202881</v>
      </c>
      <c r="H143" s="75">
        <f>+H142/G142-1</f>
        <v>-0.54491835844513559</v>
      </c>
      <c r="I143" s="75">
        <v>0.35</v>
      </c>
      <c r="J143" s="75">
        <v>0.35</v>
      </c>
      <c r="K143" s="75">
        <v>0.08</v>
      </c>
      <c r="L143" s="75">
        <v>0.08</v>
      </c>
      <c r="M143" s="75">
        <v>0.08</v>
      </c>
      <c r="N143" s="75">
        <v>0.08</v>
      </c>
      <c r="O143" s="75">
        <v>0.08</v>
      </c>
      <c r="P143" s="75">
        <v>0.08</v>
      </c>
      <c r="Q143" s="75">
        <v>0.08</v>
      </c>
      <c r="R143" s="75">
        <v>0.08</v>
      </c>
    </row>
    <row r="144" spans="2:18" x14ac:dyDescent="0.25">
      <c r="I144" s="72"/>
    </row>
    <row r="145" spans="2:18" x14ac:dyDescent="0.25">
      <c r="B145" s="11" t="s">
        <v>94</v>
      </c>
      <c r="C145" s="65">
        <f>+'BGPR2008-2023'!E66</f>
        <v>5435.8310000000001</v>
      </c>
      <c r="D145" s="65">
        <f>+'BGPR2008-2023'!F66</f>
        <v>4688.8959999999997</v>
      </c>
      <c r="E145" s="65">
        <f>+'BGPR2008-2023'!G66</f>
        <v>3103.645</v>
      </c>
      <c r="F145" s="65">
        <f>+'BGPR2008-2023'!H66</f>
        <v>9250.9320000000007</v>
      </c>
      <c r="G145" s="65">
        <f>+'BGPR2008-2023'!I66</f>
        <v>13046.641</v>
      </c>
      <c r="H145" s="65">
        <f>+'BGPR2008-2023'!J66</f>
        <v>12958.463</v>
      </c>
      <c r="I145" s="65">
        <f>+I146/365*'ERPR2008-2023'!K13+12958.463</f>
        <v>40702.602093150686</v>
      </c>
      <c r="J145" s="65">
        <f>+J146/365*'ERPR2008-2023'!L13</f>
        <v>45777.829503698638</v>
      </c>
      <c r="K145" s="65">
        <f>+K146/365*'ERPR2008-2023'!M13</f>
        <v>50355.612454068498</v>
      </c>
      <c r="L145" s="65">
        <f>+L146/365*'ERPR2008-2023'!N13</f>
        <v>55391.173699475359</v>
      </c>
      <c r="M145" s="65">
        <f>+M146/365*'ERPR2008-2023'!O13</f>
        <v>60930.291069422899</v>
      </c>
      <c r="N145" s="65">
        <f>+N146/365*'ERPR2008-2023'!P13</f>
        <v>65533.913061334868</v>
      </c>
      <c r="O145" s="65">
        <f>+O146/365*'ERPR2008-2023'!Q13</f>
        <v>72087.304367468358</v>
      </c>
      <c r="P145" s="65">
        <f>+P146/365*'ERPR2008-2023'!R13</f>
        <v>79296.034804215204</v>
      </c>
      <c r="Q145" s="65">
        <f>+Q146/365*'ERPR2008-2023'!S13</f>
        <v>87225.638284636734</v>
      </c>
      <c r="R145" s="65">
        <f>+R146/365*'ERPR2008-2023'!T13</f>
        <v>95948.202113100415</v>
      </c>
    </row>
    <row r="146" spans="2:18" ht="15.75" thickBot="1" x14ac:dyDescent="0.3">
      <c r="B146" s="63" t="s">
        <v>423</v>
      </c>
      <c r="C146" s="91">
        <f>+C145/'ERPR2008-2023'!E13*365</f>
        <v>10.365405540384181</v>
      </c>
      <c r="D146" s="91">
        <f>+D145/'ERPR2008-2023'!F13*365</f>
        <v>7.6842534461317564</v>
      </c>
      <c r="E146" s="91">
        <f>+E145/'ERPR2008-2023'!G13*365</f>
        <v>5.2833731112419269</v>
      </c>
      <c r="F146" s="91">
        <f>+F145/'ERPR2008-2023'!H13*365</f>
        <v>14.079292113516585</v>
      </c>
      <c r="G146" s="91">
        <f>+G145/'ERPR2008-2023'!I13*365</f>
        <v>17.971175470255407</v>
      </c>
      <c r="H146" s="91">
        <f>+H145/'ERPR2008-2023'!J13*365</f>
        <v>15.413319460526013</v>
      </c>
      <c r="I146" s="92">
        <v>30</v>
      </c>
      <c r="J146" s="92">
        <v>45</v>
      </c>
      <c r="K146" s="92">
        <v>45</v>
      </c>
      <c r="L146" s="92">
        <v>45</v>
      </c>
      <c r="M146" s="92">
        <v>45</v>
      </c>
      <c r="N146" s="92">
        <v>44</v>
      </c>
      <c r="O146" s="92">
        <v>44</v>
      </c>
      <c r="P146" s="92">
        <v>44</v>
      </c>
      <c r="Q146" s="92">
        <v>44</v>
      </c>
      <c r="R146" s="92">
        <v>44</v>
      </c>
    </row>
    <row r="147" spans="2:18" x14ac:dyDescent="0.25">
      <c r="I147" s="72"/>
    </row>
    <row r="148" spans="2:18" x14ac:dyDescent="0.25">
      <c r="K148" s="2"/>
      <c r="L148" s="2"/>
    </row>
    <row r="149" spans="2:18" x14ac:dyDescent="0.25">
      <c r="B149" s="11" t="s">
        <v>54</v>
      </c>
    </row>
    <row r="150" spans="2:18" x14ac:dyDescent="0.25">
      <c r="B150" s="11"/>
      <c r="E150" s="210"/>
      <c r="F150" s="210"/>
      <c r="G150" s="210"/>
      <c r="H150" s="210"/>
      <c r="I150" s="210"/>
      <c r="J150" s="210"/>
      <c r="K150" s="210"/>
      <c r="L150" s="210"/>
      <c r="M150" s="210"/>
      <c r="N150" s="210"/>
      <c r="O150" s="210"/>
      <c r="P150" s="210"/>
      <c r="Q150" s="210"/>
      <c r="R150" s="210"/>
    </row>
    <row r="151" spans="2:18" x14ac:dyDescent="0.25">
      <c r="B151" s="11" t="s">
        <v>45</v>
      </c>
      <c r="C151" s="65">
        <f>+'BGPR2008-2023'!E85</f>
        <v>31897.929</v>
      </c>
      <c r="D151" s="65">
        <f>+'BGPR2008-2023'!F85</f>
        <v>50444.92</v>
      </c>
      <c r="E151" s="65">
        <f>+'BGPR2008-2023'!G85</f>
        <v>75664.460999999996</v>
      </c>
      <c r="F151" s="65">
        <f>+'BGPR2008-2023'!H85</f>
        <v>90250.630999999994</v>
      </c>
      <c r="G151" s="65">
        <f>+'BGPR2008-2023'!I85</f>
        <v>119344.41</v>
      </c>
      <c r="H151" s="65">
        <f>+'BGPR2008-2023'!J85</f>
        <v>137080.75899999999</v>
      </c>
      <c r="I151" s="65">
        <f>+H151+I152</f>
        <v>164982.63949999999</v>
      </c>
      <c r="J151" s="65">
        <f>+I151+J152</f>
        <v>199093.20836557532</v>
      </c>
      <c r="K151" s="65">
        <f t="shared" ref="K151:R151" si="68">+J151+K152</f>
        <v>210081.20972437429</v>
      </c>
      <c r="L151" s="65">
        <f t="shared" si="68"/>
        <v>220276.90415535722</v>
      </c>
      <c r="M151" s="65">
        <f t="shared" si="68"/>
        <v>231324.07877556252</v>
      </c>
      <c r="N151" s="65">
        <f t="shared" si="68"/>
        <v>242932.24884143306</v>
      </c>
      <c r="O151" s="65">
        <f t="shared" si="68"/>
        <v>252599.48174199639</v>
      </c>
      <c r="P151" s="65">
        <f t="shared" si="68"/>
        <v>262763.01875731495</v>
      </c>
      <c r="Q151" s="65">
        <f t="shared" si="68"/>
        <v>273378.40646380401</v>
      </c>
      <c r="R151" s="65">
        <f t="shared" si="68"/>
        <v>284377.92932850838</v>
      </c>
    </row>
    <row r="152" spans="2:18" x14ac:dyDescent="0.25">
      <c r="B152" s="135" t="s">
        <v>587</v>
      </c>
      <c r="C152" s="136"/>
      <c r="D152" s="136"/>
      <c r="E152" s="136"/>
      <c r="F152" s="136"/>
      <c r="G152" s="136"/>
      <c r="H152" s="136"/>
      <c r="I152" s="134">
        <f>+'ERPR2008-2023'!J42*'SUPUESTOS DE PROYECCIÓN'!I153</f>
        <v>27901.880500000007</v>
      </c>
      <c r="J152" s="134">
        <f>+'ERPR2008-2023'!K42*'SUPUESTOS DE PROYECCIÓN'!J153</f>
        <v>34110.568865575326</v>
      </c>
      <c r="K152" s="134">
        <f>+'ERPR2008-2023'!L42*'SUPUESTOS DE PROYECCIÓN'!K153</f>
        <v>10988.001358798969</v>
      </c>
      <c r="L152" s="134">
        <f>+'ERPR2008-2023'!M42*'SUPUESTOS DE PROYECCIÓN'!L153</f>
        <v>10195.694430982936</v>
      </c>
      <c r="M152" s="134">
        <f>+'ERPR2008-2023'!N42*'SUPUESTOS DE PROYECCIÓN'!M153</f>
        <v>11047.174620205309</v>
      </c>
      <c r="N152" s="134">
        <f>+'ERPR2008-2023'!O42*'SUPUESTOS DE PROYECCIÓN'!N153</f>
        <v>11608.170065870541</v>
      </c>
      <c r="O152" s="134">
        <f>+'ERPR2008-2023'!P42*'SUPUESTOS DE PROYECCIÓN'!O153</f>
        <v>9667.2329005633492</v>
      </c>
      <c r="P152" s="134">
        <f>+'ERPR2008-2023'!Q42*'SUPUESTOS DE PROYECCIÓN'!P153</f>
        <v>10163.537015318569</v>
      </c>
      <c r="Q152" s="134">
        <f>+'ERPR2008-2023'!R42*'SUPUESTOS DE PROYECCIÓN'!Q153</f>
        <v>10615.387706489086</v>
      </c>
      <c r="R152" s="134">
        <f>+'ERPR2008-2023'!S42*'SUPUESTOS DE PROYECCIÓN'!R153</f>
        <v>10999.522864704384</v>
      </c>
    </row>
    <row r="153" spans="2:18" ht="15.75" thickBot="1" x14ac:dyDescent="0.3">
      <c r="B153" s="63" t="s">
        <v>588</v>
      </c>
      <c r="C153" s="91"/>
      <c r="D153" s="75"/>
      <c r="E153" s="75"/>
      <c r="F153" s="75"/>
      <c r="G153" s="75"/>
      <c r="H153" s="75"/>
      <c r="I153" s="75">
        <v>0.5</v>
      </c>
      <c r="J153" s="75">
        <v>0.5</v>
      </c>
      <c r="K153" s="75">
        <v>0.15</v>
      </c>
      <c r="L153" s="75">
        <v>0.13</v>
      </c>
      <c r="M153" s="75">
        <v>0.13</v>
      </c>
      <c r="N153" s="75">
        <v>0.13</v>
      </c>
      <c r="O153" s="75">
        <v>0.1</v>
      </c>
      <c r="P153" s="75">
        <v>0.1</v>
      </c>
      <c r="Q153" s="75">
        <v>0.1</v>
      </c>
      <c r="R153" s="75">
        <v>0.1</v>
      </c>
    </row>
    <row r="154" spans="2:18" x14ac:dyDescent="0.25">
      <c r="H154" s="72"/>
      <c r="I154" s="72"/>
      <c r="J154" s="72"/>
      <c r="K154" s="72"/>
      <c r="M154" s="96"/>
    </row>
    <row r="155" spans="2:18" x14ac:dyDescent="0.25">
      <c r="B155" s="11" t="s">
        <v>435</v>
      </c>
      <c r="C155" s="65">
        <f>+'BGPR2008-2023'!E93</f>
        <v>132228.54300000001</v>
      </c>
      <c r="D155" s="65">
        <f>+'BGPR2008-2023'!F93</f>
        <v>178092.23699999999</v>
      </c>
      <c r="E155" s="65">
        <f>+'BGPR2008-2023'!G93</f>
        <v>219547.26199999999</v>
      </c>
      <c r="F155" s="65">
        <f>+'BGPR2008-2023'!H93</f>
        <v>291063.87300000002</v>
      </c>
      <c r="G155" s="65">
        <f>+'BGPR2008-2023'!I93</f>
        <v>292630.31199999998</v>
      </c>
      <c r="H155" s="65">
        <f>+'BGPR2008-2023'!J93</f>
        <v>282060.28399999999</v>
      </c>
      <c r="I155" s="65">
        <f>+(H155*I156)+H155+2814</f>
        <v>335645.13511999999</v>
      </c>
      <c r="J155" s="65">
        <f>+(I155*J156)+I155+1987</f>
        <v>398048.25944160001</v>
      </c>
      <c r="K155" s="65">
        <f>+(J155*K156)+J155+2741</f>
        <v>420691.67241368</v>
      </c>
      <c r="L155" s="65">
        <f>+(K155*L156)+K155-758</f>
        <v>440968.25603436399</v>
      </c>
      <c r="M155" s="65">
        <f>+(L155*M156)+L155-920</f>
        <v>462096.66883608222</v>
      </c>
      <c r="N155" s="65">
        <f>+(M155*N156)+M155-4107</f>
        <v>481094.50227788632</v>
      </c>
      <c r="O155" s="65">
        <f>+(N155*O156)+N155-3750</f>
        <v>501399.22739178065</v>
      </c>
      <c r="P155" s="65">
        <f>+(O155*P156)+O155-2933</f>
        <v>523536.18876136967</v>
      </c>
      <c r="Q155" s="65">
        <f>+(P155*Q156)+P155-2105</f>
        <v>547607.99819943821</v>
      </c>
      <c r="R155" s="65">
        <f>+(Q155*R156)+Q155-4351</f>
        <v>570637.39810941007</v>
      </c>
    </row>
    <row r="156" spans="2:18" ht="15.75" thickBot="1" x14ac:dyDescent="0.3">
      <c r="B156" s="63" t="s">
        <v>436</v>
      </c>
      <c r="C156" s="91"/>
      <c r="D156" s="75">
        <f>+D155/C155-1</f>
        <v>0.34685169298129526</v>
      </c>
      <c r="E156" s="75">
        <f t="shared" ref="E156" si="69">+E155/D155-1</f>
        <v>0.23277277942215968</v>
      </c>
      <c r="F156" s="75">
        <f t="shared" ref="F156" si="70">+F155/E155-1</f>
        <v>0.32574585694446068</v>
      </c>
      <c r="G156" s="75">
        <f t="shared" ref="G156" si="71">+G155/F155-1</f>
        <v>5.3817706191243708E-3</v>
      </c>
      <c r="H156" s="75">
        <f t="shared" ref="H156" si="72">+H155/G155-1</f>
        <v>-3.6120755665257187E-2</v>
      </c>
      <c r="I156" s="75">
        <v>0.18</v>
      </c>
      <c r="J156" s="75">
        <v>0.18</v>
      </c>
      <c r="K156" s="75">
        <v>0.05</v>
      </c>
      <c r="L156" s="75">
        <v>0.05</v>
      </c>
      <c r="M156" s="75">
        <v>0.05</v>
      </c>
      <c r="N156" s="75">
        <v>0.05</v>
      </c>
      <c r="O156" s="75">
        <v>0.05</v>
      </c>
      <c r="P156" s="75">
        <v>0.05</v>
      </c>
      <c r="Q156" s="75">
        <v>0.05</v>
      </c>
      <c r="R156" s="75">
        <v>0.05</v>
      </c>
    </row>
    <row r="157" spans="2:18" x14ac:dyDescent="0.25">
      <c r="J157" s="2"/>
    </row>
    <row r="158" spans="2:18" x14ac:dyDescent="0.25">
      <c r="B158" s="11" t="s">
        <v>589</v>
      </c>
      <c r="C158" s="65">
        <f>+'ECAMBIO SF 2008-2012 ajust'!D16</f>
        <v>12052.148999999999</v>
      </c>
      <c r="D158" s="65">
        <f>+'ECAMBIO SF 2008-2012 ajust'!E16</f>
        <v>14887.266</v>
      </c>
      <c r="E158" s="65">
        <f>+'ECAMBIO SF 2008-2012 ajust'!F16</f>
        <v>15387.388999999999</v>
      </c>
      <c r="F158" s="65">
        <f>+'ECAMBIO SF 2008-2012 ajust'!G16</f>
        <v>18010.786</v>
      </c>
      <c r="G158" s="65">
        <f>+'ECAMBIO SF 2008-2012 ajust'!H16</f>
        <v>17478.534</v>
      </c>
      <c r="H158" s="65">
        <f>+'ECAMBIO SF 2008-2012 ajust'!I16</f>
        <v>17434.353999999999</v>
      </c>
      <c r="I158" s="65">
        <f>+'BGPR2008-2023'!K32*'SUPUESTOS DE PROYECCIÓN'!I159</f>
        <v>21426.157500000001</v>
      </c>
      <c r="J158" s="65">
        <f>+'BGPR2008-2023'!L32*'SUPUESTOS DE PROYECCIÓN'!J159</f>
        <v>24529.657500000001</v>
      </c>
      <c r="K158" s="65">
        <f>+'BGPR2008-2023'!M32*'SUPUESTOS DE PROYECCIÓN'!K159</f>
        <v>27633.157500000001</v>
      </c>
      <c r="L158" s="65">
        <f>+'BGPR2008-2023'!N32*'SUPUESTOS DE PROYECCIÓN'!L159</f>
        <v>30736.657500000001</v>
      </c>
      <c r="M158" s="65">
        <f>+'BGPR2008-2023'!O32*'SUPUESTOS DE PROYECCIÓN'!M159</f>
        <v>33840.157500000001</v>
      </c>
      <c r="N158" s="65">
        <f>+'BGPR2008-2023'!P32*'SUPUESTOS DE PROYECCIÓN'!N159</f>
        <v>36943.657500000001</v>
      </c>
      <c r="O158" s="65">
        <f>+'BGPR2008-2023'!Q32*'SUPUESTOS DE PROYECCIÓN'!O159</f>
        <v>40047.157500000001</v>
      </c>
      <c r="P158" s="65">
        <f>+'BGPR2008-2023'!R32*'SUPUESTOS DE PROYECCIÓN'!P159</f>
        <v>43150.657500000001</v>
      </c>
      <c r="Q158" s="65">
        <f>+'BGPR2008-2023'!S32*'SUPUESTOS DE PROYECCIÓN'!Q159</f>
        <v>46254.157500000001</v>
      </c>
      <c r="R158" s="65">
        <f>+'BGPR2008-2023'!T32*'SUPUESTOS DE PROYECCIÓN'!R159</f>
        <v>49357.657500000001</v>
      </c>
    </row>
    <row r="159" spans="2:18" ht="15.75" thickBot="1" x14ac:dyDescent="0.3">
      <c r="B159" s="63" t="s">
        <v>590</v>
      </c>
      <c r="C159" s="75">
        <f>+C158/'BGPR2008-2023'!E32</f>
        <v>0.15481557116586128</v>
      </c>
      <c r="D159" s="75">
        <f>+D158/'BGPR2008-2023'!F32</f>
        <v>0.19201182896582694</v>
      </c>
      <c r="E159" s="75">
        <f>+E158/'BGPR2008-2023'!G32</f>
        <v>0.17348817899676014</v>
      </c>
      <c r="F159" s="75">
        <f>+F158/'BGPR2008-2023'!H32</f>
        <v>0.31338477746545451</v>
      </c>
      <c r="G159" s="75">
        <f>+G158/'BGPR2008-2023'!I32</f>
        <v>0.40618894236329905</v>
      </c>
      <c r="H159" s="75">
        <f>+H158/'BGPR2008-2023'!J32</f>
        <v>0.47575942518163639</v>
      </c>
      <c r="I159" s="75">
        <v>0.5</v>
      </c>
      <c r="J159" s="75">
        <v>0.5</v>
      </c>
      <c r="K159" s="75">
        <v>0.5</v>
      </c>
      <c r="L159" s="75">
        <v>0.5</v>
      </c>
      <c r="M159" s="75">
        <v>0.5</v>
      </c>
      <c r="N159" s="75">
        <v>0.5</v>
      </c>
      <c r="O159" s="75">
        <v>0.5</v>
      </c>
      <c r="P159" s="75">
        <v>0.5</v>
      </c>
      <c r="Q159" s="75">
        <v>0.5</v>
      </c>
      <c r="R159" s="75">
        <v>0.5</v>
      </c>
    </row>
    <row r="160" spans="2:18" x14ac:dyDescent="0.25">
      <c r="E160" s="73"/>
      <c r="F160" s="73"/>
      <c r="G160" s="73"/>
      <c r="H160" s="73"/>
      <c r="I160" s="73"/>
      <c r="J160" s="73"/>
      <c r="K160" s="73"/>
      <c r="L160" s="73"/>
      <c r="M160" s="73"/>
      <c r="N160" s="73"/>
      <c r="O160" s="73"/>
      <c r="P160" s="73"/>
      <c r="Q160" s="73"/>
      <c r="R160" s="73"/>
    </row>
    <row r="161" spans="2:18" x14ac:dyDescent="0.25">
      <c r="B161" s="11" t="s">
        <v>591</v>
      </c>
      <c r="C161" s="74"/>
      <c r="D161" s="65">
        <f>+D162+D163-D164</f>
        <v>4761.5379999999986</v>
      </c>
      <c r="E161" s="65">
        <f>+E162+E163+E164</f>
        <v>-9509.3309999999947</v>
      </c>
      <c r="F161" s="65">
        <f>+F162+F163+F164</f>
        <v>26923.932999999983</v>
      </c>
      <c r="G161" s="65">
        <f>+G162+G163-G164</f>
        <v>49231.832999999991</v>
      </c>
      <c r="H161" s="65">
        <f>+H162+H163-H164</f>
        <v>-8681.2229999999872</v>
      </c>
      <c r="I161" s="65">
        <f>+I162+I163+I164</f>
        <v>975.45019369865258</v>
      </c>
      <c r="J161" s="65">
        <f>+J162+J163+J164</f>
        <v>1479.6874183014043</v>
      </c>
      <c r="K161" s="65">
        <f>+K162+K163+K164</f>
        <v>4781.2399703862793</v>
      </c>
      <c r="L161" s="65">
        <f t="shared" ref="L161:R161" si="73">+L162+L163+L164</f>
        <v>5483.1666894430527</v>
      </c>
      <c r="M161" s="65">
        <f t="shared" si="73"/>
        <v>5046.7513815077618</v>
      </c>
      <c r="N161" s="65">
        <f t="shared" si="73"/>
        <v>4468.2213450910276</v>
      </c>
      <c r="O161" s="65">
        <f t="shared" si="73"/>
        <v>3723.5177875758891</v>
      </c>
      <c r="P161" s="65">
        <f t="shared" si="73"/>
        <v>4587.3739142934428</v>
      </c>
      <c r="Q161" s="65">
        <f t="shared" si="73"/>
        <v>3784.5834792921087</v>
      </c>
      <c r="R161" s="65">
        <f t="shared" si="73"/>
        <v>2775.3612181475401</v>
      </c>
    </row>
    <row r="162" spans="2:18" x14ac:dyDescent="0.25">
      <c r="B162" s="66" t="s">
        <v>690</v>
      </c>
      <c r="C162" s="74"/>
      <c r="D162" s="22">
        <f>(D83-C83)</f>
        <v>7174.3139999999985</v>
      </c>
      <c r="E162" s="22">
        <f t="shared" ref="E162:R162" si="74">(E83-D83)</f>
        <v>-9993.7089999999953</v>
      </c>
      <c r="F162" s="22">
        <f t="shared" si="74"/>
        <v>75788.767999999982</v>
      </c>
      <c r="G162" s="22">
        <f t="shared" si="74"/>
        <v>43579.573999999993</v>
      </c>
      <c r="H162" s="22">
        <f t="shared" si="74"/>
        <v>-2824.2479999999923</v>
      </c>
      <c r="I162" s="22">
        <f t="shared" si="74"/>
        <v>3583.1629232876876</v>
      </c>
      <c r="J162" s="22">
        <f t="shared" si="74"/>
        <v>4346.5817912603088</v>
      </c>
      <c r="K162" s="22">
        <f t="shared" si="74"/>
        <v>7934.8237806410762</v>
      </c>
      <c r="L162" s="22">
        <f t="shared" si="74"/>
        <v>8952.1088807233318</v>
      </c>
      <c r="M162" s="22">
        <f t="shared" si="74"/>
        <v>8862.5877919160703</v>
      </c>
      <c r="N162" s="22">
        <f t="shared" si="74"/>
        <v>8665.6413965401589</v>
      </c>
      <c r="O162" s="22">
        <f t="shared" si="74"/>
        <v>8340.6798441699357</v>
      </c>
      <c r="P162" s="22">
        <f t="shared" si="74"/>
        <v>9666.2521765468991</v>
      </c>
      <c r="Q162" s="22">
        <f t="shared" si="74"/>
        <v>9371.3495677709288</v>
      </c>
      <c r="R162" s="22">
        <f t="shared" si="74"/>
        <v>8920.8039154742146</v>
      </c>
    </row>
    <row r="163" spans="2:18" x14ac:dyDescent="0.25">
      <c r="B163" s="66" t="s">
        <v>691</v>
      </c>
      <c r="C163" s="74"/>
      <c r="D163" s="22">
        <f>(D86-C86)</f>
        <v>307.63400000000001</v>
      </c>
      <c r="E163" s="22">
        <f t="shared" ref="E163:R163" si="75">(E86-D86)</f>
        <v>907.04499999999962</v>
      </c>
      <c r="F163" s="22">
        <f t="shared" si="75"/>
        <v>8298.4160000000011</v>
      </c>
      <c r="G163" s="22">
        <f t="shared" si="75"/>
        <v>13234.711999999998</v>
      </c>
      <c r="H163" s="22">
        <f t="shared" si="75"/>
        <v>-1435.5689999999995</v>
      </c>
      <c r="I163" s="22">
        <f t="shared" si="75"/>
        <v>1930.839456712336</v>
      </c>
      <c r="J163" s="22">
        <f t="shared" si="75"/>
        <v>2681.9334456712349</v>
      </c>
      <c r="K163" s="22">
        <f t="shared" si="75"/>
        <v>2950.1267902383588</v>
      </c>
      <c r="L163" s="22">
        <f t="shared" si="75"/>
        <v>3245.139469262198</v>
      </c>
      <c r="M163" s="22">
        <f t="shared" si="75"/>
        <v>3569.6534161884119</v>
      </c>
      <c r="N163" s="22">
        <f t="shared" si="75"/>
        <v>3926.618757807264</v>
      </c>
      <c r="O163" s="22">
        <f t="shared" si="75"/>
        <v>4319.2806335879795</v>
      </c>
      <c r="P163" s="22">
        <f t="shared" si="75"/>
        <v>4751.2086969467855</v>
      </c>
      <c r="Q163" s="22">
        <f t="shared" si="75"/>
        <v>5226.3295666414633</v>
      </c>
      <c r="R163" s="22">
        <f t="shared" si="75"/>
        <v>5748.9625233056067</v>
      </c>
    </row>
    <row r="164" spans="2:18" ht="15.75" thickBot="1" x14ac:dyDescent="0.3">
      <c r="B164" s="63" t="s">
        <v>692</v>
      </c>
      <c r="C164" s="75"/>
      <c r="D164" s="69">
        <f>-(D128-C128)</f>
        <v>2720.41</v>
      </c>
      <c r="E164" s="69">
        <f t="shared" ref="E164:R164" si="76">-(E128-D128)</f>
        <v>-422.66699999999946</v>
      </c>
      <c r="F164" s="69">
        <f t="shared" si="76"/>
        <v>-57163.250999999997</v>
      </c>
      <c r="G164" s="69">
        <f t="shared" si="76"/>
        <v>7582.4530000000013</v>
      </c>
      <c r="H164" s="69">
        <f t="shared" si="76"/>
        <v>4421.4059999999954</v>
      </c>
      <c r="I164" s="69">
        <f t="shared" si="76"/>
        <v>-4538.552186301371</v>
      </c>
      <c r="J164" s="69">
        <f t="shared" si="76"/>
        <v>-5548.8278186301395</v>
      </c>
      <c r="K164" s="69">
        <f t="shared" si="76"/>
        <v>-6103.7106004931557</v>
      </c>
      <c r="L164" s="69">
        <f t="shared" si="76"/>
        <v>-6714.081660542477</v>
      </c>
      <c r="M164" s="69">
        <f t="shared" si="76"/>
        <v>-7385.4898265967204</v>
      </c>
      <c r="N164" s="69">
        <f t="shared" si="76"/>
        <v>-8124.0388092563953</v>
      </c>
      <c r="O164" s="69">
        <f t="shared" si="76"/>
        <v>-8936.4426901820261</v>
      </c>
      <c r="P164" s="69">
        <f t="shared" si="76"/>
        <v>-9830.0869592002418</v>
      </c>
      <c r="Q164" s="69">
        <f t="shared" si="76"/>
        <v>-10813.095655120283</v>
      </c>
      <c r="R164" s="69">
        <f t="shared" si="76"/>
        <v>-11894.405220632281</v>
      </c>
    </row>
    <row r="165" spans="2:18" x14ac:dyDescent="0.25">
      <c r="B165" s="66"/>
      <c r="C165" s="74"/>
      <c r="D165" s="74"/>
      <c r="E165" s="93"/>
      <c r="F165" s="74"/>
      <c r="G165" s="74"/>
      <c r="H165" s="74"/>
      <c r="I165" s="74"/>
      <c r="J165" s="74"/>
      <c r="K165" s="74"/>
      <c r="L165" s="74"/>
      <c r="M165" s="74"/>
      <c r="N165" s="74"/>
      <c r="O165" s="74"/>
      <c r="P165" s="74"/>
      <c r="Q165" s="74"/>
      <c r="R165" s="74"/>
    </row>
    <row r="166" spans="2:18" x14ac:dyDescent="0.25">
      <c r="H166" s="73"/>
      <c r="I166" s="73"/>
    </row>
    <row r="167" spans="2:18" x14ac:dyDescent="0.25">
      <c r="B167" s="11" t="s">
        <v>593</v>
      </c>
      <c r="C167" s="65">
        <f>+'ECAMBIO SF 2008-2012 ajust'!D82</f>
        <v>0</v>
      </c>
      <c r="D167" s="65">
        <f>'AF&amp;DEP PROYECTADO'!F39-'AF&amp;DEP PROYECTADO'!E39</f>
        <v>-9716.5409520167304</v>
      </c>
      <c r="E167" s="65">
        <f>'AF&amp;DEP PROYECTADO'!G39-'AF&amp;DEP PROYECTADO'!F39</f>
        <v>-11120.869496489679</v>
      </c>
      <c r="F167" s="65">
        <f>'AF&amp;DEP PROYECTADO'!H39-'AF&amp;DEP PROYECTADO'!G39</f>
        <v>-9830.1783712716569</v>
      </c>
      <c r="G167" s="65">
        <f>'AF&amp;DEP PROYECTADO'!I39-'AF&amp;DEP PROYECTADO'!H39</f>
        <v>-3252.5856281063679</v>
      </c>
      <c r="H167" s="65">
        <f>'AF&amp;DEP PROYECTADO'!J39-'AF&amp;DEP PROYECTADO'!I39</f>
        <v>-6462.8948150189608</v>
      </c>
      <c r="I167" s="65">
        <f>'AF&amp;DEP PROYECTADO'!K39-'AF&amp;DEP PROYECTADO'!J39</f>
        <v>14398.78407528127</v>
      </c>
      <c r="J167" s="65">
        <f>'AF&amp;DEP PROYECTADO'!L39-'AF&amp;DEP PROYECTADO'!K39</f>
        <v>-1070.2552463840184</v>
      </c>
      <c r="K167" s="65">
        <f>'AF&amp;DEP PROYECTADO'!M39-'AF&amp;DEP PROYECTADO'!L39</f>
        <v>-1044.6417581052665</v>
      </c>
      <c r="L167" s="65">
        <f>'AF&amp;DEP PROYECTADO'!N39-'AF&amp;DEP PROYECTADO'!M39</f>
        <v>-989.03265934655792</v>
      </c>
      <c r="M167" s="65">
        <f>'AF&amp;DEP PROYECTADO'!O39-'AF&amp;DEP PROYECTADO'!N39</f>
        <v>-940.50119060538418</v>
      </c>
      <c r="N167" s="65">
        <f>'AF&amp;DEP PROYECTADO'!P39-'AF&amp;DEP PROYECTADO'!O39</f>
        <v>-920.18086435446457</v>
      </c>
      <c r="O167" s="65">
        <f>'AF&amp;DEP PROYECTADO'!Q39-'AF&amp;DEP PROYECTADO'!P39</f>
        <v>4649.9707328722725</v>
      </c>
      <c r="P167" s="65">
        <f>'AF&amp;DEP PROYECTADO'!R39-'AF&amp;DEP PROYECTADO'!Q39</f>
        <v>-930.18748306986527</v>
      </c>
      <c r="Q167" s="65">
        <f>'AF&amp;DEP PROYECTADO'!S39-'AF&amp;DEP PROYECTADO'!R39</f>
        <v>-910.84793494186306</v>
      </c>
      <c r="R167" s="65">
        <f>'AF&amp;DEP PROYECTADO'!T39-'AF&amp;DEP PROYECTADO'!S39</f>
        <v>-854.87551626881759</v>
      </c>
    </row>
    <row r="168" spans="2:18" ht="15.75" thickBot="1" x14ac:dyDescent="0.3">
      <c r="B168" s="63" t="s">
        <v>592</v>
      </c>
      <c r="C168" s="75"/>
      <c r="D168" s="142"/>
      <c r="E168" s="75">
        <f>+E167/D167-1</f>
        <v>0.14452967896785029</v>
      </c>
      <c r="F168" s="75">
        <f>+F167/E167-1</f>
        <v>-0.11606027079316328</v>
      </c>
      <c r="G168" s="75">
        <f>+G167/F167-1</f>
        <v>-0.66912242023889079</v>
      </c>
      <c r="H168" s="75">
        <f>+H167/G167-1</f>
        <v>0.98700220500624058</v>
      </c>
      <c r="I168" s="75">
        <f>+I167/H167-1</f>
        <v>-3.2279155838681288</v>
      </c>
      <c r="J168" s="75">
        <f t="shared" ref="J168:R168" si="77">+J167/I167-1</f>
        <v>-1.0743295573284797</v>
      </c>
      <c r="K168" s="75">
        <f t="shared" si="77"/>
        <v>-2.3932130550436526E-2</v>
      </c>
      <c r="L168" s="75">
        <f t="shared" si="77"/>
        <v>-5.3232697551331198E-2</v>
      </c>
      <c r="M168" s="75">
        <f t="shared" si="77"/>
        <v>-4.9069632112288319E-2</v>
      </c>
      <c r="N168" s="75">
        <f t="shared" si="77"/>
        <v>-2.160584851342906E-2</v>
      </c>
      <c r="O168" s="75">
        <f t="shared" si="77"/>
        <v>-6.0533225727687467</v>
      </c>
      <c r="P168" s="75">
        <f t="shared" si="77"/>
        <v>-1.2000415780026408</v>
      </c>
      <c r="Q168" s="75">
        <f t="shared" si="77"/>
        <v>-2.0791021681109467E-2</v>
      </c>
      <c r="R168" s="75">
        <f t="shared" si="77"/>
        <v>-6.145089265269954E-2</v>
      </c>
    </row>
    <row r="169" spans="2:18" x14ac:dyDescent="0.25">
      <c r="D169" s="73"/>
      <c r="E169" s="73"/>
      <c r="F169" s="73"/>
      <c r="G169" s="73"/>
      <c r="H169" s="73"/>
      <c r="I169" s="73"/>
      <c r="J169" s="73"/>
      <c r="K169" s="73"/>
      <c r="L169" s="73"/>
      <c r="M169" s="73"/>
      <c r="N169" s="73"/>
      <c r="O169" s="73"/>
      <c r="P169" s="73"/>
      <c r="Q169" s="73"/>
      <c r="R169" s="73"/>
    </row>
  </sheetData>
  <mergeCells count="1">
    <mergeCell ref="B8:R8"/>
  </mergeCells>
  <pageMargins left="0.7" right="0.7" top="0.75" bottom="0.75" header="0.3" footer="0.3"/>
  <pageSetup orientation="portrait" r:id="rId1"/>
  <ignoredErrors>
    <ignoredError sqref="G161"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B7:R65"/>
  <sheetViews>
    <sheetView showGridLines="0" topLeftCell="A13" zoomScaleNormal="100" workbookViewId="0">
      <selection activeCell="D15" sqref="D15"/>
    </sheetView>
  </sheetViews>
  <sheetFormatPr baseColWidth="10" defaultRowHeight="15" x14ac:dyDescent="0.25"/>
  <cols>
    <col min="1" max="1" width="10.42578125" customWidth="1"/>
    <col min="2" max="2" width="41.28515625" customWidth="1"/>
    <col min="3" max="7" width="11.42578125" bestFit="1" customWidth="1"/>
    <col min="8" max="8" width="10.5703125" bestFit="1" customWidth="1"/>
    <col min="9" max="9" width="11.42578125" bestFit="1" customWidth="1"/>
    <col min="10" max="18" width="10.5703125" bestFit="1" customWidth="1"/>
  </cols>
  <sheetData>
    <row r="7" spans="2:18" ht="15.75" thickBot="1" x14ac:dyDescent="0.3"/>
    <row r="8" spans="2:18" ht="19.5" thickBot="1" x14ac:dyDescent="0.3">
      <c r="B8" s="380" t="s">
        <v>632</v>
      </c>
      <c r="C8" s="381"/>
      <c r="D8" s="381"/>
      <c r="E8" s="381"/>
      <c r="F8" s="381"/>
      <c r="G8" s="381"/>
      <c r="H8" s="381"/>
      <c r="I8" s="381"/>
      <c r="J8" s="381"/>
      <c r="K8" s="381"/>
      <c r="L8" s="381"/>
      <c r="M8" s="381"/>
      <c r="N8" s="381"/>
      <c r="O8" s="381"/>
      <c r="P8" s="381"/>
      <c r="Q8" s="381"/>
      <c r="R8" s="382"/>
    </row>
    <row r="9" spans="2:18" x14ac:dyDescent="0.25">
      <c r="B9" s="7"/>
      <c r="C9" s="7"/>
      <c r="D9" s="7"/>
      <c r="E9" s="7"/>
      <c r="F9" s="7"/>
      <c r="G9" s="7"/>
      <c r="H9" s="7"/>
      <c r="I9" s="7"/>
      <c r="J9" s="7"/>
      <c r="K9" s="7"/>
    </row>
    <row r="10" spans="2:18" x14ac:dyDescent="0.25">
      <c r="C10" s="4">
        <v>2008</v>
      </c>
      <c r="D10" s="4">
        <v>2009</v>
      </c>
      <c r="E10" s="4">
        <v>2010</v>
      </c>
      <c r="F10" s="4">
        <v>2011</v>
      </c>
      <c r="G10" s="4">
        <v>2012</v>
      </c>
      <c r="H10" s="4">
        <v>2013</v>
      </c>
      <c r="I10" s="4" t="str">
        <f>+'BGPR2008-2023'!K11</f>
        <v>2014E</v>
      </c>
      <c r="J10" s="4" t="str">
        <f>+'BGPR2008-2023'!L11</f>
        <v>2015E</v>
      </c>
      <c r="K10" s="4" t="str">
        <f>+'BGPR2008-2023'!M11</f>
        <v>2016E</v>
      </c>
      <c r="L10" s="4" t="str">
        <f>+'BGPR2008-2023'!N11</f>
        <v>2017E</v>
      </c>
      <c r="M10" s="4" t="str">
        <f>+'BGPR2008-2023'!O11</f>
        <v>2018E</v>
      </c>
      <c r="N10" s="4" t="str">
        <f>+'BGPR2008-2023'!P11</f>
        <v>2019E</v>
      </c>
      <c r="O10" s="4" t="str">
        <f>+'BGPR2008-2023'!Q11</f>
        <v>2020E</v>
      </c>
      <c r="P10" s="4" t="str">
        <f>+'BGPR2008-2023'!R11</f>
        <v>2021E</v>
      </c>
      <c r="Q10" s="4" t="str">
        <f>+'BGPR2008-2023'!S11</f>
        <v>2022E</v>
      </c>
      <c r="R10" s="4" t="str">
        <f>+'BGPR2008-2023'!T11</f>
        <v>2023E</v>
      </c>
    </row>
    <row r="11" spans="2:18" x14ac:dyDescent="0.25">
      <c r="C11" s="4"/>
      <c r="D11" s="4"/>
      <c r="E11" s="4"/>
      <c r="F11" s="4"/>
      <c r="G11" s="4"/>
      <c r="H11" s="4"/>
      <c r="I11" s="4"/>
      <c r="J11" s="4"/>
      <c r="K11" s="4"/>
      <c r="L11" s="4"/>
      <c r="M11" s="4"/>
      <c r="N11" s="4"/>
      <c r="O11" s="4"/>
      <c r="P11" s="4"/>
      <c r="Q11" s="4"/>
      <c r="R11" s="4"/>
    </row>
    <row r="12" spans="2:18" x14ac:dyDescent="0.25">
      <c r="B12" s="7" t="s">
        <v>634</v>
      </c>
      <c r="D12" s="7">
        <f>+C52</f>
        <v>980405</v>
      </c>
      <c r="E12" s="7">
        <f>+D52</f>
        <v>870308</v>
      </c>
      <c r="F12" s="7">
        <v>1561468</v>
      </c>
      <c r="G12" s="7">
        <v>1298225</v>
      </c>
      <c r="H12" s="7">
        <v>1311505</v>
      </c>
      <c r="I12" s="7">
        <f>+H18</f>
        <v>931411</v>
      </c>
      <c r="J12" s="7">
        <f t="shared" ref="J12:R12" si="0">+I18</f>
        <v>1635888.6201693334</v>
      </c>
      <c r="K12" s="7">
        <f t="shared" si="0"/>
        <v>1988771.4518502667</v>
      </c>
      <c r="L12" s="7">
        <f t="shared" si="0"/>
        <v>1918126.6200859598</v>
      </c>
      <c r="M12" s="7">
        <f t="shared" si="0"/>
        <v>1932899.9384785555</v>
      </c>
      <c r="N12" s="7">
        <f t="shared" si="0"/>
        <v>1899150.588710411</v>
      </c>
      <c r="O12" s="7">
        <f t="shared" si="0"/>
        <v>1812026.3039654519</v>
      </c>
      <c r="P12" s="7">
        <f t="shared" si="0"/>
        <v>1766189.5907459967</v>
      </c>
      <c r="Q12" s="7">
        <f t="shared" si="0"/>
        <v>1855769.206204596</v>
      </c>
      <c r="R12" s="7">
        <f t="shared" si="0"/>
        <v>1874306.783209055</v>
      </c>
    </row>
    <row r="13" spans="2:18" x14ac:dyDescent="0.25">
      <c r="B13" s="177" t="s">
        <v>444</v>
      </c>
      <c r="C13" s="97">
        <v>0</v>
      </c>
      <c r="D13" s="97">
        <v>0</v>
      </c>
      <c r="E13" s="97">
        <v>0</v>
      </c>
      <c r="F13" s="97">
        <v>0</v>
      </c>
      <c r="G13" s="97">
        <v>0</v>
      </c>
      <c r="H13" s="97">
        <v>-155156</v>
      </c>
      <c r="I13" s="97"/>
      <c r="J13" s="97"/>
      <c r="K13" s="97"/>
      <c r="L13" s="97"/>
      <c r="M13" s="97"/>
      <c r="N13" s="97"/>
      <c r="O13" s="97"/>
      <c r="P13" s="97"/>
      <c r="Q13" s="97"/>
      <c r="R13" s="97"/>
    </row>
    <row r="14" spans="2:18" x14ac:dyDescent="0.25">
      <c r="B14" s="177" t="s">
        <v>445</v>
      </c>
      <c r="C14" s="97">
        <v>0</v>
      </c>
      <c r="D14" s="97">
        <v>0</v>
      </c>
      <c r="E14" s="97">
        <v>0</v>
      </c>
      <c r="F14" s="97">
        <v>-856</v>
      </c>
      <c r="G14" s="97">
        <v>0</v>
      </c>
      <c r="H14" s="97">
        <v>-10369</v>
      </c>
      <c r="I14" s="97"/>
      <c r="J14" s="97"/>
      <c r="K14" s="97"/>
      <c r="L14" s="97"/>
      <c r="M14" s="97"/>
      <c r="N14" s="97"/>
      <c r="O14" s="97"/>
      <c r="P14" s="97"/>
      <c r="Q14" s="97"/>
      <c r="R14" s="97"/>
    </row>
    <row r="15" spans="2:18" x14ac:dyDescent="0.25">
      <c r="B15" s="177" t="s">
        <v>446</v>
      </c>
      <c r="C15" s="97">
        <v>-191413</v>
      </c>
      <c r="D15" s="97">
        <v>-222721</v>
      </c>
      <c r="E15" s="97">
        <v>-214414</v>
      </c>
      <c r="F15" s="97">
        <v>-238827</v>
      </c>
      <c r="G15" s="97">
        <v>-265981</v>
      </c>
      <c r="H15" s="97">
        <v>-306867</v>
      </c>
      <c r="I15" s="97">
        <f>-'SUPUESTOS DE PROYECCIÓN'!I34</f>
        <v>-337553.69230000005</v>
      </c>
      <c r="J15" s="97">
        <f>-'SUPUESTOS DE PROYECCIÓN'!J34</f>
        <v>-371309.06153000006</v>
      </c>
      <c r="K15" s="97">
        <f>-'SUPUESTOS DE PROYECCIÓN'!K34</f>
        <v>-408439.96768300008</v>
      </c>
      <c r="L15" s="97">
        <f>-'SUPUESTOS DE PROYECCIÓN'!L34</f>
        <v>-449283.96445130015</v>
      </c>
      <c r="M15" s="97">
        <f>-'SUPUESTOS DE PROYECCIÓN'!M34</f>
        <v>-494212.36089643021</v>
      </c>
      <c r="N15" s="97">
        <f>-'SUPUESTOS DE PROYECCIÓN'!N34</f>
        <v>-543633.5969860733</v>
      </c>
      <c r="O15" s="97">
        <f>-'SUPUESTOS DE PROYECCIÓN'!O34</f>
        <v>-597996.95668468066</v>
      </c>
      <c r="P15" s="97">
        <f>-'SUPUESTOS DE PROYECCIÓN'!P34</f>
        <v>-657796.65235314879</v>
      </c>
      <c r="Q15" s="97">
        <f>-'SUPUESTOS DE PROYECCIÓN'!Q34</f>
        <v>-723576.31758846377</v>
      </c>
      <c r="R15" s="97">
        <f>-'SUPUESTOS DE PROYECCIÓN'!R34</f>
        <v>-795933.94934731023</v>
      </c>
    </row>
    <row r="16" spans="2:18" x14ac:dyDescent="0.25">
      <c r="B16" s="177" t="s">
        <v>447</v>
      </c>
      <c r="C16" s="97"/>
      <c r="D16" s="97">
        <v>-25650</v>
      </c>
      <c r="E16" s="97">
        <v>-10165</v>
      </c>
      <c r="F16" s="97">
        <v>-23560</v>
      </c>
      <c r="G16" s="97">
        <v>-25739</v>
      </c>
      <c r="H16" s="97">
        <v>-14325</v>
      </c>
      <c r="I16" s="213">
        <f>+I15*8%</f>
        <v>-27004.295384000005</v>
      </c>
      <c r="J16" s="97">
        <f t="shared" ref="J16:R16" si="1">+J15*0.08</f>
        <v>-29704.724922400004</v>
      </c>
      <c r="K16" s="97">
        <f t="shared" si="1"/>
        <v>-32675.197414640006</v>
      </c>
      <c r="L16" s="97">
        <f t="shared" si="1"/>
        <v>-35942.717156104016</v>
      </c>
      <c r="M16" s="97">
        <f>+M15*0.08</f>
        <v>-39536.98887171442</v>
      </c>
      <c r="N16" s="97">
        <f t="shared" si="1"/>
        <v>-43490.687758885862</v>
      </c>
      <c r="O16" s="97">
        <f t="shared" si="1"/>
        <v>-47839.756534774453</v>
      </c>
      <c r="P16" s="97">
        <f t="shared" si="1"/>
        <v>-52623.732188251903</v>
      </c>
      <c r="Q16" s="97">
        <f t="shared" si="1"/>
        <v>-57886.105407077106</v>
      </c>
      <c r="R16" s="97">
        <f t="shared" si="1"/>
        <v>-63674.715947784818</v>
      </c>
    </row>
    <row r="17" spans="2:18" x14ac:dyDescent="0.25">
      <c r="B17" s="177" t="s">
        <v>448</v>
      </c>
      <c r="C17" s="97"/>
      <c r="D17" s="97">
        <v>138274</v>
      </c>
      <c r="E17" s="97">
        <v>915739</v>
      </c>
      <c r="F17" s="97">
        <v>0</v>
      </c>
      <c r="G17" s="97">
        <v>305000</v>
      </c>
      <c r="H17" s="97">
        <v>106623</v>
      </c>
      <c r="I17" s="97">
        <f>+C61</f>
        <v>1069035.6078533335</v>
      </c>
      <c r="J17" s="97">
        <f>+D61</f>
        <v>753896.61813333328</v>
      </c>
      <c r="K17" s="97">
        <f>+E61</f>
        <v>370470.33333333331</v>
      </c>
      <c r="L17" s="97">
        <f>+F61</f>
        <v>500000</v>
      </c>
      <c r="M17" s="97">
        <f t="shared" ref="M17" si="2">+G61</f>
        <v>500000</v>
      </c>
      <c r="N17" s="97">
        <f t="shared" ref="N17" si="3">+H61</f>
        <v>500000</v>
      </c>
      <c r="O17" s="97">
        <f t="shared" ref="O17" si="4">+I61</f>
        <v>600000</v>
      </c>
      <c r="P17" s="97">
        <f t="shared" ref="P17" si="5">+J61</f>
        <v>800000</v>
      </c>
      <c r="Q17" s="97">
        <f t="shared" ref="Q17" si="6">+K61</f>
        <v>800000</v>
      </c>
      <c r="R17" s="97">
        <f t="shared" ref="R17" si="7">+L61</f>
        <v>900000</v>
      </c>
    </row>
    <row r="18" spans="2:18" x14ac:dyDescent="0.25">
      <c r="B18" s="7" t="s">
        <v>635</v>
      </c>
      <c r="C18" s="7">
        <f>+D12</f>
        <v>980405</v>
      </c>
      <c r="D18" s="7">
        <f t="shared" ref="D18:I18" si="8">SUM(D12:D17)</f>
        <v>870308</v>
      </c>
      <c r="E18" s="7">
        <f t="shared" si="8"/>
        <v>1561468</v>
      </c>
      <c r="F18" s="7">
        <f t="shared" si="8"/>
        <v>1298225</v>
      </c>
      <c r="G18" s="7">
        <f t="shared" si="8"/>
        <v>1311505</v>
      </c>
      <c r="H18" s="7">
        <f t="shared" si="8"/>
        <v>931411</v>
      </c>
      <c r="I18" s="7">
        <f t="shared" si="8"/>
        <v>1635888.6201693334</v>
      </c>
      <c r="J18" s="7">
        <f t="shared" ref="J18:R18" si="9">SUM(J12:J17)</f>
        <v>1988771.4518502667</v>
      </c>
      <c r="K18" s="7">
        <f t="shared" si="9"/>
        <v>1918126.6200859598</v>
      </c>
      <c r="L18" s="7">
        <f t="shared" si="9"/>
        <v>1932899.9384785555</v>
      </c>
      <c r="M18" s="7">
        <f t="shared" si="9"/>
        <v>1899150.588710411</v>
      </c>
      <c r="N18" s="7">
        <f t="shared" si="9"/>
        <v>1812026.3039654519</v>
      </c>
      <c r="O18" s="7">
        <f t="shared" si="9"/>
        <v>1766189.5907459967</v>
      </c>
      <c r="P18" s="7">
        <f t="shared" si="9"/>
        <v>1855769.206204596</v>
      </c>
      <c r="Q18" s="7">
        <f t="shared" si="9"/>
        <v>1874306.783209055</v>
      </c>
      <c r="R18" s="7">
        <f t="shared" si="9"/>
        <v>1914698.11791396</v>
      </c>
    </row>
    <row r="19" spans="2:18" x14ac:dyDescent="0.25">
      <c r="B19" s="7"/>
      <c r="C19" s="7"/>
      <c r="D19" s="7"/>
      <c r="E19" s="7"/>
      <c r="F19" s="7"/>
      <c r="G19" s="7"/>
      <c r="H19" s="7"/>
      <c r="I19" s="7"/>
      <c r="J19" s="7"/>
      <c r="K19" s="7"/>
      <c r="L19" s="7"/>
      <c r="M19" s="7"/>
      <c r="N19" s="7"/>
      <c r="O19" s="7"/>
      <c r="P19" s="7"/>
      <c r="Q19" s="7"/>
      <c r="R19" s="7"/>
    </row>
    <row r="20" spans="2:18" x14ac:dyDescent="0.25">
      <c r="B20" s="7"/>
      <c r="C20" s="7"/>
      <c r="D20" s="7"/>
      <c r="E20" s="7"/>
      <c r="F20" s="7"/>
      <c r="G20" s="7"/>
      <c r="H20" s="7"/>
      <c r="I20" s="7"/>
      <c r="J20" s="7"/>
      <c r="K20" s="7"/>
      <c r="L20" s="7"/>
      <c r="M20" s="7"/>
      <c r="N20" s="7"/>
      <c r="O20" s="7"/>
      <c r="P20" s="7"/>
      <c r="Q20" s="7"/>
      <c r="R20" s="7"/>
    </row>
    <row r="21" spans="2:18" x14ac:dyDescent="0.25">
      <c r="B21" s="7"/>
      <c r="C21" s="7"/>
      <c r="D21" s="7"/>
      <c r="E21" s="7"/>
      <c r="F21" s="7"/>
      <c r="G21" s="7"/>
      <c r="H21" s="7"/>
      <c r="I21" s="7"/>
      <c r="J21" s="7"/>
      <c r="K21" s="7"/>
      <c r="L21" s="7"/>
      <c r="M21" s="7"/>
      <c r="N21" s="7"/>
      <c r="O21" s="7"/>
      <c r="P21" s="7"/>
      <c r="Q21" s="7"/>
      <c r="R21" s="7"/>
    </row>
    <row r="22" spans="2:18" x14ac:dyDescent="0.25">
      <c r="B22" s="7"/>
      <c r="C22" s="7"/>
      <c r="D22" s="7"/>
      <c r="E22" s="7"/>
      <c r="F22" s="7"/>
      <c r="G22" s="7"/>
      <c r="H22" s="7"/>
      <c r="I22" s="7"/>
      <c r="J22" s="7"/>
      <c r="K22" s="7"/>
      <c r="L22" s="7"/>
      <c r="M22" s="7"/>
      <c r="N22" s="7"/>
      <c r="O22" s="7"/>
      <c r="P22" s="7"/>
      <c r="Q22" s="7"/>
      <c r="R22" s="7"/>
    </row>
    <row r="23" spans="2:18" x14ac:dyDescent="0.25">
      <c r="B23" s="7"/>
      <c r="C23" s="7"/>
      <c r="D23" s="7"/>
      <c r="E23" s="7"/>
      <c r="F23" s="7"/>
      <c r="G23" s="7"/>
      <c r="H23" s="7"/>
      <c r="I23" s="7"/>
      <c r="J23" s="7"/>
      <c r="K23" s="7"/>
      <c r="L23" s="7"/>
      <c r="M23" s="7"/>
      <c r="N23" s="7"/>
      <c r="O23" s="7"/>
      <c r="P23" s="7"/>
      <c r="Q23" s="7"/>
      <c r="R23" s="7"/>
    </row>
    <row r="24" spans="2:18" x14ac:dyDescent="0.25">
      <c r="B24" s="7"/>
      <c r="C24" s="7"/>
      <c r="D24" s="7"/>
      <c r="E24" s="7"/>
      <c r="F24" s="7"/>
      <c r="G24" s="7"/>
      <c r="H24" s="7"/>
      <c r="I24" s="7"/>
      <c r="J24" s="7"/>
      <c r="K24" s="7"/>
      <c r="L24" s="7"/>
      <c r="M24" s="7"/>
      <c r="N24" s="7"/>
      <c r="O24" s="7"/>
      <c r="P24" s="7"/>
      <c r="Q24" s="7"/>
      <c r="R24" s="7"/>
    </row>
    <row r="25" spans="2:18" x14ac:dyDescent="0.25">
      <c r="B25" s="7"/>
      <c r="C25" s="7"/>
      <c r="D25" s="7"/>
      <c r="E25" s="7"/>
      <c r="F25" s="7"/>
      <c r="G25" s="7"/>
      <c r="H25" s="7"/>
      <c r="I25" s="7"/>
      <c r="J25" s="7"/>
      <c r="K25" s="7"/>
      <c r="L25" s="7"/>
      <c r="M25" s="7"/>
      <c r="N25" s="7"/>
      <c r="O25" s="7"/>
      <c r="P25" s="7"/>
      <c r="Q25" s="7"/>
      <c r="R25" s="7"/>
    </row>
    <row r="26" spans="2:18" x14ac:dyDescent="0.25">
      <c r="B26" s="7"/>
      <c r="C26" s="7"/>
      <c r="D26" s="7"/>
      <c r="E26" s="7"/>
      <c r="F26" s="7"/>
      <c r="G26" s="7"/>
      <c r="H26" s="7"/>
      <c r="I26" s="7"/>
      <c r="J26" s="7"/>
      <c r="K26" s="7"/>
      <c r="L26" s="7"/>
      <c r="M26" s="7"/>
      <c r="N26" s="7"/>
      <c r="O26" s="7"/>
      <c r="P26" s="7"/>
      <c r="Q26" s="7"/>
      <c r="R26" s="7"/>
    </row>
    <row r="27" spans="2:18" x14ac:dyDescent="0.25">
      <c r="B27" s="7"/>
      <c r="C27" s="7"/>
      <c r="D27" s="7"/>
      <c r="E27" s="7"/>
      <c r="F27" s="7"/>
      <c r="G27" s="7"/>
      <c r="H27" s="7"/>
      <c r="I27" s="7"/>
      <c r="J27" s="7"/>
      <c r="K27" s="7"/>
      <c r="L27" s="7"/>
      <c r="M27" s="7"/>
      <c r="N27" s="7"/>
      <c r="O27" s="7"/>
      <c r="P27" s="7"/>
      <c r="Q27" s="7"/>
      <c r="R27" s="7"/>
    </row>
    <row r="28" spans="2:18" x14ac:dyDescent="0.25">
      <c r="B28" s="7"/>
      <c r="C28" s="7"/>
      <c r="D28" s="7"/>
      <c r="E28" s="7"/>
      <c r="F28" s="7"/>
      <c r="G28" s="7"/>
      <c r="H28" s="7"/>
      <c r="I28" s="7"/>
      <c r="J28" s="7"/>
      <c r="K28" s="7"/>
      <c r="L28" s="7"/>
      <c r="M28" s="7"/>
      <c r="N28" s="7"/>
      <c r="O28" s="7"/>
      <c r="P28" s="7"/>
      <c r="Q28" s="7"/>
      <c r="R28" s="7"/>
    </row>
    <row r="29" spans="2:18" x14ac:dyDescent="0.25">
      <c r="B29" s="7"/>
      <c r="C29" s="7"/>
      <c r="D29" s="7"/>
      <c r="E29" s="7"/>
      <c r="F29" s="7"/>
      <c r="G29" s="7"/>
      <c r="H29" s="7"/>
      <c r="I29" s="7"/>
      <c r="J29" s="7"/>
      <c r="K29" s="7"/>
      <c r="L29" s="7"/>
      <c r="M29" s="7"/>
      <c r="N29" s="7"/>
      <c r="O29" s="7"/>
      <c r="P29" s="7"/>
      <c r="Q29" s="7"/>
      <c r="R29" s="7"/>
    </row>
    <row r="30" spans="2:18" x14ac:dyDescent="0.25">
      <c r="B30" s="7"/>
      <c r="C30" s="7"/>
      <c r="D30" s="7"/>
      <c r="E30" s="7"/>
      <c r="F30" s="7"/>
      <c r="G30" s="7"/>
      <c r="H30" s="7"/>
      <c r="I30" s="7"/>
      <c r="J30" s="7"/>
      <c r="K30" s="7"/>
      <c r="L30" s="7"/>
      <c r="M30" s="7"/>
      <c r="N30" s="7"/>
      <c r="O30" s="7"/>
      <c r="P30" s="7"/>
      <c r="Q30" s="7"/>
      <c r="R30" s="7"/>
    </row>
    <row r="31" spans="2:18" x14ac:dyDescent="0.25">
      <c r="B31" s="7"/>
      <c r="C31" s="7"/>
      <c r="D31" s="7"/>
      <c r="E31" s="7"/>
      <c r="F31" s="7"/>
      <c r="G31" s="7"/>
      <c r="H31" s="7"/>
      <c r="I31" s="7"/>
      <c r="J31" s="7"/>
      <c r="K31" s="7"/>
      <c r="L31" s="7"/>
      <c r="M31" s="7"/>
      <c r="N31" s="7"/>
      <c r="O31" s="7"/>
      <c r="P31" s="7"/>
      <c r="Q31" s="7"/>
      <c r="R31" s="7"/>
    </row>
    <row r="32" spans="2:18" x14ac:dyDescent="0.25">
      <c r="B32" s="7"/>
      <c r="C32" s="7"/>
      <c r="D32" s="7"/>
      <c r="E32" s="7"/>
      <c r="F32" s="7"/>
      <c r="G32" s="7"/>
      <c r="H32" s="7"/>
      <c r="I32" s="7"/>
      <c r="J32" s="7"/>
      <c r="K32" s="7"/>
      <c r="L32" s="7"/>
      <c r="M32" s="7"/>
      <c r="N32" s="7"/>
      <c r="O32" s="7"/>
      <c r="P32" s="7"/>
      <c r="Q32" s="7"/>
      <c r="R32" s="7"/>
    </row>
    <row r="33" spans="2:18" x14ac:dyDescent="0.25">
      <c r="B33" s="7"/>
      <c r="C33" s="7"/>
      <c r="D33" s="7"/>
      <c r="E33" s="7"/>
      <c r="F33" s="7"/>
      <c r="G33" s="7"/>
      <c r="H33" s="7"/>
      <c r="I33" s="7"/>
      <c r="J33" s="7"/>
      <c r="K33" s="7"/>
      <c r="L33" s="7"/>
      <c r="M33" s="7"/>
      <c r="N33" s="7"/>
      <c r="O33" s="7"/>
      <c r="P33" s="7"/>
      <c r="Q33" s="7"/>
      <c r="R33" s="7"/>
    </row>
    <row r="34" spans="2:18" x14ac:dyDescent="0.25">
      <c r="B34" s="7"/>
      <c r="C34" s="7"/>
      <c r="D34" s="7"/>
      <c r="E34" s="7"/>
      <c r="F34" s="7"/>
      <c r="G34" s="7"/>
      <c r="H34" s="7"/>
      <c r="I34" s="7"/>
      <c r="J34" s="7"/>
      <c r="K34" s="7"/>
      <c r="L34" s="7"/>
      <c r="M34" s="7"/>
      <c r="N34" s="7"/>
      <c r="O34" s="7"/>
      <c r="P34" s="7"/>
      <c r="Q34" s="7"/>
      <c r="R34" s="7"/>
    </row>
    <row r="35" spans="2:18" x14ac:dyDescent="0.25">
      <c r="B35" s="7"/>
      <c r="C35" s="7"/>
      <c r="D35" s="7"/>
      <c r="E35" s="7"/>
      <c r="F35" s="7"/>
      <c r="G35" s="7"/>
      <c r="H35" s="7"/>
      <c r="I35" s="7"/>
      <c r="J35" s="7"/>
      <c r="K35" s="7"/>
      <c r="L35" s="7"/>
      <c r="M35" s="7"/>
      <c r="N35" s="7"/>
      <c r="O35" s="7"/>
      <c r="P35" s="7"/>
      <c r="Q35" s="7"/>
      <c r="R35" s="7"/>
    </row>
    <row r="36" spans="2:18" x14ac:dyDescent="0.25">
      <c r="B36" s="7"/>
      <c r="C36" s="7"/>
      <c r="D36" s="7"/>
      <c r="E36" s="7"/>
      <c r="F36" s="7"/>
      <c r="G36" s="7"/>
      <c r="H36" s="7"/>
      <c r="I36" s="7"/>
      <c r="J36" s="7"/>
      <c r="K36" s="7"/>
      <c r="L36" s="7"/>
      <c r="M36" s="7"/>
      <c r="N36" s="7"/>
      <c r="O36" s="7"/>
      <c r="P36" s="7"/>
      <c r="Q36" s="7"/>
      <c r="R36" s="7"/>
    </row>
    <row r="37" spans="2:18" x14ac:dyDescent="0.25">
      <c r="B37" s="7"/>
      <c r="C37" s="7"/>
      <c r="D37" s="7"/>
      <c r="E37" s="7"/>
      <c r="F37" s="7"/>
      <c r="G37" s="7"/>
      <c r="H37" s="7"/>
      <c r="I37" s="7"/>
      <c r="J37" s="7"/>
      <c r="K37" s="7"/>
      <c r="L37" s="7"/>
      <c r="M37" s="7"/>
      <c r="N37" s="7"/>
      <c r="O37" s="7"/>
      <c r="P37" s="7"/>
      <c r="Q37" s="7"/>
      <c r="R37" s="7"/>
    </row>
    <row r="38" spans="2:18" x14ac:dyDescent="0.25">
      <c r="B38" s="7"/>
      <c r="C38" s="7"/>
      <c r="D38" s="7"/>
      <c r="E38" s="7"/>
      <c r="F38" s="7"/>
      <c r="G38" s="7"/>
      <c r="H38" s="7"/>
      <c r="I38" s="7"/>
      <c r="J38" s="7"/>
      <c r="K38" s="7"/>
      <c r="L38" s="7"/>
      <c r="M38" s="7"/>
      <c r="N38" s="7"/>
      <c r="O38" s="7"/>
      <c r="P38" s="7"/>
      <c r="Q38" s="7"/>
      <c r="R38" s="7"/>
    </row>
    <row r="39" spans="2:18" x14ac:dyDescent="0.25">
      <c r="B39" s="7"/>
      <c r="C39" s="7"/>
      <c r="D39" s="7"/>
      <c r="E39" s="7"/>
      <c r="F39" s="7"/>
      <c r="G39" s="7"/>
      <c r="H39" s="7"/>
      <c r="I39" s="7"/>
      <c r="J39" s="7"/>
      <c r="K39" s="7"/>
      <c r="L39" s="7"/>
      <c r="M39" s="7"/>
      <c r="N39" s="7"/>
      <c r="O39" s="7"/>
      <c r="P39" s="7"/>
      <c r="Q39" s="7"/>
      <c r="R39" s="7"/>
    </row>
    <row r="40" spans="2:18" x14ac:dyDescent="0.25">
      <c r="B40" s="7"/>
      <c r="C40" s="204"/>
      <c r="D40" s="16"/>
      <c r="E40" s="16"/>
      <c r="F40" s="16"/>
      <c r="G40" s="16"/>
      <c r="H40" s="16"/>
      <c r="I40" s="16"/>
      <c r="J40" s="16"/>
      <c r="K40" s="16"/>
      <c r="L40" s="16"/>
      <c r="M40" s="16"/>
      <c r="N40" s="16"/>
      <c r="O40" s="16"/>
      <c r="P40" s="16"/>
      <c r="Q40" s="16"/>
      <c r="R40" s="16"/>
    </row>
    <row r="41" spans="2:18" x14ac:dyDescent="0.25">
      <c r="B41" s="7"/>
      <c r="D41" s="4" t="s">
        <v>266</v>
      </c>
      <c r="E41" s="4" t="s">
        <v>267</v>
      </c>
      <c r="F41" s="4" t="s">
        <v>268</v>
      </c>
      <c r="G41" s="4" t="s">
        <v>269</v>
      </c>
      <c r="H41" s="4" t="s">
        <v>300</v>
      </c>
      <c r="I41" s="4" t="s">
        <v>643</v>
      </c>
      <c r="J41" s="4" t="s">
        <v>644</v>
      </c>
      <c r="K41" s="4" t="s">
        <v>645</v>
      </c>
      <c r="L41" s="4" t="s">
        <v>646</v>
      </c>
      <c r="M41" s="4" t="s">
        <v>637</v>
      </c>
      <c r="N41" s="4" t="s">
        <v>638</v>
      </c>
      <c r="O41" s="4" t="s">
        <v>639</v>
      </c>
      <c r="P41" s="4" t="s">
        <v>640</v>
      </c>
      <c r="Q41" s="4" t="s">
        <v>641</v>
      </c>
      <c r="R41" s="4" t="s">
        <v>642</v>
      </c>
    </row>
    <row r="42" spans="2:18" x14ac:dyDescent="0.25">
      <c r="B42" s="7" t="s">
        <v>634</v>
      </c>
      <c r="D42" s="47" t="s">
        <v>636</v>
      </c>
      <c r="E42" s="47">
        <f t="shared" ref="E42:R42" si="10">+(E12/D12)-1</f>
        <v>-0.11229746890315739</v>
      </c>
      <c r="F42" s="47">
        <f t="shared" si="10"/>
        <v>0.79415563225892449</v>
      </c>
      <c r="G42" s="47">
        <f t="shared" si="10"/>
        <v>-0.16858686825474489</v>
      </c>
      <c r="H42" s="47">
        <f t="shared" si="10"/>
        <v>1.0229351614704729E-2</v>
      </c>
      <c r="I42" s="47">
        <f t="shared" si="10"/>
        <v>-0.28981513604599296</v>
      </c>
      <c r="J42" s="47">
        <f t="shared" si="10"/>
        <v>0.75635527191468999</v>
      </c>
      <c r="K42" s="47">
        <f t="shared" si="10"/>
        <v>0.21571323825481814</v>
      </c>
      <c r="L42" s="47">
        <f t="shared" si="10"/>
        <v>-3.5521845257071694E-2</v>
      </c>
      <c r="M42" s="47">
        <f t="shared" si="10"/>
        <v>7.7019516010541356E-3</v>
      </c>
      <c r="N42" s="47">
        <f t="shared" si="10"/>
        <v>-1.7460474335112108E-2</v>
      </c>
      <c r="O42" s="47">
        <f t="shared" si="10"/>
        <v>-4.5875395696830745E-2</v>
      </c>
      <c r="P42" s="47">
        <f t="shared" si="10"/>
        <v>-2.5295832140596275E-2</v>
      </c>
      <c r="Q42" s="47">
        <f t="shared" si="10"/>
        <v>5.0719139059563156E-2</v>
      </c>
      <c r="R42" s="47">
        <f t="shared" si="10"/>
        <v>9.9891607978408459E-3</v>
      </c>
    </row>
    <row r="43" spans="2:18" x14ac:dyDescent="0.25">
      <c r="B43" s="384" t="s">
        <v>444</v>
      </c>
      <c r="C43" s="385"/>
      <c r="D43" s="178" t="s">
        <v>636</v>
      </c>
      <c r="E43" s="178" t="s">
        <v>636</v>
      </c>
      <c r="F43" s="178" t="s">
        <v>636</v>
      </c>
      <c r="G43" s="178" t="s">
        <v>636</v>
      </c>
      <c r="H43" s="178" t="s">
        <v>636</v>
      </c>
      <c r="I43" s="178" t="s">
        <v>636</v>
      </c>
      <c r="J43" s="178" t="s">
        <v>636</v>
      </c>
      <c r="K43" s="178" t="s">
        <v>636</v>
      </c>
      <c r="L43" s="178" t="s">
        <v>636</v>
      </c>
      <c r="M43" s="178" t="s">
        <v>636</v>
      </c>
      <c r="N43" s="178" t="s">
        <v>636</v>
      </c>
      <c r="O43" s="178" t="s">
        <v>636</v>
      </c>
      <c r="P43" s="178" t="s">
        <v>636</v>
      </c>
      <c r="Q43" s="178" t="s">
        <v>636</v>
      </c>
      <c r="R43" s="178" t="s">
        <v>636</v>
      </c>
    </row>
    <row r="44" spans="2:18" x14ac:dyDescent="0.25">
      <c r="B44" s="384" t="s">
        <v>445</v>
      </c>
      <c r="C44" s="385"/>
      <c r="D44" s="178" t="s">
        <v>636</v>
      </c>
      <c r="E44" s="178" t="s">
        <v>636</v>
      </c>
      <c r="F44" s="178" t="s">
        <v>636</v>
      </c>
      <c r="G44" s="178" t="s">
        <v>636</v>
      </c>
      <c r="H44" s="178" t="s">
        <v>636</v>
      </c>
      <c r="I44" s="178" t="s">
        <v>636</v>
      </c>
      <c r="J44" s="178" t="s">
        <v>636</v>
      </c>
      <c r="K44" s="178" t="s">
        <v>636</v>
      </c>
      <c r="L44" s="178" t="s">
        <v>636</v>
      </c>
      <c r="M44" s="178" t="s">
        <v>636</v>
      </c>
      <c r="N44" s="178" t="s">
        <v>636</v>
      </c>
      <c r="O44" s="178" t="s">
        <v>636</v>
      </c>
      <c r="P44" s="178" t="s">
        <v>636</v>
      </c>
      <c r="Q44" s="178" t="s">
        <v>636</v>
      </c>
      <c r="R44" s="178" t="s">
        <v>636</v>
      </c>
    </row>
    <row r="45" spans="2:18" x14ac:dyDescent="0.25">
      <c r="B45" s="384" t="s">
        <v>446</v>
      </c>
      <c r="C45" s="385"/>
      <c r="D45" s="178">
        <f t="shared" ref="D45:R45" si="11">+(D15/C15)-1</f>
        <v>0.16356255844691847</v>
      </c>
      <c r="E45" s="178">
        <f t="shared" si="11"/>
        <v>-3.7297785121295224E-2</v>
      </c>
      <c r="F45" s="178">
        <f t="shared" si="11"/>
        <v>0.11385916964377318</v>
      </c>
      <c r="G45" s="178">
        <f t="shared" si="11"/>
        <v>0.11369736252601248</v>
      </c>
      <c r="H45" s="178">
        <f t="shared" si="11"/>
        <v>0.15371774675634731</v>
      </c>
      <c r="I45" s="178">
        <f t="shared" si="11"/>
        <v>9.9999974907696298E-2</v>
      </c>
      <c r="J45" s="178">
        <f t="shared" si="11"/>
        <v>0.10000000000000009</v>
      </c>
      <c r="K45" s="178">
        <f t="shared" si="11"/>
        <v>0.10000000000000009</v>
      </c>
      <c r="L45" s="178">
        <f t="shared" si="11"/>
        <v>0.10000000000000009</v>
      </c>
      <c r="M45" s="178">
        <f t="shared" si="11"/>
        <v>0.10000000000000009</v>
      </c>
      <c r="N45" s="178">
        <f t="shared" si="11"/>
        <v>0.10000000000000009</v>
      </c>
      <c r="O45" s="178">
        <f t="shared" si="11"/>
        <v>0.10000000000000009</v>
      </c>
      <c r="P45" s="178">
        <f t="shared" si="11"/>
        <v>0.10000000000000009</v>
      </c>
      <c r="Q45" s="178">
        <f t="shared" si="11"/>
        <v>0.10000000000000009</v>
      </c>
      <c r="R45" s="178">
        <f t="shared" si="11"/>
        <v>0.10000000000000009</v>
      </c>
    </row>
    <row r="46" spans="2:18" x14ac:dyDescent="0.25">
      <c r="B46" s="384" t="s">
        <v>447</v>
      </c>
      <c r="C46" s="385"/>
      <c r="D46" s="178" t="s">
        <v>636</v>
      </c>
      <c r="E46" s="178">
        <f t="shared" ref="E46:R46" si="12">+(E16/D16)-1</f>
        <v>-0.60370370370370363</v>
      </c>
      <c r="F46" s="178">
        <f t="shared" si="12"/>
        <v>1.3177570093457942</v>
      </c>
      <c r="G46" s="178">
        <f t="shared" si="12"/>
        <v>9.2487266553480385E-2</v>
      </c>
      <c r="H46" s="178">
        <f t="shared" si="12"/>
        <v>-0.44345157154512604</v>
      </c>
      <c r="I46" s="178">
        <f t="shared" si="12"/>
        <v>0.88511660621291477</v>
      </c>
      <c r="J46" s="178">
        <f t="shared" si="12"/>
        <v>9.9999999999999867E-2</v>
      </c>
      <c r="K46" s="178">
        <f t="shared" si="12"/>
        <v>0.10000000000000009</v>
      </c>
      <c r="L46" s="178">
        <f t="shared" si="12"/>
        <v>0.10000000000000031</v>
      </c>
      <c r="M46" s="178">
        <f t="shared" si="12"/>
        <v>0.10000000000000009</v>
      </c>
      <c r="N46" s="178">
        <f t="shared" si="12"/>
        <v>0.10000000000000009</v>
      </c>
      <c r="O46" s="178">
        <f t="shared" si="12"/>
        <v>0.10000000000000009</v>
      </c>
      <c r="P46" s="178">
        <f t="shared" si="12"/>
        <v>0.10000000000000009</v>
      </c>
      <c r="Q46" s="178">
        <f t="shared" si="12"/>
        <v>0.10000000000000031</v>
      </c>
      <c r="R46" s="178">
        <f t="shared" si="12"/>
        <v>0.10000000000000009</v>
      </c>
    </row>
    <row r="47" spans="2:18" x14ac:dyDescent="0.25">
      <c r="B47" s="384" t="s">
        <v>448</v>
      </c>
      <c r="C47" s="385"/>
      <c r="D47" s="178" t="s">
        <v>636</v>
      </c>
      <c r="E47" s="178">
        <f>+(E17/D17)-1</f>
        <v>5.6226405542618281</v>
      </c>
      <c r="F47" s="178">
        <f>+(F17/E17)-1</f>
        <v>-1</v>
      </c>
      <c r="G47" s="178" t="s">
        <v>636</v>
      </c>
      <c r="H47" s="178">
        <f t="shared" ref="H47:R47" si="13">+(H17/G17)-1</f>
        <v>-0.65041639344262303</v>
      </c>
      <c r="I47" s="178">
        <f t="shared" si="13"/>
        <v>9.0263133456508768</v>
      </c>
      <c r="J47" s="178">
        <f t="shared" si="13"/>
        <v>-0.29478811314134989</v>
      </c>
      <c r="K47" s="178">
        <f t="shared" si="13"/>
        <v>-0.50859265790231678</v>
      </c>
      <c r="L47" s="178">
        <f t="shared" si="13"/>
        <v>0.34963573331557818</v>
      </c>
      <c r="M47" s="178">
        <f>+(M17/L17)-1</f>
        <v>0</v>
      </c>
      <c r="N47" s="178">
        <f t="shared" si="13"/>
        <v>0</v>
      </c>
      <c r="O47" s="178">
        <f t="shared" si="13"/>
        <v>0.19999999999999996</v>
      </c>
      <c r="P47" s="178">
        <f t="shared" si="13"/>
        <v>0.33333333333333326</v>
      </c>
      <c r="Q47" s="178">
        <f t="shared" si="13"/>
        <v>0</v>
      </c>
      <c r="R47" s="178">
        <f t="shared" si="13"/>
        <v>0.125</v>
      </c>
    </row>
    <row r="48" spans="2:18" x14ac:dyDescent="0.25">
      <c r="B48" s="7" t="s">
        <v>635</v>
      </c>
      <c r="C48" s="179">
        <f>+(C18/946688)-1</f>
        <v>3.5615746687398531E-2</v>
      </c>
      <c r="D48" s="179">
        <f>+(D18/C18)-1</f>
        <v>-0.11229746890315739</v>
      </c>
      <c r="E48" s="179">
        <f>+(E18/D18)-1</f>
        <v>0.79415563225892449</v>
      </c>
      <c r="F48" s="179">
        <f>+(F18/E18)-1</f>
        <v>-0.16858686825474489</v>
      </c>
      <c r="G48" s="179">
        <f>+(G18/F18)-1</f>
        <v>1.0229351614704729E-2</v>
      </c>
      <c r="H48" s="179">
        <f t="shared" ref="H48:R48" si="14">+(H18/G18)-1</f>
        <v>-0.28981513604599296</v>
      </c>
      <c r="I48" s="179">
        <f t="shared" si="14"/>
        <v>0.75635527191468999</v>
      </c>
      <c r="J48" s="179">
        <f t="shared" si="14"/>
        <v>0.21571323825481814</v>
      </c>
      <c r="K48" s="179">
        <f t="shared" si="14"/>
        <v>-3.5521845257071694E-2</v>
      </c>
      <c r="L48" s="179">
        <f t="shared" si="14"/>
        <v>7.7019516010541356E-3</v>
      </c>
      <c r="M48" s="179">
        <f t="shared" si="14"/>
        <v>-1.7460474335112108E-2</v>
      </c>
      <c r="N48" s="179">
        <f t="shared" si="14"/>
        <v>-4.5875395696830745E-2</v>
      </c>
      <c r="O48" s="179">
        <f t="shared" si="14"/>
        <v>-2.5295832140596275E-2</v>
      </c>
      <c r="P48" s="179">
        <f t="shared" si="14"/>
        <v>5.0719139059563156E-2</v>
      </c>
      <c r="Q48" s="179">
        <f t="shared" si="14"/>
        <v>9.9891607978408459E-3</v>
      </c>
      <c r="R48" s="179">
        <f t="shared" si="14"/>
        <v>2.155001255224076E-2</v>
      </c>
    </row>
    <row r="49" spans="2:18" x14ac:dyDescent="0.25">
      <c r="B49" s="7"/>
      <c r="C49" s="179"/>
      <c r="D49" s="179"/>
      <c r="E49" s="179"/>
      <c r="F49" s="179"/>
      <c r="G49" s="179"/>
      <c r="H49" s="179"/>
      <c r="I49" s="179"/>
      <c r="J49" s="179"/>
      <c r="K49" s="179"/>
      <c r="L49" s="179"/>
      <c r="M49" s="179"/>
      <c r="N49" s="179"/>
      <c r="O49" s="179"/>
      <c r="P49" s="179"/>
      <c r="Q49" s="179"/>
      <c r="R49" s="179"/>
    </row>
    <row r="50" spans="2:18" x14ac:dyDescent="0.25">
      <c r="E50" s="72"/>
      <c r="F50" s="72"/>
      <c r="J50" s="206"/>
      <c r="K50" s="202"/>
      <c r="O50" s="99"/>
    </row>
    <row r="51" spans="2:18" x14ac:dyDescent="0.25">
      <c r="C51" s="4">
        <v>2008</v>
      </c>
      <c r="D51" s="4">
        <v>2009</v>
      </c>
      <c r="E51" s="4">
        <v>2010</v>
      </c>
      <c r="F51" s="4">
        <v>2011</v>
      </c>
      <c r="G51" s="4">
        <v>2012</v>
      </c>
      <c r="H51" s="4">
        <v>2013</v>
      </c>
      <c r="I51" s="4"/>
      <c r="J51" s="4"/>
      <c r="K51" s="203"/>
      <c r="L51" s="4"/>
      <c r="M51" s="4"/>
      <c r="N51" s="4"/>
    </row>
    <row r="52" spans="2:18" x14ac:dyDescent="0.25">
      <c r="B52" s="21" t="s">
        <v>449</v>
      </c>
      <c r="C52" s="97">
        <v>980405</v>
      </c>
      <c r="D52" s="97">
        <v>870308</v>
      </c>
      <c r="E52" s="97">
        <v>1561468</v>
      </c>
      <c r="F52" s="97">
        <v>1298225</v>
      </c>
      <c r="G52" s="97">
        <v>1311505</v>
      </c>
      <c r="H52" s="97">
        <f>+H18</f>
        <v>931411</v>
      </c>
      <c r="I52" s="176"/>
      <c r="J52" s="10"/>
      <c r="K52" s="77"/>
      <c r="L52" s="77"/>
      <c r="M52" s="77"/>
      <c r="N52" s="77"/>
    </row>
    <row r="53" spans="2:18" x14ac:dyDescent="0.25">
      <c r="B53" s="21" t="s">
        <v>450</v>
      </c>
      <c r="C53" s="97">
        <f>+C52-946688</f>
        <v>33717</v>
      </c>
      <c r="D53" s="97">
        <f t="shared" ref="D53:H53" si="15">+D52-946688</f>
        <v>-76380</v>
      </c>
      <c r="E53" s="97">
        <f t="shared" si="15"/>
        <v>614780</v>
      </c>
      <c r="F53" s="97">
        <f t="shared" si="15"/>
        <v>351537</v>
      </c>
      <c r="G53" s="97">
        <f t="shared" si="15"/>
        <v>364817</v>
      </c>
      <c r="H53" s="97">
        <f t="shared" si="15"/>
        <v>-15277</v>
      </c>
      <c r="I53" s="176"/>
      <c r="J53" s="176"/>
      <c r="K53" s="176"/>
    </row>
    <row r="54" spans="2:18" x14ac:dyDescent="0.25">
      <c r="B54" s="21" t="s">
        <v>451</v>
      </c>
      <c r="C54" s="37">
        <f>+(C52/946688)-1</f>
        <v>3.5615746687398531E-2</v>
      </c>
      <c r="D54" s="37">
        <f>+(D52/C52)-1</f>
        <v>-0.11229746890315739</v>
      </c>
      <c r="E54" s="37">
        <f t="shared" ref="E54:H54" si="16">+(E52/D52)-1</f>
        <v>0.79415563225892449</v>
      </c>
      <c r="F54" s="37">
        <f t="shared" si="16"/>
        <v>-0.16858686825474489</v>
      </c>
      <c r="G54" s="37">
        <f t="shared" si="16"/>
        <v>1.0229351614704729E-2</v>
      </c>
      <c r="H54" s="37">
        <f t="shared" si="16"/>
        <v>-0.28981513604599296</v>
      </c>
      <c r="I54" s="10"/>
      <c r="J54" s="19"/>
      <c r="K54" s="19"/>
    </row>
    <row r="55" spans="2:18" x14ac:dyDescent="0.25">
      <c r="B55" s="9"/>
      <c r="C55" s="19"/>
      <c r="D55" s="19"/>
      <c r="E55" s="19"/>
      <c r="F55" s="19"/>
      <c r="G55" s="19"/>
      <c r="H55" s="19"/>
      <c r="I55" s="10"/>
      <c r="J55" s="19"/>
      <c r="K55" s="19"/>
    </row>
    <row r="57" spans="2:18" x14ac:dyDescent="0.25">
      <c r="B57" s="7" t="s">
        <v>453</v>
      </c>
    </row>
    <row r="58" spans="2:18" x14ac:dyDescent="0.25">
      <c r="C58" s="4">
        <v>2014</v>
      </c>
      <c r="D58" s="4">
        <v>2015</v>
      </c>
      <c r="E58" s="4">
        <v>2016</v>
      </c>
      <c r="F58" s="4">
        <v>2017</v>
      </c>
      <c r="G58" s="4">
        <v>2018</v>
      </c>
      <c r="H58" s="4">
        <v>2019</v>
      </c>
      <c r="I58" s="4">
        <v>2020</v>
      </c>
      <c r="J58" s="4">
        <v>2021</v>
      </c>
      <c r="K58" s="4">
        <v>2022</v>
      </c>
      <c r="L58" s="4">
        <v>2023</v>
      </c>
      <c r="M58" s="4"/>
    </row>
    <row r="59" spans="2:18" x14ac:dyDescent="0.25">
      <c r="B59" s="21" t="s">
        <v>454</v>
      </c>
      <c r="C59" s="97">
        <f>+'PROCESOS LICITATORIOS'!F18</f>
        <v>1896413.1863000002</v>
      </c>
      <c r="D59" s="97">
        <f>+'PROCESOS LICITATORIOS'!F29</f>
        <v>3695219.04</v>
      </c>
      <c r="E59" s="97">
        <v>1200000</v>
      </c>
    </row>
    <row r="60" spans="2:18" x14ac:dyDescent="0.25">
      <c r="B60" s="21" t="s">
        <v>455</v>
      </c>
      <c r="C60" s="98">
        <v>0.4</v>
      </c>
      <c r="D60" s="98">
        <v>0.12</v>
      </c>
      <c r="E60" s="98">
        <v>0.05</v>
      </c>
    </row>
    <row r="61" spans="2:18" x14ac:dyDescent="0.25">
      <c r="B61" s="21" t="s">
        <v>456</v>
      </c>
      <c r="C61" s="97">
        <f>+(C59*C60)+H18/3</f>
        <v>1069035.6078533335</v>
      </c>
      <c r="D61" s="97">
        <f>+(D59*D60)+H18/3</f>
        <v>753896.61813333328</v>
      </c>
      <c r="E61" s="97">
        <f>+(E59*E60)+H18/3</f>
        <v>370470.33333333331</v>
      </c>
      <c r="F61" s="97">
        <v>500000</v>
      </c>
      <c r="G61" s="97">
        <f>+F61</f>
        <v>500000</v>
      </c>
      <c r="H61" s="97">
        <f>+F61</f>
        <v>500000</v>
      </c>
      <c r="I61" s="97">
        <v>600000</v>
      </c>
      <c r="J61" s="97">
        <v>800000</v>
      </c>
      <c r="K61" s="97">
        <v>800000</v>
      </c>
      <c r="L61" s="97">
        <v>900000</v>
      </c>
    </row>
    <row r="62" spans="2:18" x14ac:dyDescent="0.25">
      <c r="D62" s="73"/>
    </row>
    <row r="64" spans="2:18" x14ac:dyDescent="0.25">
      <c r="B64" s="66"/>
      <c r="C64" s="212"/>
      <c r="D64" s="212"/>
      <c r="E64" s="212"/>
      <c r="F64" s="212"/>
      <c r="G64" s="212"/>
      <c r="H64" s="212"/>
      <c r="I64" s="212"/>
      <c r="J64" s="212"/>
      <c r="K64" s="212"/>
      <c r="L64" s="212"/>
    </row>
    <row r="65" spans="2:12" x14ac:dyDescent="0.25">
      <c r="B65" s="66"/>
      <c r="C65" s="66"/>
      <c r="D65" s="19"/>
      <c r="E65" s="19"/>
      <c r="F65" s="19"/>
      <c r="G65" s="19"/>
      <c r="H65" s="19"/>
      <c r="I65" s="19"/>
      <c r="J65" s="19"/>
      <c r="K65" s="19"/>
      <c r="L65" s="19"/>
    </row>
  </sheetData>
  <mergeCells count="6">
    <mergeCell ref="B8:R8"/>
    <mergeCell ref="B46:C46"/>
    <mergeCell ref="B47:C47"/>
    <mergeCell ref="B43:C43"/>
    <mergeCell ref="B44:C44"/>
    <mergeCell ref="B45:C45"/>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D7:T66"/>
  <sheetViews>
    <sheetView showGridLines="0" zoomScaleNormal="100" workbookViewId="0">
      <selection activeCell="E33" sqref="E33"/>
    </sheetView>
  </sheetViews>
  <sheetFormatPr baseColWidth="10" defaultRowHeight="15" x14ac:dyDescent="0.25"/>
  <cols>
    <col min="4" max="4" width="27.140625" customWidth="1"/>
    <col min="5" max="5" width="9.140625" customWidth="1"/>
    <col min="6" max="6" width="10.140625" bestFit="1" customWidth="1"/>
    <col min="7" max="14" width="7.140625" bestFit="1" customWidth="1"/>
    <col min="16" max="16" width="11.5703125" customWidth="1"/>
    <col min="17" max="17" width="12" customWidth="1"/>
  </cols>
  <sheetData>
    <row r="7" spans="4:14" ht="15.75" thickBot="1" x14ac:dyDescent="0.3"/>
    <row r="8" spans="4:14" ht="19.5" thickBot="1" x14ac:dyDescent="0.3">
      <c r="D8" s="380" t="s">
        <v>607</v>
      </c>
      <c r="E8" s="381"/>
      <c r="F8" s="381"/>
      <c r="G8" s="381"/>
      <c r="H8" s="381"/>
      <c r="I8" s="381"/>
      <c r="J8" s="381"/>
      <c r="K8" s="381"/>
      <c r="L8" s="381"/>
      <c r="M8" s="381"/>
      <c r="N8" s="382"/>
    </row>
    <row r="10" spans="4:14" x14ac:dyDescent="0.25">
      <c r="E10" s="4" t="str">
        <f>+'BGPR2008-2023'!K11</f>
        <v>2014E</v>
      </c>
      <c r="F10" s="4" t="str">
        <f>+'BGPR2008-2023'!L11</f>
        <v>2015E</v>
      </c>
      <c r="G10" s="4" t="str">
        <f>+'BGPR2008-2023'!M11</f>
        <v>2016E</v>
      </c>
      <c r="H10" s="4" t="str">
        <f>+'BGPR2008-2023'!N11</f>
        <v>2017E</v>
      </c>
      <c r="I10" s="4" t="str">
        <f>+'BGPR2008-2023'!O11</f>
        <v>2018E</v>
      </c>
      <c r="J10" s="4" t="str">
        <f>+'BGPR2008-2023'!P11</f>
        <v>2019E</v>
      </c>
      <c r="K10" s="4" t="str">
        <f>+'BGPR2008-2023'!Q11</f>
        <v>2020E</v>
      </c>
      <c r="L10" s="4" t="str">
        <f>+'BGPR2008-2023'!R11</f>
        <v>2021E</v>
      </c>
      <c r="M10" s="4" t="str">
        <f>+'BGPR2008-2023'!S11</f>
        <v>2022E</v>
      </c>
      <c r="N10" s="4" t="str">
        <f>+'BGPR2008-2023'!T11</f>
        <v>2023E</v>
      </c>
    </row>
    <row r="12" spans="4:14" x14ac:dyDescent="0.25">
      <c r="D12" s="21" t="s">
        <v>697</v>
      </c>
      <c r="E12" s="37">
        <v>1.4999999999999999E-2</v>
      </c>
      <c r="F12" s="37">
        <v>1.4999999999999999E-2</v>
      </c>
      <c r="G12" s="37">
        <v>1.4999999999999999E-2</v>
      </c>
      <c r="H12" s="37">
        <v>1.4999999999999999E-2</v>
      </c>
      <c r="I12" s="37">
        <v>1.4999999999999999E-2</v>
      </c>
      <c r="J12" s="37">
        <v>1.4999999999999999E-2</v>
      </c>
      <c r="K12" s="37">
        <v>1.4999999999999999E-2</v>
      </c>
      <c r="L12" s="37">
        <v>1.4999999999999999E-2</v>
      </c>
      <c r="M12" s="37">
        <v>1.4999999999999999E-2</v>
      </c>
      <c r="N12" s="37">
        <v>1.4999999999999999E-2</v>
      </c>
    </row>
    <row r="13" spans="4:14" x14ac:dyDescent="0.25">
      <c r="D13" s="21" t="s">
        <v>604</v>
      </c>
      <c r="E13" s="37">
        <v>0.03</v>
      </c>
      <c r="F13" s="37">
        <v>0.03</v>
      </c>
      <c r="G13" s="37">
        <v>0.03</v>
      </c>
      <c r="H13" s="37">
        <v>0.03</v>
      </c>
      <c r="I13" s="37">
        <v>0.03</v>
      </c>
      <c r="J13" s="37">
        <v>0.03</v>
      </c>
      <c r="K13" s="37">
        <v>0.03</v>
      </c>
      <c r="L13" s="37">
        <v>0.03</v>
      </c>
      <c r="M13" s="37">
        <v>0.03</v>
      </c>
      <c r="N13" s="37">
        <v>0.03</v>
      </c>
    </row>
    <row r="14" spans="4:14" x14ac:dyDescent="0.25">
      <c r="D14" s="21" t="s">
        <v>605</v>
      </c>
      <c r="E14" s="37">
        <f>+((1+E13)/(1+E12))-1</f>
        <v>1.4778325123152802E-2</v>
      </c>
      <c r="F14" s="37">
        <f t="shared" ref="F14:N14" si="0">+((1+F13)/(1+F12))-1</f>
        <v>1.4778325123152802E-2</v>
      </c>
      <c r="G14" s="37">
        <f t="shared" si="0"/>
        <v>1.4778325123152802E-2</v>
      </c>
      <c r="H14" s="37">
        <f t="shared" si="0"/>
        <v>1.4778325123152802E-2</v>
      </c>
      <c r="I14" s="37">
        <f t="shared" si="0"/>
        <v>1.4778325123152802E-2</v>
      </c>
      <c r="J14" s="37">
        <f t="shared" si="0"/>
        <v>1.4778325123152802E-2</v>
      </c>
      <c r="K14" s="37">
        <f t="shared" si="0"/>
        <v>1.4778325123152802E-2</v>
      </c>
      <c r="L14" s="37">
        <f t="shared" si="0"/>
        <v>1.4778325123152802E-2</v>
      </c>
      <c r="M14" s="37">
        <f t="shared" si="0"/>
        <v>1.4778325123152802E-2</v>
      </c>
      <c r="N14" s="37">
        <f t="shared" si="0"/>
        <v>1.4778325123152802E-2</v>
      </c>
    </row>
    <row r="15" spans="4:14" x14ac:dyDescent="0.25">
      <c r="D15" s="21" t="s">
        <v>698</v>
      </c>
      <c r="E15" s="37">
        <v>3.5000000000000003E-2</v>
      </c>
      <c r="F15" s="37">
        <v>4.4999999999999998E-2</v>
      </c>
      <c r="G15" s="37">
        <v>5.5E-2</v>
      </c>
      <c r="H15" s="37">
        <v>6.25E-2</v>
      </c>
      <c r="I15" s="37">
        <v>7.0000000000000007E-2</v>
      </c>
      <c r="J15" s="37">
        <v>7.0000000000000007E-2</v>
      </c>
      <c r="K15" s="37">
        <v>6.7500000000000004E-2</v>
      </c>
      <c r="L15" s="37">
        <v>7.2499999999999995E-2</v>
      </c>
      <c r="M15" s="37">
        <v>7.4999999999999997E-2</v>
      </c>
      <c r="N15" s="37">
        <v>0.08</v>
      </c>
    </row>
    <row r="16" spans="4:14" x14ac:dyDescent="0.25">
      <c r="D16" s="21" t="s">
        <v>606</v>
      </c>
      <c r="E16" s="37">
        <v>4.6871317464058482E-2</v>
      </c>
      <c r="F16" s="37">
        <v>5.7952211049843161E-2</v>
      </c>
      <c r="G16" s="37">
        <v>6.6263050474919316E-2</v>
      </c>
      <c r="H16" s="37">
        <v>7.1781838837309486E-2</v>
      </c>
      <c r="I16" s="37">
        <v>8.231527674117145E-2</v>
      </c>
      <c r="J16" s="37">
        <v>8.231527674117145E-2</v>
      </c>
      <c r="K16" s="37">
        <v>7.9786502730093689E-2</v>
      </c>
      <c r="L16" s="37">
        <v>8.4844050752248767E-2</v>
      </c>
      <c r="M16" s="37">
        <v>8.7372824763326307E-2</v>
      </c>
      <c r="N16" s="37">
        <v>9.2430372785481385E-2</v>
      </c>
    </row>
    <row r="17" spans="4:20" s="150" customFormat="1" x14ac:dyDescent="0.25">
      <c r="E17" s="151"/>
      <c r="F17" s="151"/>
      <c r="G17" s="151"/>
      <c r="S17"/>
    </row>
    <row r="18" spans="4:20" s="150" customFormat="1" x14ac:dyDescent="0.25">
      <c r="D18" s="152"/>
      <c r="E18" s="151"/>
      <c r="F18" s="151"/>
      <c r="G18" s="151"/>
      <c r="S18"/>
    </row>
    <row r="20" spans="4:20" x14ac:dyDescent="0.25">
      <c r="D20" s="51"/>
      <c r="E20" s="246"/>
      <c r="F20" s="246"/>
      <c r="G20" s="246"/>
      <c r="H20" s="246"/>
      <c r="I20" s="246"/>
      <c r="J20" s="246"/>
      <c r="K20" s="246"/>
      <c r="L20" s="246"/>
      <c r="M20" s="246"/>
      <c r="N20" s="246"/>
    </row>
    <row r="21" spans="4:20" ht="21" customHeight="1" x14ac:dyDescent="0.25">
      <c r="D21" s="386" t="s">
        <v>468</v>
      </c>
      <c r="E21" s="387"/>
      <c r="G21" s="246"/>
      <c r="H21" s="246"/>
      <c r="I21" s="246"/>
      <c r="J21" s="246"/>
      <c r="K21" s="246"/>
      <c r="L21" s="246"/>
      <c r="M21" s="246"/>
      <c r="N21" s="246"/>
    </row>
    <row r="22" spans="4:20" ht="12" customHeight="1" x14ac:dyDescent="0.25">
      <c r="D22" s="258"/>
      <c r="E22" s="258"/>
      <c r="G22" s="246"/>
      <c r="H22" s="246"/>
      <c r="I22" s="246"/>
      <c r="J22" s="246"/>
      <c r="K22" s="246"/>
      <c r="L22" s="246"/>
      <c r="M22" s="246"/>
      <c r="N22" s="246"/>
    </row>
    <row r="23" spans="4:20" x14ac:dyDescent="0.25">
      <c r="D23" s="252" t="s">
        <v>469</v>
      </c>
      <c r="E23" s="253">
        <f>+'SUPUESTOS DE VALORACIÓN'!C15</f>
        <v>2.53E-2</v>
      </c>
      <c r="G23" s="19"/>
      <c r="H23" s="19"/>
      <c r="I23" s="19"/>
      <c r="J23" s="19"/>
      <c r="K23" s="19"/>
      <c r="L23" s="19"/>
      <c r="M23" s="19"/>
      <c r="N23" s="19"/>
    </row>
    <row r="24" spans="4:20" x14ac:dyDescent="0.25">
      <c r="D24" s="254" t="s">
        <v>470</v>
      </c>
      <c r="E24" s="255">
        <v>1.9199999999999998E-2</v>
      </c>
      <c r="G24" s="19"/>
      <c r="H24" s="19"/>
      <c r="I24" s="19"/>
      <c r="J24" s="19"/>
      <c r="K24" s="19"/>
      <c r="L24" s="19"/>
      <c r="M24" s="19"/>
      <c r="N24" s="19"/>
    </row>
    <row r="25" spans="4:20" x14ac:dyDescent="0.25">
      <c r="D25" s="254" t="s">
        <v>471</v>
      </c>
      <c r="E25" s="255">
        <f>+E23+E24</f>
        <v>4.4499999999999998E-2</v>
      </c>
      <c r="G25" s="246"/>
      <c r="H25" s="246"/>
      <c r="I25" s="246"/>
      <c r="J25" s="246"/>
      <c r="K25" s="246"/>
      <c r="L25" s="246"/>
      <c r="M25" s="246"/>
      <c r="N25" s="246"/>
      <c r="T25" s="138"/>
    </row>
    <row r="26" spans="4:20" x14ac:dyDescent="0.25">
      <c r="D26" s="254" t="s">
        <v>472</v>
      </c>
      <c r="E26" s="256">
        <f>+'SUPUESTOS DE VALORACIÓN'!C20</f>
        <v>1.0817748102492338E-2</v>
      </c>
      <c r="G26" s="246"/>
      <c r="H26" s="246"/>
      <c r="I26" s="246"/>
      <c r="J26" s="246"/>
      <c r="K26" s="246"/>
      <c r="L26" s="246"/>
      <c r="M26" s="246"/>
      <c r="N26" s="246"/>
    </row>
    <row r="27" spans="4:20" x14ac:dyDescent="0.25">
      <c r="D27" s="254"/>
      <c r="E27" s="257"/>
      <c r="G27" s="246"/>
      <c r="H27" s="246"/>
      <c r="I27" s="246"/>
      <c r="J27" s="246"/>
      <c r="K27" s="246"/>
      <c r="L27" s="246"/>
      <c r="M27" s="246"/>
      <c r="N27" s="246"/>
    </row>
    <row r="28" spans="4:20" x14ac:dyDescent="0.25">
      <c r="D28" s="254" t="s">
        <v>473</v>
      </c>
      <c r="E28" s="255">
        <f>+'SUPUESTOS DE VALORACIÓN'!C31</f>
        <v>9.8817748102492345E-2</v>
      </c>
      <c r="F28" s="138"/>
      <c r="G28" s="19"/>
      <c r="H28" s="19"/>
      <c r="I28" s="19"/>
      <c r="J28" s="19"/>
      <c r="K28" s="19"/>
      <c r="L28" s="19"/>
      <c r="M28" s="19"/>
      <c r="N28" s="19"/>
    </row>
    <row r="29" spans="4:20" x14ac:dyDescent="0.25">
      <c r="D29" s="254" t="s">
        <v>474</v>
      </c>
      <c r="E29" s="255">
        <f>+E14</f>
        <v>1.4778325123152802E-2</v>
      </c>
      <c r="F29" s="138"/>
      <c r="G29" s="19"/>
      <c r="H29" s="19"/>
      <c r="I29" s="19"/>
      <c r="J29" s="19"/>
      <c r="K29" s="19"/>
      <c r="L29" s="19"/>
      <c r="M29" s="19"/>
      <c r="N29" s="19"/>
    </row>
    <row r="30" spans="4:20" x14ac:dyDescent="0.25">
      <c r="D30" s="254" t="s">
        <v>475</v>
      </c>
      <c r="E30" s="255">
        <f>+'SUPUESTOS DE VALORACIÓN'!C33</f>
        <v>0.11505643403504151</v>
      </c>
      <c r="F30" s="138"/>
      <c r="G30" s="246"/>
      <c r="H30" s="246"/>
      <c r="I30" s="246"/>
      <c r="J30" s="246"/>
      <c r="K30" s="246"/>
      <c r="L30" s="246"/>
      <c r="M30" s="246"/>
      <c r="N30" s="246"/>
    </row>
    <row r="31" spans="4:20" x14ac:dyDescent="0.25">
      <c r="D31" s="254" t="s">
        <v>476</v>
      </c>
      <c r="E31" s="255">
        <f>+'SUPUESTOS DE VALORACIÓN'!C43</f>
        <v>7.248120000000001E-2</v>
      </c>
      <c r="F31" s="138"/>
      <c r="G31" s="17"/>
      <c r="H31" s="17"/>
      <c r="I31" s="17"/>
      <c r="J31" s="17"/>
      <c r="K31" s="17"/>
      <c r="L31" s="17"/>
      <c r="M31" s="17"/>
      <c r="N31" s="17"/>
    </row>
    <row r="32" spans="4:20" x14ac:dyDescent="0.25">
      <c r="D32" s="259" t="s">
        <v>477</v>
      </c>
      <c r="E32" s="260">
        <v>0.34</v>
      </c>
      <c r="F32" s="239"/>
      <c r="G32" s="246"/>
      <c r="H32" s="246"/>
      <c r="I32" s="246"/>
      <c r="J32" s="246"/>
      <c r="K32" s="246"/>
      <c r="L32" s="246"/>
      <c r="M32" s="246"/>
      <c r="N32" s="246"/>
    </row>
    <row r="33" spans="4:16" ht="15.75" x14ac:dyDescent="0.25">
      <c r="D33" s="261" t="s">
        <v>478</v>
      </c>
      <c r="E33" s="262">
        <f>+VRACIONPAT!C20</f>
        <v>9.7776039649936627E-2</v>
      </c>
      <c r="F33" s="138"/>
      <c r="G33" s="247"/>
      <c r="H33" s="247"/>
      <c r="I33" s="247"/>
      <c r="J33" s="247"/>
      <c r="K33" s="246"/>
      <c r="L33" s="248"/>
      <c r="M33" s="248"/>
      <c r="N33" s="248"/>
      <c r="O33" s="146"/>
      <c r="P33" s="146"/>
    </row>
    <row r="34" spans="4:16" x14ac:dyDescent="0.25">
      <c r="D34" s="9"/>
      <c r="E34" s="19"/>
      <c r="F34" s="246"/>
      <c r="G34" s="246"/>
      <c r="H34" s="246"/>
      <c r="I34" s="246"/>
      <c r="J34" s="246"/>
      <c r="K34" s="246"/>
      <c r="L34" s="246"/>
      <c r="M34" s="246"/>
      <c r="N34" s="246"/>
    </row>
    <row r="35" spans="4:16" x14ac:dyDescent="0.25">
      <c r="D35" s="9"/>
      <c r="E35" s="19"/>
      <c r="F35" s="249"/>
      <c r="G35" s="249"/>
      <c r="H35" s="249"/>
      <c r="I35" s="249"/>
      <c r="J35" s="249"/>
      <c r="K35" s="249"/>
      <c r="L35" s="249"/>
      <c r="M35" s="249"/>
      <c r="N35" s="249"/>
      <c r="O35" s="73"/>
      <c r="P35" s="73"/>
    </row>
    <row r="36" spans="4:16" x14ac:dyDescent="0.25">
      <c r="D36" s="9"/>
      <c r="E36" s="19"/>
      <c r="F36" s="246"/>
      <c r="G36" s="246"/>
      <c r="H36" s="246"/>
      <c r="I36" s="246"/>
      <c r="J36" s="246"/>
      <c r="K36" s="246"/>
      <c r="L36" s="246"/>
      <c r="M36" s="246"/>
      <c r="N36" s="246"/>
    </row>
    <row r="37" spans="4:16" x14ac:dyDescent="0.25">
      <c r="D37" s="9"/>
      <c r="E37" s="19"/>
      <c r="F37" s="246"/>
      <c r="G37" s="246"/>
      <c r="H37" s="246"/>
      <c r="I37" s="246"/>
      <c r="J37" s="246"/>
      <c r="K37" s="246"/>
      <c r="L37" s="246"/>
      <c r="M37" s="246"/>
      <c r="N37" s="246"/>
    </row>
    <row r="38" spans="4:16" x14ac:dyDescent="0.25">
      <c r="D38" s="9"/>
      <c r="E38" s="19"/>
      <c r="F38" s="246"/>
      <c r="G38" s="246"/>
      <c r="H38" s="246"/>
      <c r="I38" s="246"/>
      <c r="J38" s="246"/>
      <c r="K38" s="246"/>
      <c r="L38" s="246"/>
      <c r="M38" s="246"/>
      <c r="N38" s="246"/>
    </row>
    <row r="39" spans="4:16" x14ac:dyDescent="0.25">
      <c r="D39" s="9"/>
      <c r="E39" s="241"/>
      <c r="F39" s="246"/>
      <c r="G39" s="246"/>
      <c r="H39" s="246"/>
      <c r="I39" s="246"/>
      <c r="J39" s="246"/>
      <c r="K39" s="246"/>
      <c r="L39" s="246"/>
      <c r="M39" s="246"/>
      <c r="N39" s="246"/>
    </row>
    <row r="40" spans="4:16" x14ac:dyDescent="0.25">
      <c r="D40" s="246"/>
      <c r="E40" s="246"/>
      <c r="F40" s="250"/>
      <c r="G40" s="246"/>
      <c r="H40" s="246"/>
      <c r="I40" s="246"/>
      <c r="J40" s="246"/>
      <c r="K40" s="246"/>
      <c r="L40" s="246"/>
      <c r="M40" s="246"/>
      <c r="N40" s="246"/>
    </row>
    <row r="41" spans="4:16" x14ac:dyDescent="0.25">
      <c r="D41" s="208"/>
      <c r="E41" s="208"/>
      <c r="F41" s="208"/>
      <c r="G41" s="208"/>
      <c r="H41" s="208"/>
      <c r="I41" s="208"/>
      <c r="J41" s="208"/>
      <c r="K41" s="208"/>
      <c r="L41" s="208"/>
      <c r="M41" s="246"/>
      <c r="N41" s="246"/>
    </row>
    <row r="42" spans="4:16" x14ac:dyDescent="0.25">
      <c r="D42" s="242"/>
      <c r="E42" s="243"/>
      <c r="F42" s="244"/>
      <c r="G42" s="245"/>
      <c r="H42" s="245"/>
      <c r="I42" s="243"/>
      <c r="J42" s="244"/>
      <c r="K42" s="243"/>
      <c r="L42" s="242"/>
      <c r="M42" s="246"/>
      <c r="N42" s="246"/>
    </row>
    <row r="43" spans="4:16" x14ac:dyDescent="0.25">
      <c r="D43" s="246"/>
      <c r="E43" s="246"/>
      <c r="F43" s="246"/>
      <c r="G43" s="246"/>
      <c r="H43" s="246"/>
      <c r="I43" s="246"/>
      <c r="J43" s="246"/>
      <c r="K43" s="246"/>
      <c r="L43" s="251"/>
      <c r="M43" s="246"/>
      <c r="N43" s="246"/>
    </row>
    <row r="44" spans="4:16" x14ac:dyDescent="0.25">
      <c r="L44" t="s">
        <v>693</v>
      </c>
    </row>
    <row r="46" spans="4:16" x14ac:dyDescent="0.25">
      <c r="E46" s="4"/>
      <c r="F46" s="4"/>
      <c r="G46" s="4"/>
      <c r="H46" s="4"/>
      <c r="I46" s="4"/>
      <c r="J46" s="4"/>
      <c r="K46" s="4"/>
      <c r="L46" s="4"/>
      <c r="M46" s="4"/>
      <c r="N46" s="4"/>
    </row>
    <row r="47" spans="4:16" x14ac:dyDescent="0.25">
      <c r="E47" s="4"/>
      <c r="F47" s="4"/>
      <c r="G47" s="4"/>
      <c r="H47" s="4"/>
      <c r="I47" s="4"/>
      <c r="J47" s="4"/>
      <c r="K47" s="4"/>
      <c r="L47" s="4"/>
      <c r="M47" s="4"/>
      <c r="N47" s="4"/>
    </row>
    <row r="48" spans="4:16" x14ac:dyDescent="0.25">
      <c r="E48" s="4"/>
      <c r="F48" s="4"/>
      <c r="G48" s="4"/>
      <c r="H48" s="4"/>
      <c r="I48" s="4"/>
      <c r="J48" s="4"/>
      <c r="K48" s="4"/>
      <c r="L48" s="4"/>
      <c r="M48" s="4"/>
      <c r="N48" s="4"/>
    </row>
    <row r="49" spans="4:14" x14ac:dyDescent="0.25">
      <c r="E49" s="4"/>
      <c r="F49" s="4"/>
      <c r="G49" s="4"/>
      <c r="H49" s="4"/>
      <c r="I49" s="4"/>
      <c r="J49" s="4"/>
      <c r="K49" s="4"/>
      <c r="L49" s="4"/>
      <c r="M49" s="4"/>
      <c r="N49" s="4"/>
    </row>
    <row r="50" spans="4:14" x14ac:dyDescent="0.25">
      <c r="E50" s="4"/>
      <c r="F50" s="4"/>
      <c r="G50" s="4"/>
      <c r="H50" s="4"/>
      <c r="I50" s="4"/>
      <c r="J50" s="4"/>
      <c r="K50" s="4"/>
      <c r="L50" s="4"/>
      <c r="M50" s="4"/>
      <c r="N50" s="4"/>
    </row>
    <row r="56" spans="4:14" x14ac:dyDescent="0.25">
      <c r="D56" s="147"/>
      <c r="E56" s="148"/>
      <c r="F56" s="148"/>
      <c r="G56" s="148"/>
      <c r="H56" s="148"/>
      <c r="I56" s="148"/>
      <c r="J56" s="148"/>
    </row>
    <row r="57" spans="4:14" x14ac:dyDescent="0.25">
      <c r="H57" s="148"/>
      <c r="I57" s="148"/>
      <c r="J57" s="148"/>
    </row>
    <row r="58" spans="4:14" x14ac:dyDescent="0.25">
      <c r="H58" s="148"/>
      <c r="I58" s="148"/>
      <c r="J58" s="148"/>
    </row>
    <row r="60" spans="4:14" x14ac:dyDescent="0.25">
      <c r="E60" s="149"/>
      <c r="F60" s="149"/>
      <c r="G60" s="149"/>
      <c r="H60" s="149"/>
    </row>
    <row r="61" spans="4:14" x14ac:dyDescent="0.25">
      <c r="G61" s="147"/>
      <c r="H61" s="147"/>
      <c r="I61" s="147"/>
      <c r="J61" s="147"/>
      <c r="K61" s="237"/>
      <c r="L61" s="147"/>
    </row>
    <row r="62" spans="4:14" x14ac:dyDescent="0.25">
      <c r="D62" s="109"/>
    </row>
    <row r="63" spans="4:14" x14ac:dyDescent="0.25">
      <c r="D63" s="109"/>
    </row>
    <row r="64" spans="4:14" x14ac:dyDescent="0.25">
      <c r="D64" s="109"/>
    </row>
    <row r="65" spans="4:4" x14ac:dyDescent="0.25">
      <c r="D65" s="109"/>
    </row>
    <row r="66" spans="4:4" x14ac:dyDescent="0.25">
      <c r="D66" s="109"/>
    </row>
  </sheetData>
  <mergeCells count="2">
    <mergeCell ref="D8:N8"/>
    <mergeCell ref="D21:E2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L38"/>
  <sheetViews>
    <sheetView workbookViewId="0">
      <selection activeCell="C31" sqref="C31"/>
    </sheetView>
  </sheetViews>
  <sheetFormatPr baseColWidth="10" defaultRowHeight="15" x14ac:dyDescent="0.25"/>
  <cols>
    <col min="1" max="1" width="11.42578125" style="153"/>
    <col min="2" max="2" width="37.5703125" style="153" bestFit="1" customWidth="1"/>
    <col min="3" max="3" width="19.28515625" style="153" bestFit="1" customWidth="1"/>
    <col min="4" max="4" width="12.5703125" style="153" bestFit="1" customWidth="1"/>
    <col min="5" max="5" width="12.5703125" style="153" customWidth="1"/>
    <col min="6" max="12" width="12.5703125" style="153" bestFit="1" customWidth="1"/>
    <col min="13" max="16384" width="11.42578125" style="153"/>
  </cols>
  <sheetData>
    <row r="9" spans="2:12" ht="15.75" thickBot="1" x14ac:dyDescent="0.3"/>
    <row r="10" spans="2:12" ht="19.5" thickBot="1" x14ac:dyDescent="0.3">
      <c r="B10" s="380" t="s">
        <v>624</v>
      </c>
      <c r="C10" s="381"/>
      <c r="D10" s="381"/>
      <c r="E10" s="381"/>
      <c r="F10" s="381"/>
      <c r="G10" s="381"/>
      <c r="H10" s="381"/>
      <c r="I10" s="381"/>
      <c r="J10" s="381"/>
      <c r="K10" s="381"/>
      <c r="L10" s="382"/>
    </row>
    <row r="11" spans="2:12" x14ac:dyDescent="0.25">
      <c r="B11" s="34" t="s">
        <v>209</v>
      </c>
    </row>
    <row r="12" spans="2:12" x14ac:dyDescent="0.25">
      <c r="B12" s="154"/>
      <c r="C12" s="4">
        <v>2014</v>
      </c>
      <c r="D12" s="4">
        <v>2015</v>
      </c>
      <c r="E12" s="4">
        <v>2016</v>
      </c>
      <c r="F12" s="4">
        <v>2017</v>
      </c>
      <c r="G12" s="4">
        <v>2018</v>
      </c>
      <c r="H12" s="4">
        <v>2019</v>
      </c>
      <c r="I12" s="4">
        <v>2020</v>
      </c>
      <c r="J12" s="4">
        <v>2021</v>
      </c>
      <c r="K12" s="4">
        <v>2022</v>
      </c>
      <c r="L12" s="4">
        <v>2023</v>
      </c>
    </row>
    <row r="13" spans="2:12" x14ac:dyDescent="0.25">
      <c r="B13" s="155" t="s">
        <v>608</v>
      </c>
      <c r="C13" s="156">
        <f>+FCLPROYECTADO!E28</f>
        <v>49270.922004520085</v>
      </c>
      <c r="D13" s="156">
        <f>+FCLPROYECTADO!F28</f>
        <v>68272.877440564596</v>
      </c>
      <c r="E13" s="156">
        <f>+FCLPROYECTADO!G28</f>
        <v>71232.471382563468</v>
      </c>
      <c r="F13" s="156">
        <f>+FCLPROYECTADO!H28</f>
        <v>76835.433417706925</v>
      </c>
      <c r="G13" s="156">
        <f>+FCLPROYECTADO!I28</f>
        <v>83524.889834236252</v>
      </c>
      <c r="H13" s="156">
        <f>+FCLPROYECTADO!J28</f>
        <v>90207.133223382683</v>
      </c>
      <c r="I13" s="156">
        <f>+FCLPROYECTADO!K28</f>
        <v>93085.968148675442</v>
      </c>
      <c r="J13" s="156">
        <f>+FCLPROYECTADO!L28</f>
        <v>101460.90532028783</v>
      </c>
      <c r="K13" s="156">
        <f>+FCLPROYECTADO!M28</f>
        <v>107298.45238312044</v>
      </c>
      <c r="L13" s="156">
        <f>+FCLPROYECTADO!N28</f>
        <v>112676.08308219929</v>
      </c>
    </row>
    <row r="14" spans="2:12" x14ac:dyDescent="0.25">
      <c r="B14" s="155" t="s">
        <v>609</v>
      </c>
      <c r="C14" s="156"/>
      <c r="D14" s="157">
        <f>+(D13-C13)/C13</f>
        <v>0.38566267207870158</v>
      </c>
      <c r="E14" s="157">
        <f>+(E13-D13)/D13</f>
        <v>4.3349483029704816E-2</v>
      </c>
      <c r="F14" s="157">
        <f t="shared" ref="F14:G14" si="0">+(F13-E13)/E13</f>
        <v>7.8657414608739373E-2</v>
      </c>
      <c r="G14" s="157">
        <f t="shared" si="0"/>
        <v>8.7062129007106304E-2</v>
      </c>
      <c r="H14" s="157">
        <f t="shared" ref="H14" si="1">+(H13-G13)/G13</f>
        <v>8.0003019488059574E-2</v>
      </c>
      <c r="I14" s="157">
        <f t="shared" ref="I14" si="2">+(I13-H13)/H13</f>
        <v>3.1913606190807672E-2</v>
      </c>
      <c r="J14" s="157">
        <f t="shared" ref="J14" si="3">+(J13-I13)/I13</f>
        <v>8.9969920689185592E-2</v>
      </c>
      <c r="K14" s="157">
        <f t="shared" ref="K14" si="4">+(K13-J13)/J13</f>
        <v>5.7534939634185933E-2</v>
      </c>
      <c r="L14" s="157">
        <f t="shared" ref="L14" si="5">+(L13-K13)/K13</f>
        <v>5.0118436749464437E-2</v>
      </c>
    </row>
    <row r="15" spans="2:12" x14ac:dyDescent="0.25">
      <c r="B15" s="154"/>
      <c r="C15" s="158"/>
      <c r="D15" s="159"/>
      <c r="E15" s="159"/>
      <c r="F15" s="159"/>
      <c r="G15" s="159"/>
      <c r="H15" s="159"/>
      <c r="I15" s="159"/>
      <c r="J15" s="159"/>
      <c r="K15" s="159"/>
      <c r="L15" s="159"/>
    </row>
    <row r="16" spans="2:12" x14ac:dyDescent="0.25">
      <c r="B16" s="5" t="s">
        <v>621</v>
      </c>
      <c r="C16" s="160">
        <f>+(L13/J13)^(1/(L12-J12))-1</f>
        <v>5.382016379294563E-2</v>
      </c>
      <c r="D16" s="161"/>
      <c r="E16" s="162"/>
      <c r="F16" s="162"/>
      <c r="G16" s="162"/>
    </row>
    <row r="17" spans="2:12" x14ac:dyDescent="0.25">
      <c r="B17" s="161"/>
      <c r="C17" s="154"/>
      <c r="D17" s="161"/>
      <c r="E17" s="163"/>
      <c r="F17" s="163"/>
      <c r="G17" s="163"/>
    </row>
    <row r="18" spans="2:12" x14ac:dyDescent="0.25">
      <c r="B18" s="155" t="s">
        <v>610</v>
      </c>
      <c r="C18" s="157">
        <f>+'SUPUESTOS DE VALORACIÓN'!C52</f>
        <v>0.10335142923057013</v>
      </c>
      <c r="D18" s="157">
        <f>+'SUPUESTOS DE VALORACIÓN'!D52</f>
        <v>0.1004846508512071</v>
      </c>
      <c r="E18" s="157">
        <f>+'SUPUESTOS DE VALORACIÓN'!E52</f>
        <v>9.9837639744518702E-2</v>
      </c>
      <c r="F18" s="157">
        <f>+'SUPUESTOS DE VALORACIÓN'!F52</f>
        <v>9.907966357909187E-2</v>
      </c>
      <c r="G18" s="157">
        <f>+'SUPUESTOS DE VALORACIÓN'!G52</f>
        <v>9.8237441739034759E-2</v>
      </c>
      <c r="H18" s="157">
        <f>+'SUPUESTOS DE VALORACIÓN'!H52</f>
        <v>9.7384745973950512E-2</v>
      </c>
      <c r="I18" s="157">
        <f>+'SUPUESTOS DE VALORACIÓN'!I52</f>
        <v>9.6385307132758724E-2</v>
      </c>
      <c r="J18" s="157">
        <f>+'SUPUESTOS DE VALORACIÓN'!J52</f>
        <v>9.5369552531121088E-2</v>
      </c>
      <c r="K18" s="157">
        <f>+'SUPUESTOS DE VALORACIÓN'!K52</f>
        <v>9.4359623736058953E-2</v>
      </c>
      <c r="L18" s="157">
        <f>+'SUPUESTOS DE VALORACIÓN'!L52</f>
        <v>9.3270341981054314E-2</v>
      </c>
    </row>
    <row r="19" spans="2:12" x14ac:dyDescent="0.25">
      <c r="B19" s="164"/>
      <c r="C19" s="159"/>
      <c r="D19" s="159"/>
      <c r="E19" s="159"/>
      <c r="F19" s="159"/>
      <c r="G19" s="159"/>
      <c r="H19" s="159"/>
      <c r="I19" s="159"/>
      <c r="J19" s="159"/>
      <c r="K19" s="159"/>
      <c r="L19" s="159"/>
    </row>
    <row r="20" spans="2:12" x14ac:dyDescent="0.25">
      <c r="B20" s="5" t="s">
        <v>622</v>
      </c>
      <c r="C20" s="160">
        <f>+AVERAGE(C18:L18)</f>
        <v>9.7776039649936627E-2</v>
      </c>
      <c r="D20" s="169"/>
      <c r="E20" s="154"/>
      <c r="F20" s="154"/>
      <c r="G20" s="154"/>
    </row>
    <row r="21" spans="2:12" x14ac:dyDescent="0.25">
      <c r="B21" s="154"/>
      <c r="C21" s="154"/>
      <c r="D21" s="154"/>
      <c r="E21" s="154"/>
      <c r="F21" s="154"/>
      <c r="G21" s="154"/>
    </row>
    <row r="22" spans="2:12" x14ac:dyDescent="0.25">
      <c r="B22" s="5" t="s">
        <v>709</v>
      </c>
      <c r="C22" s="285">
        <v>0</v>
      </c>
      <c r="D22" s="154"/>
      <c r="E22" s="154"/>
      <c r="F22" s="154"/>
      <c r="G22" s="154"/>
    </row>
    <row r="23" spans="2:12" x14ac:dyDescent="0.25">
      <c r="B23" s="154"/>
      <c r="C23" s="154"/>
      <c r="D23" s="154"/>
      <c r="E23" s="154"/>
      <c r="F23" s="154"/>
      <c r="G23" s="154"/>
    </row>
    <row r="24" spans="2:12" x14ac:dyDescent="0.25">
      <c r="B24" s="155" t="s">
        <v>612</v>
      </c>
      <c r="C24" s="156">
        <f>+NPV(C20,C13:L13)</f>
        <v>499442.14453469595</v>
      </c>
      <c r="D24" s="154"/>
      <c r="E24" s="154"/>
      <c r="F24" s="154"/>
      <c r="G24" s="154"/>
    </row>
    <row r="25" spans="2:12" x14ac:dyDescent="0.25">
      <c r="B25" s="155" t="s">
        <v>613</v>
      </c>
      <c r="C25" s="156">
        <f>+L13/(L18-C22)</f>
        <v>1208059.0752533833</v>
      </c>
      <c r="D25" s="154"/>
      <c r="E25" s="154"/>
      <c r="F25" s="154"/>
      <c r="G25" s="154"/>
    </row>
    <row r="26" spans="2:12" x14ac:dyDescent="0.25">
      <c r="B26" s="155" t="s">
        <v>614</v>
      </c>
      <c r="C26" s="156">
        <f>+C25*(1/(1+C20)^(L12-C12))</f>
        <v>521752.3868708128</v>
      </c>
      <c r="D26" s="154"/>
      <c r="E26" s="154"/>
      <c r="F26" s="154"/>
      <c r="G26" s="154"/>
    </row>
    <row r="27" spans="2:12" x14ac:dyDescent="0.25">
      <c r="B27" s="155" t="s">
        <v>615</v>
      </c>
      <c r="C27" s="156">
        <f>+C24+C26</f>
        <v>1021194.5314055088</v>
      </c>
      <c r="D27" s="154"/>
      <c r="E27" s="154"/>
      <c r="F27" s="154"/>
      <c r="G27" s="154"/>
    </row>
    <row r="28" spans="2:12" x14ac:dyDescent="0.25">
      <c r="B28" s="165"/>
      <c r="C28" s="166"/>
      <c r="D28" s="154"/>
      <c r="E28" s="154"/>
      <c r="F28" s="154"/>
      <c r="G28" s="154"/>
    </row>
    <row r="29" spans="2:12" x14ac:dyDescent="0.25">
      <c r="B29" s="155" t="s">
        <v>623</v>
      </c>
      <c r="C29" s="156">
        <f>-(+'BGPR2008-2023'!T49+'BGPR2008-2023'!T50+'BGPR2008-2023'!T64+'BGPR2008-2023'!T65)</f>
        <v>-376437.37311309634</v>
      </c>
      <c r="D29" s="154"/>
      <c r="E29" s="154"/>
      <c r="F29" s="154"/>
      <c r="G29" s="154"/>
    </row>
    <row r="30" spans="2:12" x14ac:dyDescent="0.25">
      <c r="B30" s="154"/>
      <c r="C30" s="154"/>
      <c r="D30" s="167"/>
      <c r="E30" s="167"/>
      <c r="F30" s="167"/>
      <c r="G30" s="154"/>
    </row>
    <row r="31" spans="2:12" ht="15.75" x14ac:dyDescent="0.25">
      <c r="B31" s="5" t="s">
        <v>616</v>
      </c>
      <c r="C31" s="240">
        <f>+C27+C29</f>
        <v>644757.15829241241</v>
      </c>
      <c r="D31" s="154"/>
      <c r="E31" s="154"/>
      <c r="F31" s="154"/>
      <c r="G31" s="154"/>
    </row>
    <row r="32" spans="2:12" x14ac:dyDescent="0.25">
      <c r="B32" s="154"/>
      <c r="C32" s="154"/>
      <c r="D32" s="154"/>
      <c r="E32" s="154"/>
      <c r="F32" s="154"/>
      <c r="G32" s="154"/>
    </row>
    <row r="33" spans="2:12" x14ac:dyDescent="0.25">
      <c r="B33" s="5" t="s">
        <v>611</v>
      </c>
      <c r="C33" s="154"/>
      <c r="D33" s="154"/>
      <c r="E33" s="154"/>
      <c r="F33" s="154"/>
      <c r="G33" s="154"/>
    </row>
    <row r="34" spans="2:12" x14ac:dyDescent="0.25">
      <c r="B34" s="161"/>
      <c r="C34" s="4">
        <v>2014</v>
      </c>
      <c r="D34" s="4">
        <v>2015</v>
      </c>
      <c r="E34" s="4">
        <v>2016</v>
      </c>
      <c r="F34" s="4">
        <v>2017</v>
      </c>
      <c r="G34" s="4">
        <v>2018</v>
      </c>
      <c r="H34" s="4">
        <v>2019</v>
      </c>
      <c r="I34" s="4">
        <v>2020</v>
      </c>
      <c r="J34" s="4">
        <v>2021</v>
      </c>
      <c r="K34" s="4">
        <v>2022</v>
      </c>
      <c r="L34" s="4">
        <v>2023</v>
      </c>
    </row>
    <row r="35" spans="2:12" x14ac:dyDescent="0.25">
      <c r="B35" s="155" t="s">
        <v>617</v>
      </c>
      <c r="C35" s="168">
        <v>-100</v>
      </c>
      <c r="D35" s="168"/>
      <c r="E35" s="168"/>
      <c r="F35" s="168"/>
      <c r="G35" s="168"/>
      <c r="H35" s="168"/>
      <c r="I35" s="168"/>
      <c r="J35" s="168"/>
      <c r="K35" s="168"/>
      <c r="L35" s="168"/>
    </row>
    <row r="36" spans="2:12" x14ac:dyDescent="0.25">
      <c r="B36" s="155" t="s">
        <v>618</v>
      </c>
      <c r="C36" s="168"/>
      <c r="D36" s="168">
        <f t="shared" ref="D36:L36" si="6">+-$C$38*C18</f>
        <v>10.335142923057013</v>
      </c>
      <c r="E36" s="168">
        <f t="shared" si="6"/>
        <v>10.048465085120711</v>
      </c>
      <c r="F36" s="168">
        <f t="shared" si="6"/>
        <v>9.98376397445187</v>
      </c>
      <c r="G36" s="168">
        <f t="shared" si="6"/>
        <v>9.9079663579091868</v>
      </c>
      <c r="H36" s="168">
        <f t="shared" si="6"/>
        <v>9.8237441739034761</v>
      </c>
      <c r="I36" s="168">
        <f t="shared" si="6"/>
        <v>9.7384745973950508</v>
      </c>
      <c r="J36" s="168">
        <f t="shared" si="6"/>
        <v>9.6385307132758733</v>
      </c>
      <c r="K36" s="168">
        <f t="shared" si="6"/>
        <v>9.536955253112108</v>
      </c>
      <c r="L36" s="168">
        <f t="shared" si="6"/>
        <v>9.4359623736058946</v>
      </c>
    </row>
    <row r="37" spans="2:12" x14ac:dyDescent="0.25">
      <c r="B37" s="155" t="s">
        <v>619</v>
      </c>
      <c r="C37" s="168"/>
      <c r="D37" s="168"/>
      <c r="E37" s="168"/>
      <c r="F37" s="168"/>
      <c r="G37" s="168"/>
      <c r="H37" s="168"/>
      <c r="I37" s="168"/>
      <c r="J37" s="168"/>
      <c r="K37" s="168"/>
      <c r="L37" s="168">
        <v>100</v>
      </c>
    </row>
    <row r="38" spans="2:12" x14ac:dyDescent="0.25">
      <c r="B38" s="155" t="s">
        <v>620</v>
      </c>
      <c r="C38" s="168">
        <f>+SUM(C35:C37)</f>
        <v>-100</v>
      </c>
      <c r="D38" s="168">
        <f>+SUM(D35:D37)</f>
        <v>10.335142923057013</v>
      </c>
      <c r="E38" s="168">
        <f t="shared" ref="E38:F38" si="7">+SUM(E35:E37)</f>
        <v>10.048465085120711</v>
      </c>
      <c r="F38" s="168">
        <f t="shared" si="7"/>
        <v>9.98376397445187</v>
      </c>
      <c r="G38" s="168">
        <f>+SUM(G35:G37)</f>
        <v>9.9079663579091868</v>
      </c>
      <c r="H38" s="168">
        <f t="shared" ref="H38:L38" si="8">+SUM(H35:H37)</f>
        <v>9.8237441739034761</v>
      </c>
      <c r="I38" s="168">
        <f t="shared" si="8"/>
        <v>9.7384745973950508</v>
      </c>
      <c r="J38" s="168">
        <f t="shared" si="8"/>
        <v>9.6385307132758733</v>
      </c>
      <c r="K38" s="168">
        <f t="shared" si="8"/>
        <v>9.536955253112108</v>
      </c>
      <c r="L38" s="168">
        <f t="shared" si="8"/>
        <v>109.43596237360589</v>
      </c>
    </row>
  </sheetData>
  <mergeCells count="1">
    <mergeCell ref="B10:L10"/>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C8:G29"/>
  <sheetViews>
    <sheetView showGridLines="0" topLeftCell="A8" workbookViewId="0">
      <selection activeCell="F10" sqref="F10"/>
    </sheetView>
  </sheetViews>
  <sheetFormatPr baseColWidth="10" defaultRowHeight="15" x14ac:dyDescent="0.25"/>
  <cols>
    <col min="2" max="2" width="17.28515625" customWidth="1"/>
    <col min="3" max="3" width="10.5703125" bestFit="1" customWidth="1"/>
    <col min="6" max="6" width="33.85546875" bestFit="1" customWidth="1"/>
    <col min="7" max="7" width="15.140625" bestFit="1" customWidth="1"/>
  </cols>
  <sheetData>
    <row r="8" spans="4:7" ht="15.75" thickBot="1" x14ac:dyDescent="0.3"/>
    <row r="9" spans="4:7" ht="19.5" thickBot="1" x14ac:dyDescent="0.3">
      <c r="F9" s="380" t="s">
        <v>630</v>
      </c>
      <c r="G9" s="382"/>
    </row>
    <row r="10" spans="4:7" x14ac:dyDescent="0.25">
      <c r="F10" s="34" t="s">
        <v>209</v>
      </c>
    </row>
    <row r="12" spans="4:7" x14ac:dyDescent="0.25">
      <c r="D12" s="170"/>
      <c r="F12" s="51" t="s">
        <v>629</v>
      </c>
      <c r="G12" s="18">
        <f>+VRACIONPAT!C31</f>
        <v>644757.15829241241</v>
      </c>
    </row>
    <row r="14" spans="4:7" x14ac:dyDescent="0.25">
      <c r="F14" s="21" t="s">
        <v>625</v>
      </c>
      <c r="G14" s="22">
        <f>(+'BGPR2008-2023'!T17+'BGPR2008-2023'!T18)</f>
        <v>109032.04785579591</v>
      </c>
    </row>
    <row r="15" spans="4:7" x14ac:dyDescent="0.25">
      <c r="F15" s="21" t="s">
        <v>626</v>
      </c>
      <c r="G15" s="156">
        <f>(+'BGPR2008-2023'!T29)</f>
        <v>610579.4679924571</v>
      </c>
    </row>
    <row r="17" spans="3:7" x14ac:dyDescent="0.25">
      <c r="D17" s="72"/>
      <c r="F17" s="51" t="s">
        <v>700</v>
      </c>
      <c r="G17" s="18">
        <f>+G12+G14+G15</f>
        <v>1364368.6741406654</v>
      </c>
    </row>
    <row r="19" spans="3:7" x14ac:dyDescent="0.25">
      <c r="F19" s="21" t="s">
        <v>628</v>
      </c>
      <c r="G19" s="22">
        <f>((+'BGPR2008-2023'!T49+'BGPR2008-2023'!T50+'BGPR2008-2023'!T64+'BGPR2008-2023'!T65)*-1)</f>
        <v>-376437.37311309634</v>
      </c>
    </row>
    <row r="20" spans="3:7" x14ac:dyDescent="0.25">
      <c r="G20" s="90"/>
    </row>
    <row r="21" spans="3:7" x14ac:dyDescent="0.25">
      <c r="D21" s="72"/>
      <c r="F21" s="51" t="s">
        <v>627</v>
      </c>
      <c r="G21" s="18">
        <f>+G17+G19</f>
        <v>987931.3010275691</v>
      </c>
    </row>
    <row r="23" spans="3:7" x14ac:dyDescent="0.25">
      <c r="F23" s="21" t="s">
        <v>631</v>
      </c>
      <c r="G23" s="284">
        <v>628.06420000000003</v>
      </c>
    </row>
    <row r="25" spans="3:7" ht="18.75" x14ac:dyDescent="0.25">
      <c r="D25" s="72"/>
      <c r="F25" s="171" t="s">
        <v>699</v>
      </c>
      <c r="G25" s="172">
        <f>+ROUNDUP((G21/G23),-1)</f>
        <v>1580</v>
      </c>
    </row>
    <row r="26" spans="3:7" x14ac:dyDescent="0.25">
      <c r="C26" s="72"/>
    </row>
    <row r="27" spans="3:7" x14ac:dyDescent="0.25">
      <c r="C27" s="72"/>
      <c r="D27" s="73"/>
    </row>
    <row r="28" spans="3:7" x14ac:dyDescent="0.25">
      <c r="C28" s="72"/>
    </row>
    <row r="29" spans="3:7" x14ac:dyDescent="0.25">
      <c r="C29" s="210"/>
      <c r="G29" s="209"/>
    </row>
  </sheetData>
  <mergeCells count="1">
    <mergeCell ref="F9:G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J104"/>
  <sheetViews>
    <sheetView showGridLines="0" topLeftCell="A6" workbookViewId="0">
      <selection activeCell="D9" sqref="D9"/>
    </sheetView>
  </sheetViews>
  <sheetFormatPr baseColWidth="10" defaultRowHeight="15" x14ac:dyDescent="0.25"/>
  <cols>
    <col min="1" max="2" width="11.42578125" style="2"/>
    <col min="3" max="3" width="11.42578125" style="2" customWidth="1"/>
    <col min="4" max="4" width="37.85546875" style="2" bestFit="1" customWidth="1"/>
    <col min="5" max="6" width="13.42578125" style="2" bestFit="1" customWidth="1"/>
    <col min="7" max="9" width="14.42578125" style="2" bestFit="1" customWidth="1"/>
    <col min="10" max="10" width="15.5703125" style="2" customWidth="1"/>
    <col min="11" max="16384" width="11.42578125" style="2"/>
  </cols>
  <sheetData>
    <row r="7" spans="3:10" ht="15.75" thickBot="1" x14ac:dyDescent="0.3"/>
    <row r="8" spans="3:10" ht="24" customHeight="1" thickBot="1" x14ac:dyDescent="0.3">
      <c r="D8" s="380" t="s">
        <v>712</v>
      </c>
      <c r="E8" s="381"/>
      <c r="F8" s="381"/>
      <c r="G8" s="381"/>
      <c r="H8" s="381"/>
      <c r="I8" s="381"/>
      <c r="J8" s="382"/>
    </row>
    <row r="9" spans="3:10" ht="24" customHeight="1" x14ac:dyDescent="0.25">
      <c r="D9" s="34" t="s">
        <v>209</v>
      </c>
      <c r="E9" s="59">
        <v>1000</v>
      </c>
    </row>
    <row r="11" spans="3:10" x14ac:dyDescent="0.25">
      <c r="C11" s="1"/>
      <c r="D11" s="3"/>
      <c r="E11" s="4">
        <v>2008</v>
      </c>
      <c r="F11" s="4">
        <v>2009</v>
      </c>
      <c r="G11" s="4">
        <v>2010</v>
      </c>
      <c r="H11" s="4">
        <v>2011</v>
      </c>
      <c r="I11" s="4">
        <v>2012</v>
      </c>
      <c r="J11" s="4">
        <v>2013</v>
      </c>
    </row>
    <row r="12" spans="3:10" x14ac:dyDescent="0.25">
      <c r="C12" s="1"/>
      <c r="D12" s="3"/>
      <c r="E12" s="3"/>
      <c r="F12" s="3"/>
      <c r="G12" s="3"/>
      <c r="H12" s="3"/>
      <c r="I12" s="3"/>
    </row>
    <row r="13" spans="3:10" x14ac:dyDescent="0.25">
      <c r="C13" s="1"/>
      <c r="D13" s="53" t="s">
        <v>0</v>
      </c>
      <c r="E13" s="50"/>
      <c r="F13" s="50"/>
      <c r="G13" s="50"/>
      <c r="H13" s="50"/>
      <c r="I13" s="50"/>
    </row>
    <row r="14" spans="3:10" x14ac:dyDescent="0.25">
      <c r="C14" s="1"/>
      <c r="D14" s="50"/>
      <c r="E14" s="50"/>
      <c r="F14" s="50"/>
      <c r="G14" s="50"/>
      <c r="H14" s="50"/>
      <c r="I14" s="50"/>
    </row>
    <row r="15" spans="3:10" x14ac:dyDescent="0.25">
      <c r="D15" s="53" t="s">
        <v>1</v>
      </c>
      <c r="E15" s="50"/>
      <c r="F15" s="50"/>
      <c r="G15" s="50"/>
      <c r="H15" s="58"/>
      <c r="I15" s="58"/>
    </row>
    <row r="17" spans="4:10" x14ac:dyDescent="0.25">
      <c r="D17" s="21" t="s">
        <v>2</v>
      </c>
      <c r="E17" s="22">
        <v>7892.6120000000001</v>
      </c>
      <c r="F17" s="22">
        <v>4655.2110000000002</v>
      </c>
      <c r="G17" s="22">
        <v>1996.4659999999999</v>
      </c>
      <c r="H17" s="22">
        <v>17846.741000000002</v>
      </c>
      <c r="I17" s="22">
        <v>8528.6440000000002</v>
      </c>
      <c r="J17" s="22">
        <v>10353.384</v>
      </c>
    </row>
    <row r="18" spans="4:10" x14ac:dyDescent="0.25">
      <c r="D18" s="21" t="s">
        <v>3</v>
      </c>
      <c r="E18" s="22">
        <v>25494.862000000001</v>
      </c>
      <c r="F18" s="22">
        <v>29744.886999999999</v>
      </c>
      <c r="G18" s="22">
        <v>20447.289000000001</v>
      </c>
      <c r="H18" s="22">
        <v>31253.415000000001</v>
      </c>
      <c r="I18" s="22">
        <f>(43815365-33875900)/1000</f>
        <v>9939.4650000000001</v>
      </c>
      <c r="J18" s="22">
        <v>35759.453000000001</v>
      </c>
    </row>
    <row r="19" spans="4:10" x14ac:dyDescent="0.25">
      <c r="D19" s="21" t="s">
        <v>4</v>
      </c>
      <c r="E19" s="22">
        <v>58405.019</v>
      </c>
      <c r="F19" s="22">
        <v>65579.332999999999</v>
      </c>
      <c r="G19" s="22">
        <v>55585.624000000003</v>
      </c>
      <c r="H19" s="22">
        <v>131374.39199999999</v>
      </c>
      <c r="I19" s="22">
        <v>174953.96599999999</v>
      </c>
      <c r="J19" s="22">
        <v>172129.71799999999</v>
      </c>
    </row>
    <row r="20" spans="4:10" x14ac:dyDescent="0.25">
      <c r="D20" s="21" t="s">
        <v>5</v>
      </c>
      <c r="E20" s="22">
        <v>3576.2570000000001</v>
      </c>
      <c r="F20" s="22">
        <v>3883.8910000000001</v>
      </c>
      <c r="G20" s="22">
        <v>4790.9359999999997</v>
      </c>
      <c r="H20" s="22">
        <v>13089.352000000001</v>
      </c>
      <c r="I20" s="22">
        <v>26324.063999999998</v>
      </c>
      <c r="J20" s="22">
        <v>24888.494999999999</v>
      </c>
    </row>
    <row r="21" spans="4:10" x14ac:dyDescent="0.25">
      <c r="D21" s="21" t="s">
        <v>6</v>
      </c>
      <c r="E21" s="22">
        <v>0</v>
      </c>
      <c r="F21" s="22">
        <v>0</v>
      </c>
      <c r="G21" s="22">
        <v>0</v>
      </c>
      <c r="H21" s="22">
        <v>264.88</v>
      </c>
      <c r="I21" s="22">
        <v>293.07499999999999</v>
      </c>
      <c r="J21" s="22">
        <v>17.04</v>
      </c>
    </row>
    <row r="22" spans="4:10" x14ac:dyDescent="0.25">
      <c r="D22" s="21" t="s">
        <v>7</v>
      </c>
      <c r="E22" s="22">
        <v>1131.5340000000001</v>
      </c>
      <c r="F22" s="22">
        <v>1582.539</v>
      </c>
      <c r="G22" s="22">
        <v>3125.6239999999998</v>
      </c>
      <c r="H22" s="22">
        <v>13995.397999999999</v>
      </c>
      <c r="I22" s="22">
        <v>10396.323</v>
      </c>
      <c r="J22" s="22">
        <v>5725.4939999999997</v>
      </c>
    </row>
    <row r="23" spans="4:10" x14ac:dyDescent="0.25">
      <c r="D23" s="21" t="s">
        <v>8</v>
      </c>
      <c r="E23" s="22">
        <v>0</v>
      </c>
      <c r="F23" s="22">
        <v>0</v>
      </c>
      <c r="G23" s="22">
        <v>179044.84899999999</v>
      </c>
      <c r="H23" s="22">
        <v>194283.00099999999</v>
      </c>
      <c r="I23" s="22">
        <v>0</v>
      </c>
      <c r="J23" s="22">
        <v>0</v>
      </c>
    </row>
    <row r="25" spans="4:10" x14ac:dyDescent="0.25">
      <c r="D25" s="53" t="s">
        <v>9</v>
      </c>
      <c r="E25" s="7">
        <f>SUM(E17:E23)</f>
        <v>96500.284</v>
      </c>
      <c r="F25" s="7">
        <f t="shared" ref="F25:I25" si="0">SUM(F17:F23)</f>
        <v>105445.861</v>
      </c>
      <c r="G25" s="7">
        <f t="shared" si="0"/>
        <v>264990.788</v>
      </c>
      <c r="H25" s="7">
        <f t="shared" si="0"/>
        <v>402107.179</v>
      </c>
      <c r="I25" s="7">
        <f t="shared" si="0"/>
        <v>230435.53699999998</v>
      </c>
      <c r="J25" s="7">
        <f t="shared" ref="J25" si="1">SUM(J17:J23)</f>
        <v>248873.584</v>
      </c>
    </row>
    <row r="26" spans="4:10" x14ac:dyDescent="0.25">
      <c r="D26" s="53"/>
      <c r="E26" s="7"/>
      <c r="F26" s="7"/>
      <c r="G26" s="7"/>
      <c r="H26" s="7"/>
      <c r="I26" s="7"/>
      <c r="J26" s="7"/>
    </row>
    <row r="27" spans="4:10" x14ac:dyDescent="0.25">
      <c r="D27" s="53" t="s">
        <v>20</v>
      </c>
      <c r="E27" s="7"/>
      <c r="F27" s="7"/>
      <c r="G27" s="7"/>
      <c r="H27" s="7"/>
      <c r="I27" s="7"/>
      <c r="J27" s="7"/>
    </row>
    <row r="29" spans="4:10" x14ac:dyDescent="0.25">
      <c r="D29" s="21" t="s">
        <v>10</v>
      </c>
      <c r="E29" s="22">
        <v>14588.941999999999</v>
      </c>
      <c r="F29" s="22">
        <v>17381.567999999999</v>
      </c>
      <c r="G29" s="22">
        <v>42723.445</v>
      </c>
      <c r="H29" s="22">
        <v>55456.180999999997</v>
      </c>
      <c r="I29" s="22">
        <f>(57343697+33875900)/1000</f>
        <v>91219.596999999994</v>
      </c>
      <c r="J29" s="22">
        <v>103589.401</v>
      </c>
    </row>
    <row r="30" spans="4:10" x14ac:dyDescent="0.25">
      <c r="D30" s="21" t="s">
        <v>4</v>
      </c>
      <c r="E30" s="22">
        <v>4038.902</v>
      </c>
      <c r="F30" s="22">
        <v>3817.8090000000002</v>
      </c>
      <c r="G30" s="22">
        <v>34747.006000000001</v>
      </c>
      <c r="H30" s="22">
        <v>30126.844000000001</v>
      </c>
      <c r="I30" s="22">
        <v>105658.2</v>
      </c>
      <c r="J30" s="22">
        <v>143641.973</v>
      </c>
    </row>
    <row r="31" spans="4:10" x14ac:dyDescent="0.25">
      <c r="D31" s="21" t="s">
        <v>11</v>
      </c>
      <c r="E31" s="22">
        <v>8735.9259999999995</v>
      </c>
      <c r="F31" s="22">
        <v>23342.565999999999</v>
      </c>
      <c r="G31" s="22">
        <v>35035.629999999997</v>
      </c>
      <c r="H31" s="22">
        <v>54655.214999999997</v>
      </c>
      <c r="I31" s="22">
        <v>45805.290999999997</v>
      </c>
      <c r="J31" s="22">
        <v>41902.521999999997</v>
      </c>
    </row>
    <row r="32" spans="4:10" x14ac:dyDescent="0.25">
      <c r="D32" s="21" t="s">
        <v>12</v>
      </c>
      <c r="E32" s="22">
        <v>77848.429000000004</v>
      </c>
      <c r="F32" s="22">
        <v>77533.066999999995</v>
      </c>
      <c r="G32" s="22">
        <v>88694.164000000004</v>
      </c>
      <c r="H32" s="22">
        <v>57471.796000000002</v>
      </c>
      <c r="I32" s="22">
        <v>43030.550999999999</v>
      </c>
      <c r="J32" s="22">
        <v>36645.315000000002</v>
      </c>
    </row>
    <row r="33" spans="4:10" x14ac:dyDescent="0.25">
      <c r="D33" s="21" t="s">
        <v>7</v>
      </c>
      <c r="E33" s="22">
        <v>0</v>
      </c>
      <c r="F33" s="22">
        <v>2076.3389999999999</v>
      </c>
      <c r="G33" s="22">
        <v>2053.6010000000001</v>
      </c>
      <c r="H33" s="22">
        <v>984.05700000000002</v>
      </c>
      <c r="I33" s="22">
        <v>262.185</v>
      </c>
      <c r="J33" s="22">
        <v>95.915999999999997</v>
      </c>
    </row>
    <row r="34" spans="4:10" x14ac:dyDescent="0.25">
      <c r="D34" s="21" t="s">
        <v>8</v>
      </c>
      <c r="E34" s="22">
        <v>132228.54300000001</v>
      </c>
      <c r="F34" s="22">
        <v>178092.23699999999</v>
      </c>
      <c r="G34" s="22">
        <v>40502.411999999997</v>
      </c>
      <c r="H34" s="22">
        <v>96780.870999999999</v>
      </c>
      <c r="I34" s="22">
        <f>(94049531+198580780)/1000</f>
        <v>292630.31099999999</v>
      </c>
      <c r="J34" s="22">
        <v>282060.28399999999</v>
      </c>
    </row>
    <row r="36" spans="4:10" x14ac:dyDescent="0.25">
      <c r="D36" s="53" t="s">
        <v>14</v>
      </c>
      <c r="E36" s="7">
        <f>SUM(E29:E34)</f>
        <v>237440.742</v>
      </c>
      <c r="F36" s="7">
        <f t="shared" ref="F36:I36" si="2">SUM(F29:F34)</f>
        <v>302243.58600000001</v>
      </c>
      <c r="G36" s="7">
        <f t="shared" si="2"/>
        <v>243756.25799999997</v>
      </c>
      <c r="H36" s="7">
        <f t="shared" si="2"/>
        <v>295474.96399999998</v>
      </c>
      <c r="I36" s="7">
        <f t="shared" si="2"/>
        <v>578606.13500000001</v>
      </c>
      <c r="J36" s="7">
        <f t="shared" ref="J36" si="3">SUM(J29:J34)</f>
        <v>607935.41100000008</v>
      </c>
    </row>
    <row r="38" spans="4:10" x14ac:dyDescent="0.25">
      <c r="D38" s="53" t="s">
        <v>13</v>
      </c>
      <c r="E38" s="7">
        <f>+E25+E36</f>
        <v>333941.02600000001</v>
      </c>
      <c r="F38" s="7">
        <f t="shared" ref="F38:I38" si="4">+F25+F36</f>
        <v>407689.44700000004</v>
      </c>
      <c r="G38" s="7">
        <f t="shared" si="4"/>
        <v>508747.04599999997</v>
      </c>
      <c r="H38" s="7">
        <f t="shared" si="4"/>
        <v>697582.14299999992</v>
      </c>
      <c r="I38" s="7">
        <f t="shared" si="4"/>
        <v>809041.67200000002</v>
      </c>
      <c r="J38" s="7">
        <f t="shared" ref="J38" si="5">+J25+J36</f>
        <v>856808.99500000011</v>
      </c>
    </row>
    <row r="40" spans="4:10" hidden="1" x14ac:dyDescent="0.25">
      <c r="D40" s="21" t="s">
        <v>15</v>
      </c>
      <c r="E40" s="22">
        <v>36190.843000000001</v>
      </c>
      <c r="F40" s="22">
        <v>177148.125</v>
      </c>
      <c r="G40" s="22">
        <v>159498.82500000001</v>
      </c>
      <c r="H40" s="22">
        <v>476985.99400000001</v>
      </c>
      <c r="I40" s="22">
        <v>882250.30500000005</v>
      </c>
      <c r="J40" s="22">
        <v>1036367.688</v>
      </c>
    </row>
    <row r="41" spans="4:10" hidden="1" x14ac:dyDescent="0.25">
      <c r="D41" s="21" t="s">
        <v>16</v>
      </c>
      <c r="E41" s="22">
        <v>0</v>
      </c>
      <c r="F41" s="22">
        <v>0</v>
      </c>
      <c r="G41" s="22">
        <v>219793.37299999999</v>
      </c>
      <c r="H41" s="22">
        <v>120905.719</v>
      </c>
      <c r="I41" s="22">
        <v>186581.10200000001</v>
      </c>
      <c r="J41" s="22">
        <v>218295.45699999999</v>
      </c>
    </row>
    <row r="42" spans="4:10" hidden="1" x14ac:dyDescent="0.25"/>
    <row r="43" spans="4:10" hidden="1" x14ac:dyDescent="0.25">
      <c r="D43" s="53" t="s">
        <v>17</v>
      </c>
      <c r="E43" s="7">
        <f>SUM(E40:E41)</f>
        <v>36190.843000000001</v>
      </c>
      <c r="F43" s="7">
        <f t="shared" ref="F43:I43" si="6">SUM(F40:F41)</f>
        <v>177148.125</v>
      </c>
      <c r="G43" s="7">
        <f t="shared" si="6"/>
        <v>379292.19799999997</v>
      </c>
      <c r="H43" s="7">
        <f t="shared" si="6"/>
        <v>597891.71299999999</v>
      </c>
      <c r="I43" s="7">
        <f t="shared" si="6"/>
        <v>1068831.4070000001</v>
      </c>
      <c r="J43" s="7">
        <f t="shared" ref="J43" si="7">SUM(J40:J41)</f>
        <v>1254663.145</v>
      </c>
    </row>
    <row r="45" spans="4:10" x14ac:dyDescent="0.25">
      <c r="D45" s="53" t="s">
        <v>18</v>
      </c>
    </row>
    <row r="47" spans="4:10" x14ac:dyDescent="0.25">
      <c r="D47" s="53" t="s">
        <v>19</v>
      </c>
    </row>
    <row r="48" spans="4:10" x14ac:dyDescent="0.25">
      <c r="J48" s="8"/>
    </row>
    <row r="49" spans="4:10" x14ac:dyDescent="0.25">
      <c r="D49" s="21" t="s">
        <v>21</v>
      </c>
      <c r="E49" s="22">
        <v>22474.5</v>
      </c>
      <c r="F49" s="22">
        <v>29066.067999999999</v>
      </c>
      <c r="G49" s="22">
        <v>63005.417000000001</v>
      </c>
      <c r="H49" s="22">
        <v>81943.252999999997</v>
      </c>
      <c r="I49" s="22">
        <v>23455.621999999999</v>
      </c>
      <c r="J49" s="22">
        <v>11080</v>
      </c>
    </row>
    <row r="50" spans="4:10" x14ac:dyDescent="0.25">
      <c r="D50" s="21" t="s">
        <v>22</v>
      </c>
      <c r="E50" s="22">
        <v>9540.7090000000007</v>
      </c>
      <c r="F50" s="22">
        <v>8402.7180000000008</v>
      </c>
      <c r="G50" s="22">
        <v>19673.646000000001</v>
      </c>
      <c r="H50" s="22">
        <v>17024.421999999999</v>
      </c>
      <c r="I50" s="22">
        <v>15109.566000000001</v>
      </c>
      <c r="J50" s="22">
        <v>11904.644</v>
      </c>
    </row>
    <row r="51" spans="4:10" x14ac:dyDescent="0.25">
      <c r="D51" s="21" t="s">
        <v>23</v>
      </c>
      <c r="E51" s="22">
        <v>3292.84</v>
      </c>
      <c r="F51" s="22">
        <v>1643.163</v>
      </c>
      <c r="G51" s="22">
        <v>4578.1959999999999</v>
      </c>
      <c r="H51" s="22">
        <v>4525.5810000000001</v>
      </c>
      <c r="I51" s="22">
        <v>2541.77</v>
      </c>
      <c r="J51" s="22">
        <v>5025.8140000000003</v>
      </c>
    </row>
    <row r="52" spans="4:10" x14ac:dyDescent="0.25">
      <c r="D52" s="21" t="s">
        <v>24</v>
      </c>
      <c r="E52" s="22">
        <v>8088.0770000000002</v>
      </c>
      <c r="F52" s="22">
        <v>5367.6670000000004</v>
      </c>
      <c r="G52" s="22">
        <v>5790.3339999999998</v>
      </c>
      <c r="H52" s="22">
        <v>62953.584999999999</v>
      </c>
      <c r="I52" s="22">
        <v>55371.131999999998</v>
      </c>
      <c r="J52" s="22">
        <v>50949.726000000002</v>
      </c>
    </row>
    <row r="53" spans="4:10" x14ac:dyDescent="0.25">
      <c r="D53" s="21" t="s">
        <v>25</v>
      </c>
      <c r="E53" s="22">
        <v>3582.623</v>
      </c>
      <c r="F53" s="22">
        <v>5008.3739999999998</v>
      </c>
      <c r="G53" s="22">
        <v>1156.163</v>
      </c>
      <c r="H53" s="22">
        <v>315.03899999999999</v>
      </c>
      <c r="I53" s="22">
        <v>390.67599999999999</v>
      </c>
      <c r="J53" s="22">
        <v>452.55</v>
      </c>
    </row>
    <row r="54" spans="4:10" x14ac:dyDescent="0.25">
      <c r="D54" s="21" t="s">
        <v>26</v>
      </c>
      <c r="E54" s="22">
        <v>0</v>
      </c>
      <c r="F54" s="22">
        <v>0</v>
      </c>
      <c r="G54" s="22">
        <v>0</v>
      </c>
      <c r="H54" s="22">
        <v>1510.962</v>
      </c>
      <c r="I54" s="22">
        <v>1510.963</v>
      </c>
      <c r="J54" s="22">
        <v>1510.96</v>
      </c>
    </row>
    <row r="55" spans="4:10" x14ac:dyDescent="0.25">
      <c r="D55" s="21" t="s">
        <v>27</v>
      </c>
      <c r="E55" s="22">
        <v>929.529</v>
      </c>
      <c r="F55" s="22">
        <v>766.96199999999999</v>
      </c>
      <c r="G55" s="22">
        <v>875.72900000000004</v>
      </c>
      <c r="H55" s="22">
        <v>1684.1869999999999</v>
      </c>
      <c r="I55" s="22">
        <v>1584.7090000000001</v>
      </c>
      <c r="J55" s="22">
        <v>2085.8519999999999</v>
      </c>
    </row>
    <row r="56" spans="4:10" x14ac:dyDescent="0.25">
      <c r="D56" s="21" t="s">
        <v>28</v>
      </c>
      <c r="E56" s="22">
        <v>1446.519</v>
      </c>
      <c r="F56" s="22">
        <v>1150.384</v>
      </c>
      <c r="G56" s="22">
        <v>1292.568</v>
      </c>
      <c r="H56" s="22">
        <v>9162.518</v>
      </c>
      <c r="I56" s="22">
        <v>10304.258</v>
      </c>
      <c r="J56" s="22">
        <v>21778.981</v>
      </c>
    </row>
    <row r="57" spans="4:10" x14ac:dyDescent="0.25">
      <c r="D57" s="21" t="s">
        <v>29</v>
      </c>
      <c r="E57" s="22">
        <v>13190.617</v>
      </c>
      <c r="F57" s="22">
        <v>8211.3220000000001</v>
      </c>
      <c r="G57" s="22">
        <v>3561.7240000000002</v>
      </c>
      <c r="H57" s="22">
        <v>28226.412</v>
      </c>
      <c r="I57" s="22">
        <v>19594.642</v>
      </c>
      <c r="J57" s="22">
        <v>13186.516</v>
      </c>
    </row>
    <row r="58" spans="4:10" x14ac:dyDescent="0.25">
      <c r="D58" s="21" t="s">
        <v>30</v>
      </c>
      <c r="E58" s="22">
        <v>0</v>
      </c>
      <c r="F58" s="22">
        <v>0</v>
      </c>
      <c r="G58" s="22">
        <v>0</v>
      </c>
      <c r="H58" s="22">
        <v>625.56500000000005</v>
      </c>
      <c r="I58" s="22">
        <v>2702.0610000000001</v>
      </c>
      <c r="J58" s="22">
        <v>0</v>
      </c>
    </row>
    <row r="60" spans="4:10" x14ac:dyDescent="0.25">
      <c r="D60" s="53" t="s">
        <v>31</v>
      </c>
      <c r="E60" s="7">
        <f>SUM(E49:E58)</f>
        <v>62545.413999999997</v>
      </c>
      <c r="F60" s="7">
        <f t="shared" ref="F60:I60" si="8">SUM(F49:F58)</f>
        <v>59616.658000000003</v>
      </c>
      <c r="G60" s="7">
        <f t="shared" si="8"/>
        <v>99933.777000000002</v>
      </c>
      <c r="H60" s="7">
        <f t="shared" si="8"/>
        <v>207971.524</v>
      </c>
      <c r="I60" s="7">
        <f t="shared" si="8"/>
        <v>132565.399</v>
      </c>
      <c r="J60" s="7">
        <f t="shared" ref="J60" si="9">SUM(J49:J58)</f>
        <v>117975.04300000002</v>
      </c>
    </row>
    <row r="62" spans="4:10" x14ac:dyDescent="0.25">
      <c r="D62" s="53" t="s">
        <v>37</v>
      </c>
    </row>
    <row r="64" spans="4:10" x14ac:dyDescent="0.25">
      <c r="D64" s="21" t="s">
        <v>21</v>
      </c>
      <c r="E64" s="22">
        <v>15290.475</v>
      </c>
      <c r="F64" s="22">
        <v>17000</v>
      </c>
      <c r="G64" s="22">
        <v>7000</v>
      </c>
      <c r="H64" s="22">
        <v>0</v>
      </c>
      <c r="I64" s="22">
        <v>21831.15</v>
      </c>
      <c r="J64" s="22">
        <v>29450.59</v>
      </c>
    </row>
    <row r="65" spans="4:10" x14ac:dyDescent="0.25">
      <c r="D65" s="21" t="s">
        <v>32</v>
      </c>
      <c r="E65" s="22">
        <v>32463.393</v>
      </c>
      <c r="F65" s="22">
        <v>43761.953000000001</v>
      </c>
      <c r="G65" s="22">
        <v>46752.567000000003</v>
      </c>
      <c r="H65" s="22">
        <v>35916.053999999996</v>
      </c>
      <c r="I65" s="22">
        <v>19076.620999999999</v>
      </c>
      <c r="J65" s="22">
        <v>8681.42</v>
      </c>
    </row>
    <row r="66" spans="4:10" x14ac:dyDescent="0.25">
      <c r="D66" s="21" t="s">
        <v>33</v>
      </c>
      <c r="E66" s="22">
        <v>5435.8310000000001</v>
      </c>
      <c r="F66" s="22">
        <v>4688.8959999999997</v>
      </c>
      <c r="G66" s="22">
        <v>3103.645</v>
      </c>
      <c r="H66" s="22">
        <v>9250.9320000000007</v>
      </c>
      <c r="I66" s="22">
        <v>13046.641</v>
      </c>
      <c r="J66" s="22">
        <v>12958.463</v>
      </c>
    </row>
    <row r="67" spans="4:10" x14ac:dyDescent="0.25">
      <c r="D67" s="21" t="s">
        <v>25</v>
      </c>
      <c r="E67" s="22">
        <v>0</v>
      </c>
      <c r="F67" s="22">
        <v>0</v>
      </c>
      <c r="G67" s="22">
        <v>0</v>
      </c>
      <c r="H67" s="22">
        <v>3021.922</v>
      </c>
      <c r="I67" s="22">
        <v>1510.96</v>
      </c>
      <c r="J67" s="22">
        <v>0</v>
      </c>
    </row>
    <row r="68" spans="4:10" x14ac:dyDescent="0.25">
      <c r="D68" s="21" t="s">
        <v>34</v>
      </c>
      <c r="E68" s="22">
        <v>0</v>
      </c>
      <c r="F68" s="22">
        <v>0</v>
      </c>
      <c r="G68" s="22">
        <v>0</v>
      </c>
      <c r="H68" s="22">
        <v>204.8</v>
      </c>
      <c r="I68" s="22">
        <v>0</v>
      </c>
      <c r="J68" s="22">
        <v>0</v>
      </c>
    </row>
    <row r="69" spans="4:10" x14ac:dyDescent="0.25">
      <c r="D69" s="21" t="s">
        <v>35</v>
      </c>
      <c r="E69" s="22">
        <v>559.44500000000005</v>
      </c>
      <c r="F69" s="22">
        <v>293.67700000000002</v>
      </c>
      <c r="G69" s="22">
        <v>166.721</v>
      </c>
      <c r="H69" s="22">
        <v>0</v>
      </c>
      <c r="I69" s="22">
        <v>0</v>
      </c>
      <c r="J69" s="22">
        <v>0</v>
      </c>
    </row>
    <row r="70" spans="4:10" x14ac:dyDescent="0.25">
      <c r="D70" s="21" t="s">
        <v>36</v>
      </c>
      <c r="E70" s="22">
        <v>7625.4229999999998</v>
      </c>
      <c r="F70" s="22">
        <v>890.79100000000005</v>
      </c>
      <c r="G70" s="22">
        <v>10827.567999999999</v>
      </c>
      <c r="H70" s="22">
        <v>432.52300000000002</v>
      </c>
      <c r="I70" s="22">
        <v>235.482</v>
      </c>
      <c r="J70" s="22">
        <v>35373.436000000002</v>
      </c>
    </row>
    <row r="72" spans="4:10" x14ac:dyDescent="0.25">
      <c r="D72" s="53" t="s">
        <v>38</v>
      </c>
      <c r="E72" s="7">
        <f>SUM(E64:E70)</f>
        <v>61374.567000000003</v>
      </c>
      <c r="F72" s="7">
        <f t="shared" ref="F72:I72" si="10">SUM(F64:F70)</f>
        <v>66635.316999999995</v>
      </c>
      <c r="G72" s="7">
        <f t="shared" si="10"/>
        <v>67850.500999999989</v>
      </c>
      <c r="H72" s="7">
        <f t="shared" si="10"/>
        <v>48826.231</v>
      </c>
      <c r="I72" s="7">
        <f t="shared" si="10"/>
        <v>55700.853999999999</v>
      </c>
      <c r="J72" s="7">
        <f t="shared" ref="J72" si="11">SUM(J64:J70)</f>
        <v>86463.909</v>
      </c>
    </row>
    <row r="74" spans="4:10" x14ac:dyDescent="0.25">
      <c r="D74" s="53" t="s">
        <v>39</v>
      </c>
      <c r="E74" s="7">
        <f>+E60+E72</f>
        <v>123919.981</v>
      </c>
      <c r="F74" s="7">
        <f t="shared" ref="F74:I74" si="12">+F60+F72</f>
        <v>126251.97500000001</v>
      </c>
      <c r="G74" s="7">
        <f t="shared" si="12"/>
        <v>167784.27799999999</v>
      </c>
      <c r="H74" s="7">
        <f t="shared" si="12"/>
        <v>256797.755</v>
      </c>
      <c r="I74" s="7">
        <f t="shared" si="12"/>
        <v>188266.253</v>
      </c>
      <c r="J74" s="7">
        <f t="shared" ref="J74" si="13">+J60+J72</f>
        <v>204438.95200000002</v>
      </c>
    </row>
    <row r="76" spans="4:10" x14ac:dyDescent="0.25">
      <c r="D76" s="53" t="s">
        <v>54</v>
      </c>
    </row>
    <row r="78" spans="4:10" x14ac:dyDescent="0.25">
      <c r="D78" s="21" t="s">
        <v>40</v>
      </c>
      <c r="E78" s="22">
        <v>22882.02</v>
      </c>
      <c r="F78" s="22">
        <v>23582.02</v>
      </c>
      <c r="G78" s="22">
        <v>23582.039000000001</v>
      </c>
      <c r="H78" s="22">
        <v>23582.039000000001</v>
      </c>
      <c r="I78" s="22">
        <v>23582.039000000001</v>
      </c>
      <c r="J78" s="22">
        <v>23582.039000000001</v>
      </c>
    </row>
    <row r="79" spans="4:10" x14ac:dyDescent="0.25">
      <c r="D79" s="21" t="s">
        <v>41</v>
      </c>
      <c r="E79" s="22">
        <v>-10086.531999999999</v>
      </c>
      <c r="F79" s="22">
        <v>-10752.927</v>
      </c>
      <c r="G79" s="22">
        <v>-10752.946</v>
      </c>
      <c r="H79" s="22">
        <v>-10752.946</v>
      </c>
      <c r="I79" s="22">
        <v>-7880.433</v>
      </c>
      <c r="J79" s="22">
        <v>-7880.433</v>
      </c>
    </row>
    <row r="80" spans="4:10" x14ac:dyDescent="0.25">
      <c r="D80" s="21" t="s">
        <v>42</v>
      </c>
      <c r="E80" s="22">
        <v>0</v>
      </c>
      <c r="F80" s="22">
        <v>0</v>
      </c>
      <c r="G80" s="22">
        <v>0</v>
      </c>
      <c r="H80" s="22">
        <v>0</v>
      </c>
      <c r="I80" s="22">
        <v>0</v>
      </c>
      <c r="J80" s="22">
        <v>0</v>
      </c>
    </row>
    <row r="82" spans="4:10" x14ac:dyDescent="0.25">
      <c r="D82" s="53" t="s">
        <v>43</v>
      </c>
      <c r="E82" s="7">
        <f>SUM(E78:E80)</f>
        <v>12795.488000000001</v>
      </c>
      <c r="F82" s="7">
        <f t="shared" ref="F82:H82" si="14">SUM(F78:F80)</f>
        <v>12829.093000000001</v>
      </c>
      <c r="G82" s="7">
        <f t="shared" si="14"/>
        <v>12829.093000000001</v>
      </c>
      <c r="H82" s="7">
        <f t="shared" si="14"/>
        <v>12829.093000000001</v>
      </c>
      <c r="I82" s="7">
        <f>SUM(I78:I80)</f>
        <v>15701.606</v>
      </c>
      <c r="J82" s="7">
        <f t="shared" ref="J82" si="15">SUM(J78:J80)</f>
        <v>15701.606</v>
      </c>
    </row>
    <row r="84" spans="4:10" x14ac:dyDescent="0.25">
      <c r="D84" s="21" t="s">
        <v>44</v>
      </c>
      <c r="E84" s="22">
        <f>(+E82)</f>
        <v>12795.488000000001</v>
      </c>
      <c r="F84" s="22">
        <f t="shared" ref="F84:J84" si="16">(+F82)</f>
        <v>12829.093000000001</v>
      </c>
      <c r="G84" s="22">
        <f t="shared" si="16"/>
        <v>12829.093000000001</v>
      </c>
      <c r="H84" s="22">
        <f t="shared" si="16"/>
        <v>12829.093000000001</v>
      </c>
      <c r="I84" s="22">
        <f t="shared" si="16"/>
        <v>15701.606</v>
      </c>
      <c r="J84" s="22">
        <f t="shared" si="16"/>
        <v>15701.606</v>
      </c>
    </row>
    <row r="85" spans="4:10" x14ac:dyDescent="0.25">
      <c r="D85" s="21" t="s">
        <v>45</v>
      </c>
      <c r="E85" s="22">
        <v>31897.929</v>
      </c>
      <c r="F85" s="22">
        <v>50444.92</v>
      </c>
      <c r="G85" s="22">
        <v>75664.460999999996</v>
      </c>
      <c r="H85" s="22">
        <v>90250.630999999994</v>
      </c>
      <c r="I85" s="22">
        <v>119344.41</v>
      </c>
      <c r="J85" s="22">
        <v>137080.75899999999</v>
      </c>
    </row>
    <row r="86" spans="4:10" x14ac:dyDescent="0.25">
      <c r="D86" s="21" t="s">
        <v>46</v>
      </c>
      <c r="E86" s="22">
        <v>8847.5789999999997</v>
      </c>
      <c r="F86" s="22">
        <v>8451.6820000000007</v>
      </c>
      <c r="G86" s="22">
        <v>8055.7830000000004</v>
      </c>
      <c r="H86" s="22">
        <v>2011.9369999999999</v>
      </c>
      <c r="I86" s="22">
        <v>2011.9369999999999</v>
      </c>
      <c r="J86" s="22">
        <v>2011.9369999999999</v>
      </c>
    </row>
    <row r="87" spans="4:10" x14ac:dyDescent="0.25">
      <c r="D87" s="21" t="s">
        <v>47</v>
      </c>
      <c r="E87" s="22">
        <v>5121.6289999999999</v>
      </c>
      <c r="F87" s="22">
        <v>0</v>
      </c>
      <c r="G87" s="22">
        <v>0</v>
      </c>
      <c r="H87" s="22">
        <v>0</v>
      </c>
      <c r="I87" s="22">
        <v>0</v>
      </c>
      <c r="J87" s="22">
        <v>0</v>
      </c>
    </row>
    <row r="88" spans="4:10" x14ac:dyDescent="0.25">
      <c r="D88" s="21" t="s">
        <v>48</v>
      </c>
      <c r="E88" s="22">
        <v>0</v>
      </c>
      <c r="F88" s="22">
        <v>0</v>
      </c>
      <c r="G88" s="22">
        <v>0</v>
      </c>
      <c r="H88" s="22">
        <v>0</v>
      </c>
      <c r="I88" s="22">
        <v>159711.69500000001</v>
      </c>
      <c r="J88" s="22">
        <v>159711.69500000001</v>
      </c>
    </row>
    <row r="89" spans="4:10" x14ac:dyDescent="0.25">
      <c r="D89" s="21" t="s">
        <v>49</v>
      </c>
      <c r="E89" s="22">
        <v>0</v>
      </c>
      <c r="F89" s="22">
        <v>-29.388000000000002</v>
      </c>
      <c r="G89" s="22">
        <v>0</v>
      </c>
      <c r="H89" s="22">
        <v>0</v>
      </c>
      <c r="I89" s="22">
        <v>0</v>
      </c>
      <c r="J89" s="22">
        <v>0</v>
      </c>
    </row>
    <row r="90" spans="4:10" x14ac:dyDescent="0.25">
      <c r="D90" s="21" t="s">
        <v>50</v>
      </c>
      <c r="E90" s="22">
        <f>(+'ER2008-2013'!E42)</f>
        <v>18895.363000000019</v>
      </c>
      <c r="F90" s="22">
        <f>(+'ER2008-2013'!F42)</f>
        <v>31648.928999999982</v>
      </c>
      <c r="G90" s="22">
        <f>(+'ER2008-2013'!G42)</f>
        <v>24866.172000000013</v>
      </c>
      <c r="H90" s="22">
        <f>(+'ER2008-2013'!H42)</f>
        <v>41593.777999999984</v>
      </c>
      <c r="I90" s="22">
        <f>(+'ER2008-2013'!I42)</f>
        <v>31750.874999999993</v>
      </c>
      <c r="J90" s="22">
        <f>(+'ER2008-2013'!J42)</f>
        <v>55803.761000000013</v>
      </c>
    </row>
    <row r="91" spans="4:10" x14ac:dyDescent="0.25">
      <c r="D91" s="21" t="s">
        <v>51</v>
      </c>
      <c r="E91" s="22">
        <v>0</v>
      </c>
      <c r="F91" s="22">
        <v>0</v>
      </c>
      <c r="G91" s="22">
        <v>0</v>
      </c>
      <c r="H91" s="22">
        <v>3035.0770000000002</v>
      </c>
      <c r="I91" s="22">
        <v>-375.41300000000001</v>
      </c>
      <c r="J91" s="22">
        <v>0</v>
      </c>
    </row>
    <row r="92" spans="4:10" x14ac:dyDescent="0.25">
      <c r="D92" s="21" t="s">
        <v>52</v>
      </c>
      <c r="E92" s="22">
        <v>234.51400000000001</v>
      </c>
      <c r="F92" s="22">
        <v>0</v>
      </c>
      <c r="G92" s="22">
        <v>0</v>
      </c>
      <c r="H92" s="22">
        <v>0</v>
      </c>
      <c r="I92" s="22">
        <v>0</v>
      </c>
      <c r="J92" s="22">
        <v>0</v>
      </c>
    </row>
    <row r="93" spans="4:10" x14ac:dyDescent="0.25">
      <c r="D93" s="21" t="s">
        <v>53</v>
      </c>
      <c r="E93" s="22">
        <v>132228.54300000001</v>
      </c>
      <c r="F93" s="22">
        <v>178092.23699999999</v>
      </c>
      <c r="G93" s="22">
        <v>219547.26199999999</v>
      </c>
      <c r="H93" s="22">
        <v>291063.87300000002</v>
      </c>
      <c r="I93" s="22">
        <v>292630.31199999998</v>
      </c>
      <c r="J93" s="22">
        <v>282060.28399999999</v>
      </c>
    </row>
    <row r="95" spans="4:10" x14ac:dyDescent="0.25">
      <c r="D95" s="53" t="s">
        <v>55</v>
      </c>
      <c r="E95" s="7">
        <f t="shared" ref="E95:J95" si="17">SUM(E84:E93)</f>
        <v>210021.04500000001</v>
      </c>
      <c r="F95" s="7">
        <f t="shared" si="17"/>
        <v>281437.473</v>
      </c>
      <c r="G95" s="7">
        <f t="shared" si="17"/>
        <v>340962.77100000001</v>
      </c>
      <c r="H95" s="7">
        <f t="shared" si="17"/>
        <v>440784.38899999997</v>
      </c>
      <c r="I95" s="7">
        <f t="shared" si="17"/>
        <v>620775.42200000002</v>
      </c>
      <c r="J95" s="7">
        <f t="shared" si="17"/>
        <v>652370.0419999999</v>
      </c>
    </row>
    <row r="97" spans="4:10" x14ac:dyDescent="0.25">
      <c r="D97" s="53" t="s">
        <v>56</v>
      </c>
      <c r="E97" s="7">
        <f>+E74+E95</f>
        <v>333941.02600000001</v>
      </c>
      <c r="F97" s="7">
        <f t="shared" ref="F97:I97" si="18">+F74+F95</f>
        <v>407689.44799999997</v>
      </c>
      <c r="G97" s="7">
        <f t="shared" si="18"/>
        <v>508747.049</v>
      </c>
      <c r="H97" s="7">
        <f t="shared" si="18"/>
        <v>697582.14399999997</v>
      </c>
      <c r="I97" s="7">
        <f t="shared" si="18"/>
        <v>809041.67500000005</v>
      </c>
      <c r="J97" s="7">
        <f>+J74+J95</f>
        <v>856808.99399999995</v>
      </c>
    </row>
    <row r="98" spans="4:10" x14ac:dyDescent="0.25">
      <c r="E98" s="8"/>
      <c r="F98" s="8"/>
      <c r="G98" s="8"/>
      <c r="H98" s="8"/>
      <c r="I98" s="8"/>
      <c r="J98" s="8"/>
    </row>
    <row r="99" spans="4:10" x14ac:dyDescent="0.25">
      <c r="D99" s="21" t="s">
        <v>57</v>
      </c>
      <c r="E99" s="22">
        <v>36190.843000000001</v>
      </c>
      <c r="F99" s="22">
        <v>177148.125</v>
      </c>
      <c r="G99" s="22">
        <v>159498.04699999999</v>
      </c>
      <c r="H99" s="22">
        <v>120905.719</v>
      </c>
      <c r="I99" s="22">
        <v>186581.10200000001</v>
      </c>
      <c r="J99" s="22">
        <v>218295.45699999999</v>
      </c>
    </row>
    <row r="100" spans="4:10" x14ac:dyDescent="0.25">
      <c r="D100" s="21" t="s">
        <v>58</v>
      </c>
      <c r="E100" s="22">
        <v>0</v>
      </c>
      <c r="F100" s="22">
        <v>0</v>
      </c>
      <c r="G100" s="22">
        <v>219793.37299999999</v>
      </c>
      <c r="H100" s="22">
        <v>476985.99400000001</v>
      </c>
      <c r="I100" s="22">
        <v>882250.30500000005</v>
      </c>
      <c r="J100" s="22">
        <v>1036367.688</v>
      </c>
    </row>
    <row r="102" spans="4:10" x14ac:dyDescent="0.25">
      <c r="D102" s="53" t="s">
        <v>17</v>
      </c>
      <c r="E102" s="7">
        <f>SUM(E99:E100)</f>
        <v>36190.843000000001</v>
      </c>
      <c r="F102" s="7">
        <f t="shared" ref="F102:I102" si="19">SUM(F99:F100)</f>
        <v>177148.125</v>
      </c>
      <c r="G102" s="7">
        <f t="shared" si="19"/>
        <v>379291.42</v>
      </c>
      <c r="H102" s="7">
        <f t="shared" si="19"/>
        <v>597891.71299999999</v>
      </c>
      <c r="I102" s="7">
        <f t="shared" si="19"/>
        <v>1068831.4070000001</v>
      </c>
      <c r="J102" s="7">
        <f t="shared" ref="J102" si="20">SUM(J99:J100)</f>
        <v>1254663.145</v>
      </c>
    </row>
    <row r="104" spans="4:10" s="59" customFormat="1" x14ac:dyDescent="0.25">
      <c r="D104" s="59" t="s">
        <v>208</v>
      </c>
      <c r="E104" s="60">
        <f>+E38-E97</f>
        <v>0</v>
      </c>
      <c r="F104" s="60">
        <f t="shared" ref="F104:J104" si="21">+F38-F97</f>
        <v>-9.9999993108212948E-4</v>
      </c>
      <c r="G104" s="60">
        <f t="shared" si="21"/>
        <v>-3.0000000260770321E-3</v>
      </c>
      <c r="H104" s="60">
        <f t="shared" si="21"/>
        <v>-1.0000000474974513E-3</v>
      </c>
      <c r="I104" s="60">
        <f t="shared" si="21"/>
        <v>-3.0000000260770321E-3</v>
      </c>
      <c r="J104" s="60">
        <f t="shared" si="21"/>
        <v>1.0000001639127731E-3</v>
      </c>
    </row>
  </sheetData>
  <mergeCells count="1">
    <mergeCell ref="D8:J8"/>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9:P57"/>
  <sheetViews>
    <sheetView showGridLines="0" workbookViewId="0">
      <selection activeCell="R66" sqref="R66"/>
    </sheetView>
  </sheetViews>
  <sheetFormatPr baseColWidth="10" defaultRowHeight="15" x14ac:dyDescent="0.25"/>
  <cols>
    <col min="2" max="2" width="4" customWidth="1"/>
    <col min="3" max="3" width="1.5703125" customWidth="1"/>
    <col min="4" max="4" width="2.42578125" customWidth="1"/>
    <col min="5" max="5" width="9.28515625" customWidth="1"/>
    <col min="6" max="6" width="8" customWidth="1"/>
    <col min="7" max="7" width="10.5703125" bestFit="1" customWidth="1"/>
    <col min="8" max="8" width="12.28515625" bestFit="1" customWidth="1"/>
    <col min="9" max="9" width="9" bestFit="1" customWidth="1"/>
    <col min="10" max="10" width="13" bestFit="1" customWidth="1"/>
    <col min="11" max="11" width="9" bestFit="1" customWidth="1"/>
  </cols>
  <sheetData>
    <row r="9" spans="2:16" ht="18.75" x14ac:dyDescent="0.25">
      <c r="C9" s="379" t="s">
        <v>701</v>
      </c>
      <c r="D9" s="379"/>
      <c r="E9" s="379"/>
      <c r="F9" s="379"/>
      <c r="G9" s="379"/>
      <c r="H9" s="379"/>
      <c r="I9" s="379"/>
      <c r="J9" s="379"/>
      <c r="K9" s="379"/>
      <c r="L9" s="379"/>
      <c r="M9" s="379"/>
      <c r="N9" s="379"/>
    </row>
    <row r="11" spans="2:16" hidden="1" x14ac:dyDescent="0.25"/>
    <row r="12" spans="2:16" hidden="1" x14ac:dyDescent="0.25">
      <c r="F12" s="154"/>
      <c r="G12" s="4">
        <v>2014</v>
      </c>
      <c r="H12" s="4">
        <v>2015</v>
      </c>
      <c r="I12" s="4">
        <v>2016</v>
      </c>
      <c r="J12" s="4">
        <v>2017</v>
      </c>
      <c r="K12" s="4">
        <v>2018</v>
      </c>
      <c r="L12" s="4">
        <v>2019</v>
      </c>
      <c r="M12" s="4">
        <v>2020</v>
      </c>
      <c r="N12" s="4">
        <v>2021</v>
      </c>
      <c r="O12" s="4">
        <v>2022</v>
      </c>
      <c r="P12" s="4">
        <v>2023</v>
      </c>
    </row>
    <row r="13" spans="2:16" hidden="1" x14ac:dyDescent="0.25">
      <c r="F13" s="155" t="s">
        <v>608</v>
      </c>
      <c r="G13" s="156">
        <f>+VRACIONPAT!C13</f>
        <v>49270.922004520085</v>
      </c>
      <c r="H13" s="156">
        <f>+VRACIONPAT!D13</f>
        <v>68272.877440564596</v>
      </c>
      <c r="I13" s="156">
        <f>+VRACIONPAT!E13</f>
        <v>71232.471382563468</v>
      </c>
      <c r="J13" s="156">
        <f>+VRACIONPAT!F13</f>
        <v>76835.433417706925</v>
      </c>
      <c r="K13" s="156">
        <f>+VRACIONPAT!G13</f>
        <v>83524.889834236252</v>
      </c>
      <c r="L13" s="156">
        <f>+VRACIONPAT!H13</f>
        <v>90207.133223382683</v>
      </c>
      <c r="M13" s="156">
        <f>+VRACIONPAT!I13</f>
        <v>93085.968148675442</v>
      </c>
      <c r="N13" s="156">
        <f>+VRACIONPAT!J13</f>
        <v>101460.90532028783</v>
      </c>
      <c r="O13" s="156">
        <f>+VRACIONPAT!K13</f>
        <v>107298.45238312044</v>
      </c>
      <c r="P13" s="156">
        <f>+VRACIONPAT!L13</f>
        <v>112676.08308219929</v>
      </c>
    </row>
    <row r="14" spans="2:16" hidden="1" x14ac:dyDescent="0.25">
      <c r="B14" s="239"/>
      <c r="F14" s="155" t="s">
        <v>609</v>
      </c>
      <c r="G14" s="156"/>
      <c r="H14" s="157">
        <f>+(H13/G13)-1</f>
        <v>0.38566267207870153</v>
      </c>
      <c r="I14" s="157">
        <f t="shared" ref="I14:P14" si="0">+(I13/H13)-1</f>
        <v>4.3349483029704761E-2</v>
      </c>
      <c r="J14" s="157">
        <f t="shared" si="0"/>
        <v>7.8657414608739318E-2</v>
      </c>
      <c r="K14" s="157">
        <f t="shared" si="0"/>
        <v>8.7062129007106304E-2</v>
      </c>
      <c r="L14" s="157">
        <f t="shared" si="0"/>
        <v>8.0003019488059657E-2</v>
      </c>
      <c r="M14" s="157">
        <f t="shared" si="0"/>
        <v>3.1913606190807631E-2</v>
      </c>
      <c r="N14" s="157">
        <f t="shared" si="0"/>
        <v>8.9969920689185523E-2</v>
      </c>
      <c r="O14" s="157">
        <f t="shared" si="0"/>
        <v>5.7534939634185989E-2</v>
      </c>
      <c r="P14" s="157">
        <f t="shared" si="0"/>
        <v>5.0118436749464479E-2</v>
      </c>
    </row>
    <row r="15" spans="2:16" hidden="1" x14ac:dyDescent="0.25">
      <c r="B15" s="73"/>
      <c r="F15" s="154"/>
      <c r="G15" s="158"/>
      <c r="H15" s="159"/>
      <c r="I15" s="159"/>
      <c r="J15" s="159"/>
      <c r="K15" s="159"/>
      <c r="L15" s="159"/>
      <c r="M15" s="159"/>
      <c r="N15" s="159"/>
      <c r="O15" s="159"/>
      <c r="P15" s="159"/>
    </row>
    <row r="16" spans="2:16" hidden="1" x14ac:dyDescent="0.25">
      <c r="F16" s="5" t="s">
        <v>621</v>
      </c>
      <c r="G16" s="160">
        <v>0.1004</v>
      </c>
      <c r="H16" s="161"/>
      <c r="I16" s="162"/>
      <c r="J16" s="162"/>
      <c r="K16" s="162"/>
      <c r="L16" s="153"/>
      <c r="M16" s="153"/>
      <c r="N16" s="153"/>
      <c r="O16" s="153"/>
      <c r="P16" s="153"/>
    </row>
    <row r="17" spans="6:16" hidden="1" x14ac:dyDescent="0.25">
      <c r="F17" s="161"/>
      <c r="G17" s="154"/>
      <c r="H17" s="161"/>
      <c r="I17" s="163"/>
      <c r="J17" s="163"/>
      <c r="K17" s="163"/>
      <c r="L17" s="153"/>
      <c r="M17" s="153"/>
      <c r="N17" s="153"/>
      <c r="O17" s="153"/>
      <c r="P17" s="153"/>
    </row>
    <row r="18" spans="6:16" hidden="1" x14ac:dyDescent="0.25">
      <c r="F18" s="155" t="s">
        <v>610</v>
      </c>
      <c r="G18" s="157">
        <f>+VRACIONPAT!C18</f>
        <v>0.10335142923057013</v>
      </c>
      <c r="H18" s="157">
        <f>+VRACIONPAT!D18</f>
        <v>0.1004846508512071</v>
      </c>
      <c r="I18" s="157">
        <f>+VRACIONPAT!E18</f>
        <v>9.9837639744518702E-2</v>
      </c>
      <c r="J18" s="157">
        <f>+VRACIONPAT!F18</f>
        <v>9.907966357909187E-2</v>
      </c>
      <c r="K18" s="157">
        <f>+VRACIONPAT!G18</f>
        <v>9.8237441739034759E-2</v>
      </c>
      <c r="L18" s="157">
        <f>+VRACIONPAT!H18</f>
        <v>9.7384745973950512E-2</v>
      </c>
      <c r="M18" s="157">
        <f>+VRACIONPAT!I18</f>
        <v>9.6385307132758724E-2</v>
      </c>
      <c r="N18" s="157">
        <f>+VRACIONPAT!J18</f>
        <v>9.5369552531121088E-2</v>
      </c>
      <c r="O18" s="157">
        <f>+VRACIONPAT!K18</f>
        <v>9.4359623736058953E-2</v>
      </c>
      <c r="P18" s="157">
        <f>+VRACIONPAT!L18</f>
        <v>9.3270341981054314E-2</v>
      </c>
    </row>
    <row r="19" spans="6:16" hidden="1" x14ac:dyDescent="0.25">
      <c r="F19" s="164"/>
      <c r="G19" s="159"/>
      <c r="H19" s="159"/>
      <c r="I19" s="159"/>
      <c r="J19" s="159"/>
      <c r="K19" s="159"/>
      <c r="L19" s="159"/>
      <c r="M19" s="159"/>
      <c r="N19" s="159"/>
      <c r="O19" s="159"/>
      <c r="P19" s="159"/>
    </row>
    <row r="20" spans="6:16" hidden="1" x14ac:dyDescent="0.25">
      <c r="F20" s="5" t="s">
        <v>622</v>
      </c>
      <c r="G20" s="160">
        <f>+AVERAGE(G18:P18)</f>
        <v>9.7776039649936627E-2</v>
      </c>
      <c r="H20" s="169"/>
      <c r="I20" s="154"/>
      <c r="J20" s="154"/>
      <c r="K20" s="154"/>
      <c r="L20" s="153"/>
      <c r="M20" s="153"/>
      <c r="N20" s="153"/>
      <c r="O20" s="153"/>
      <c r="P20" s="153"/>
    </row>
    <row r="21" spans="6:16" hidden="1" x14ac:dyDescent="0.25">
      <c r="F21" s="5"/>
      <c r="G21" s="160"/>
      <c r="H21" s="169"/>
      <c r="I21" s="154"/>
      <c r="J21" s="154"/>
      <c r="K21" s="154"/>
      <c r="L21" s="153"/>
      <c r="M21" s="153"/>
      <c r="N21" s="153"/>
      <c r="O21" s="153"/>
      <c r="P21" s="153"/>
    </row>
    <row r="22" spans="6:16" hidden="1" x14ac:dyDescent="0.25">
      <c r="F22" s="5" t="s">
        <v>709</v>
      </c>
      <c r="G22" s="269">
        <v>0</v>
      </c>
      <c r="H22" s="154"/>
      <c r="I22" s="154"/>
      <c r="J22" s="154"/>
      <c r="K22" s="154"/>
      <c r="L22" s="153"/>
      <c r="M22" s="153"/>
      <c r="N22" s="153"/>
      <c r="O22" s="153"/>
      <c r="P22" s="153"/>
    </row>
    <row r="23" spans="6:16" hidden="1" x14ac:dyDescent="0.25">
      <c r="F23" s="154"/>
      <c r="G23" s="154"/>
      <c r="H23" s="154"/>
      <c r="I23" s="154"/>
      <c r="J23" s="154"/>
      <c r="K23" s="154"/>
      <c r="L23" s="153"/>
      <c r="M23" s="153"/>
      <c r="N23" s="153"/>
      <c r="O23" s="153"/>
      <c r="P23" s="153"/>
    </row>
    <row r="24" spans="6:16" hidden="1" x14ac:dyDescent="0.25">
      <c r="F24" s="155" t="s">
        <v>612</v>
      </c>
      <c r="G24" s="156">
        <f>+NPV(G20,G13:P13)</f>
        <v>499442.14453469595</v>
      </c>
      <c r="H24" s="263">
        <f>+NPV(G16,G13:P13)</f>
        <v>493079.58434874605</v>
      </c>
      <c r="I24" s="154"/>
      <c r="J24" s="154"/>
      <c r="K24" s="154"/>
      <c r="L24" s="153"/>
      <c r="M24" s="153"/>
      <c r="N24" s="153"/>
      <c r="O24" s="153"/>
      <c r="P24" s="153"/>
    </row>
    <row r="25" spans="6:16" hidden="1" x14ac:dyDescent="0.25">
      <c r="F25" s="155" t="s">
        <v>613</v>
      </c>
      <c r="G25" s="156">
        <f>+P13/(P18-G22)</f>
        <v>1208059.0752533833</v>
      </c>
      <c r="H25" s="154"/>
      <c r="I25" s="154"/>
      <c r="J25" s="154"/>
      <c r="K25" s="154"/>
      <c r="L25" s="153"/>
      <c r="M25" s="153"/>
      <c r="N25" s="153"/>
      <c r="O25" s="153"/>
      <c r="P25" s="153"/>
    </row>
    <row r="26" spans="6:16" hidden="1" x14ac:dyDescent="0.25">
      <c r="F26" s="155" t="s">
        <v>614</v>
      </c>
      <c r="G26" s="156">
        <f>+G25*(1/(1+G20)^(P12-G12))</f>
        <v>521752.3868708128</v>
      </c>
      <c r="H26" s="154"/>
      <c r="I26" s="154"/>
      <c r="J26" s="154"/>
      <c r="K26" s="154"/>
      <c r="L26" s="153"/>
      <c r="M26" s="153"/>
      <c r="N26" s="153"/>
      <c r="O26" s="153"/>
      <c r="P26" s="153"/>
    </row>
    <row r="27" spans="6:16" hidden="1" x14ac:dyDescent="0.25">
      <c r="F27" s="155" t="s">
        <v>615</v>
      </c>
      <c r="G27" s="156">
        <f>+G24+G26</f>
        <v>1021194.5314055088</v>
      </c>
      <c r="H27" s="154"/>
      <c r="I27" s="154"/>
      <c r="J27" s="154"/>
      <c r="K27" s="154"/>
      <c r="L27" s="153"/>
      <c r="M27" s="153"/>
      <c r="N27" s="153"/>
      <c r="O27" s="153"/>
      <c r="P27" s="153"/>
    </row>
    <row r="28" spans="6:16" hidden="1" x14ac:dyDescent="0.25">
      <c r="F28" s="165"/>
      <c r="G28" s="166"/>
      <c r="H28" s="154"/>
      <c r="I28" s="154"/>
      <c r="J28" s="154"/>
      <c r="K28" s="154"/>
      <c r="L28" s="153"/>
      <c r="M28" s="153"/>
      <c r="N28" s="153"/>
      <c r="O28" s="153"/>
      <c r="P28" s="153"/>
    </row>
    <row r="29" spans="6:16" hidden="1" x14ac:dyDescent="0.25">
      <c r="F29" s="155" t="s">
        <v>623</v>
      </c>
      <c r="G29" s="156">
        <f>+VRACIONPAT!C29</f>
        <v>-376437.37311309634</v>
      </c>
      <c r="H29" s="154"/>
      <c r="I29" s="154"/>
      <c r="J29" s="154"/>
      <c r="K29" s="154"/>
      <c r="L29" s="153"/>
      <c r="M29" s="153"/>
      <c r="N29" s="153"/>
      <c r="O29" s="153"/>
      <c r="P29" s="153"/>
    </row>
    <row r="30" spans="6:16" hidden="1" x14ac:dyDescent="0.25">
      <c r="F30" s="154"/>
      <c r="G30" s="154"/>
      <c r="H30" s="167"/>
      <c r="I30" s="167"/>
      <c r="J30" s="167"/>
      <c r="K30" s="154"/>
      <c r="L30" s="153"/>
      <c r="M30" s="153"/>
      <c r="N30" s="153"/>
      <c r="O30" s="153"/>
      <c r="P30" s="153"/>
    </row>
    <row r="31" spans="6:16" ht="15.75" hidden="1" x14ac:dyDescent="0.25">
      <c r="F31" s="5" t="s">
        <v>616</v>
      </c>
      <c r="G31" s="240">
        <f>+G27+G29</f>
        <v>644757.15829241241</v>
      </c>
      <c r="H31" s="154"/>
      <c r="I31" s="154"/>
      <c r="J31" s="154"/>
      <c r="K31" s="154"/>
      <c r="L31" s="153"/>
      <c r="M31" s="153"/>
      <c r="N31" s="153"/>
      <c r="O31" s="153"/>
      <c r="P31" s="153"/>
    </row>
    <row r="32" spans="6:16" hidden="1" x14ac:dyDescent="0.25"/>
    <row r="33" spans="6:8" hidden="1" x14ac:dyDescent="0.25"/>
    <row r="34" spans="6:8" hidden="1" x14ac:dyDescent="0.25">
      <c r="F34" s="21" t="s">
        <v>625</v>
      </c>
      <c r="G34" s="22">
        <f>+PRACCION!G14</f>
        <v>109032.04785579591</v>
      </c>
    </row>
    <row r="35" spans="6:8" hidden="1" x14ac:dyDescent="0.25">
      <c r="F35" s="21" t="s">
        <v>626</v>
      </c>
      <c r="G35" s="156">
        <f>+PRACCION!G15</f>
        <v>610579.4679924571</v>
      </c>
    </row>
    <row r="36" spans="6:8" hidden="1" x14ac:dyDescent="0.25"/>
    <row r="37" spans="6:8" hidden="1" x14ac:dyDescent="0.25">
      <c r="F37" s="51" t="s">
        <v>700</v>
      </c>
      <c r="G37" s="18">
        <f>+G31+G34+G35</f>
        <v>1364368.6741406654</v>
      </c>
    </row>
    <row r="38" spans="6:8" hidden="1" x14ac:dyDescent="0.25"/>
    <row r="39" spans="6:8" hidden="1" x14ac:dyDescent="0.25">
      <c r="F39" s="21" t="s">
        <v>628</v>
      </c>
      <c r="G39" s="22">
        <f>+PRACCION!G19</f>
        <v>-376437.37311309634</v>
      </c>
    </row>
    <row r="40" spans="6:8" hidden="1" x14ac:dyDescent="0.25">
      <c r="F40" s="9"/>
      <c r="G40" s="10"/>
    </row>
    <row r="41" spans="6:8" hidden="1" x14ac:dyDescent="0.25">
      <c r="F41" s="9" t="s">
        <v>702</v>
      </c>
      <c r="G41" s="77">
        <v>0</v>
      </c>
    </row>
    <row r="42" spans="6:8" hidden="1" x14ac:dyDescent="0.25">
      <c r="G42" s="90"/>
    </row>
    <row r="43" spans="6:8" hidden="1" x14ac:dyDescent="0.25">
      <c r="F43" s="51" t="s">
        <v>627</v>
      </c>
      <c r="G43" s="14">
        <f>+((G37+G39)*G41)+G37+G39</f>
        <v>987931.3010275691</v>
      </c>
    </row>
    <row r="44" spans="6:8" hidden="1" x14ac:dyDescent="0.25"/>
    <row r="45" spans="6:8" hidden="1" x14ac:dyDescent="0.25">
      <c r="F45" s="21" t="s">
        <v>631</v>
      </c>
      <c r="G45" s="22">
        <v>628.06420000000003</v>
      </c>
    </row>
    <row r="46" spans="6:8" hidden="1" x14ac:dyDescent="0.25"/>
    <row r="47" spans="6:8" ht="18.75" hidden="1" x14ac:dyDescent="0.25">
      <c r="F47" s="171" t="s">
        <v>699</v>
      </c>
      <c r="G47" s="172">
        <f>+ROUNDUP((G43/G45),-1)</f>
        <v>1580</v>
      </c>
      <c r="H47" s="72"/>
    </row>
    <row r="48" spans="6:8" hidden="1" x14ac:dyDescent="0.25"/>
    <row r="49" spans="6:12" hidden="1" x14ac:dyDescent="0.25"/>
    <row r="51" spans="6:12" x14ac:dyDescent="0.25">
      <c r="G51" s="389" t="s">
        <v>478</v>
      </c>
      <c r="H51" s="389"/>
      <c r="I51" s="389"/>
      <c r="J51" s="389"/>
      <c r="K51" s="389"/>
      <c r="L51" s="389"/>
    </row>
    <row r="52" spans="6:12" ht="17.25" customHeight="1" x14ac:dyDescent="0.25">
      <c r="F52" s="388" t="s">
        <v>710</v>
      </c>
      <c r="G52" s="275">
        <f>+G47</f>
        <v>1580</v>
      </c>
      <c r="H52" s="277">
        <f>+I52-1%</f>
        <v>7.7800000000000008E-2</v>
      </c>
      <c r="I52" s="277">
        <f>+J52-1%</f>
        <v>8.7800000000000003E-2</v>
      </c>
      <c r="J52" s="277">
        <v>9.7799999999999998E-2</v>
      </c>
      <c r="K52" s="277">
        <f>+J52+1%</f>
        <v>0.10779999999999999</v>
      </c>
      <c r="L52" s="277">
        <f>+K52+1%</f>
        <v>0.11779999999999999</v>
      </c>
    </row>
    <row r="53" spans="6:12" ht="15" customHeight="1" x14ac:dyDescent="0.25">
      <c r="F53" s="388"/>
      <c r="G53" s="276">
        <v>-1.4999999999999999E-2</v>
      </c>
      <c r="H53" s="22">
        <f t="dataTable" ref="H53:L57" dt2D="1" dtr="1" r1="G20" r2="G22"/>
        <v>1680</v>
      </c>
      <c r="I53" s="22">
        <v>1560</v>
      </c>
      <c r="J53" s="22">
        <v>1460</v>
      </c>
      <c r="K53" s="22">
        <v>1370</v>
      </c>
      <c r="L53" s="22">
        <v>1280</v>
      </c>
    </row>
    <row r="54" spans="6:12" ht="15.75" thickBot="1" x14ac:dyDescent="0.3">
      <c r="F54" s="388"/>
      <c r="G54" s="276">
        <v>-0.01</v>
      </c>
      <c r="H54" s="22">
        <v>1720</v>
      </c>
      <c r="I54" s="278">
        <v>1600</v>
      </c>
      <c r="J54" s="279">
        <v>1500</v>
      </c>
      <c r="K54" s="278">
        <v>1400</v>
      </c>
      <c r="L54" s="22">
        <v>1310</v>
      </c>
    </row>
    <row r="55" spans="6:12" ht="19.5" thickBot="1" x14ac:dyDescent="0.3">
      <c r="F55" s="388"/>
      <c r="G55" s="276">
        <f>+G54+0.01</f>
        <v>0</v>
      </c>
      <c r="H55" s="22">
        <v>1810</v>
      </c>
      <c r="I55" s="280">
        <v>1690</v>
      </c>
      <c r="J55" s="281">
        <v>1580</v>
      </c>
      <c r="K55" s="282">
        <v>1480</v>
      </c>
      <c r="L55" s="22">
        <v>1380</v>
      </c>
    </row>
    <row r="56" spans="6:12" x14ac:dyDescent="0.25">
      <c r="F56" s="388"/>
      <c r="G56" s="276">
        <f t="shared" ref="G56:G57" si="1">+G55+1%</f>
        <v>0.01</v>
      </c>
      <c r="H56" s="22">
        <v>1930</v>
      </c>
      <c r="I56" s="278">
        <v>1800</v>
      </c>
      <c r="J56" s="283">
        <v>1680</v>
      </c>
      <c r="K56" s="278">
        <v>1570</v>
      </c>
      <c r="L56" s="22">
        <v>1470</v>
      </c>
    </row>
    <row r="57" spans="6:12" x14ac:dyDescent="0.25">
      <c r="F57" s="388"/>
      <c r="G57" s="276">
        <f t="shared" si="1"/>
        <v>0.02</v>
      </c>
      <c r="H57" s="22">
        <v>2080</v>
      </c>
      <c r="I57" s="22">
        <v>1940</v>
      </c>
      <c r="J57" s="22">
        <v>1800</v>
      </c>
      <c r="K57" s="22">
        <v>1680</v>
      </c>
      <c r="L57" s="22">
        <v>1570</v>
      </c>
    </row>
  </sheetData>
  <mergeCells count="3">
    <mergeCell ref="F52:F57"/>
    <mergeCell ref="C9:N9"/>
    <mergeCell ref="G51:L51"/>
  </mergeCells>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B7:J51"/>
  <sheetViews>
    <sheetView showGridLines="0" topLeftCell="A13" zoomScale="115" zoomScaleNormal="115" workbookViewId="0">
      <selection activeCell="I26" sqref="I26"/>
    </sheetView>
  </sheetViews>
  <sheetFormatPr baseColWidth="10" defaultRowHeight="15" x14ac:dyDescent="0.25"/>
  <cols>
    <col min="1" max="1" width="2.85546875" customWidth="1"/>
    <col min="2" max="2" width="41.28515625" bestFit="1" customWidth="1"/>
    <col min="3" max="3" width="12.28515625" bestFit="1" customWidth="1"/>
    <col min="4" max="4" width="17.85546875" style="123" bestFit="1" customWidth="1"/>
    <col min="5" max="5" width="15" style="123" bestFit="1" customWidth="1"/>
    <col min="6" max="6" width="14.85546875" style="123" bestFit="1" customWidth="1"/>
    <col min="7" max="7" width="10.7109375" style="123" bestFit="1" customWidth="1"/>
    <col min="8" max="8" width="11.42578125" style="123" bestFit="1" customWidth="1"/>
  </cols>
  <sheetData>
    <row r="7" spans="2:8" ht="15.75" thickBot="1" x14ac:dyDescent="0.3"/>
    <row r="8" spans="2:8" ht="19.5" thickBot="1" x14ac:dyDescent="0.3">
      <c r="B8" s="380" t="s">
        <v>484</v>
      </c>
      <c r="C8" s="381"/>
      <c r="D8" s="381"/>
      <c r="E8" s="381"/>
      <c r="F8" s="381"/>
      <c r="G8" s="381"/>
      <c r="H8" s="381"/>
    </row>
    <row r="11" spans="2:8" x14ac:dyDescent="0.25">
      <c r="B11" s="116" t="s">
        <v>737</v>
      </c>
      <c r="C11" s="116" t="s">
        <v>736</v>
      </c>
      <c r="D11" s="116" t="s">
        <v>735</v>
      </c>
      <c r="E11" s="116" t="s">
        <v>716</v>
      </c>
      <c r="F11" s="116" t="s">
        <v>717</v>
      </c>
      <c r="G11" s="116" t="s">
        <v>485</v>
      </c>
      <c r="H11" s="116" t="s">
        <v>1974</v>
      </c>
    </row>
    <row r="12" spans="2:8" x14ac:dyDescent="0.25">
      <c r="B12" s="291" t="s">
        <v>721</v>
      </c>
      <c r="C12" s="291" t="s">
        <v>720</v>
      </c>
      <c r="D12" s="292">
        <v>813343</v>
      </c>
      <c r="E12" s="292">
        <v>14.58</v>
      </c>
      <c r="F12" s="292">
        <v>10.46</v>
      </c>
      <c r="G12" s="292">
        <v>11.81</v>
      </c>
      <c r="H12" s="292">
        <v>2.65</v>
      </c>
    </row>
    <row r="13" spans="2:8" x14ac:dyDescent="0.25">
      <c r="B13" s="131" t="s">
        <v>734</v>
      </c>
      <c r="C13" s="131" t="s">
        <v>733</v>
      </c>
      <c r="D13" s="117">
        <v>8032</v>
      </c>
      <c r="E13" s="117">
        <v>20.78</v>
      </c>
      <c r="F13" s="117">
        <v>13.1</v>
      </c>
      <c r="G13" s="117">
        <v>8.56</v>
      </c>
      <c r="H13" s="117">
        <v>1.35</v>
      </c>
    </row>
    <row r="14" spans="2:8" x14ac:dyDescent="0.25">
      <c r="B14" s="131" t="s">
        <v>732</v>
      </c>
      <c r="C14" s="131" t="s">
        <v>731</v>
      </c>
      <c r="D14" s="117">
        <v>4810</v>
      </c>
      <c r="E14" s="117">
        <v>24.99</v>
      </c>
      <c r="F14" s="117">
        <v>15.9</v>
      </c>
      <c r="G14" s="117">
        <v>11.53</v>
      </c>
      <c r="H14" s="117">
        <v>5.78</v>
      </c>
    </row>
    <row r="15" spans="2:8" x14ac:dyDescent="0.25">
      <c r="B15" s="131" t="s">
        <v>730</v>
      </c>
      <c r="C15" s="131" t="s">
        <v>727</v>
      </c>
      <c r="D15" s="117">
        <v>1297</v>
      </c>
      <c r="E15" s="117">
        <v>41.61</v>
      </c>
      <c r="F15" s="117">
        <v>252.29</v>
      </c>
      <c r="G15" s="117">
        <v>22.29</v>
      </c>
      <c r="H15" s="117">
        <v>0.56999999999999995</v>
      </c>
    </row>
    <row r="16" spans="2:8" x14ac:dyDescent="0.25">
      <c r="B16" s="131" t="s">
        <v>729</v>
      </c>
      <c r="C16" s="131" t="s">
        <v>722</v>
      </c>
      <c r="D16" s="117">
        <v>56485</v>
      </c>
      <c r="E16" s="117">
        <v>65.760000000000005</v>
      </c>
      <c r="F16" s="117">
        <v>4.1100000000000003</v>
      </c>
      <c r="G16" s="117">
        <v>13.6</v>
      </c>
      <c r="H16" s="117">
        <v>1.91</v>
      </c>
    </row>
    <row r="17" spans="2:8" x14ac:dyDescent="0.25">
      <c r="B17" s="131" t="s">
        <v>728</v>
      </c>
      <c r="C17" s="131" t="s">
        <v>727</v>
      </c>
      <c r="D17" s="117">
        <v>1887</v>
      </c>
      <c r="E17" s="117">
        <v>14.61</v>
      </c>
      <c r="F17" s="117">
        <v>24.81</v>
      </c>
      <c r="G17" s="117">
        <v>7.17</v>
      </c>
      <c r="H17" s="117">
        <v>0.45</v>
      </c>
    </row>
    <row r="18" spans="2:8" x14ac:dyDescent="0.25">
      <c r="B18" s="131" t="s">
        <v>1975</v>
      </c>
      <c r="C18" s="131" t="s">
        <v>720</v>
      </c>
      <c r="D18" s="117">
        <v>1384876</v>
      </c>
      <c r="E18" s="117">
        <v>19.989999999999998</v>
      </c>
      <c r="F18" s="117">
        <v>8.09</v>
      </c>
      <c r="G18" s="117">
        <v>13.52</v>
      </c>
      <c r="H18" s="117">
        <v>2.25</v>
      </c>
    </row>
    <row r="19" spans="2:8" x14ac:dyDescent="0.25">
      <c r="B19" s="131" t="s">
        <v>726</v>
      </c>
      <c r="C19" s="131" t="s">
        <v>725</v>
      </c>
      <c r="D19" s="117">
        <v>538377</v>
      </c>
      <c r="E19" s="117">
        <v>49.17</v>
      </c>
      <c r="F19" s="117" t="s">
        <v>636</v>
      </c>
      <c r="G19" s="117">
        <v>17.440000000000001</v>
      </c>
      <c r="H19" s="117">
        <v>1.37</v>
      </c>
    </row>
    <row r="20" spans="2:8" x14ac:dyDescent="0.25">
      <c r="B20" s="131" t="s">
        <v>724</v>
      </c>
      <c r="C20" s="131" t="s">
        <v>720</v>
      </c>
      <c r="D20" s="117">
        <v>1714677</v>
      </c>
      <c r="E20" s="117">
        <v>17.510000000000002</v>
      </c>
      <c r="F20" s="117">
        <v>12.08</v>
      </c>
      <c r="G20" s="117">
        <v>50.3</v>
      </c>
      <c r="H20" s="117">
        <v>7.49</v>
      </c>
    </row>
    <row r="21" spans="2:8" x14ac:dyDescent="0.25">
      <c r="B21" s="131" t="s">
        <v>723</v>
      </c>
      <c r="C21" s="131" t="s">
        <v>722</v>
      </c>
      <c r="D21" s="117">
        <v>3767</v>
      </c>
      <c r="E21" s="117">
        <v>56.13</v>
      </c>
      <c r="F21" s="117">
        <v>1.27</v>
      </c>
      <c r="G21" s="117">
        <v>4.62</v>
      </c>
      <c r="H21" s="117">
        <v>1.61</v>
      </c>
    </row>
    <row r="22" spans="2:8" x14ac:dyDescent="0.25">
      <c r="B22" s="348" t="s">
        <v>1972</v>
      </c>
      <c r="C22" s="348"/>
      <c r="D22" s="349">
        <f>+AVERAGE(D12:D21)</f>
        <v>452755.1</v>
      </c>
      <c r="E22" s="349">
        <f>+AVERAGE(E13,E14,E15,E17,E18,E19,E20,E21)</f>
        <v>30.598749999999995</v>
      </c>
      <c r="F22" s="349">
        <f>+AVERAGE(F13,F14,F16,F17,F18,F20,F21)</f>
        <v>11.337142857142856</v>
      </c>
      <c r="G22" s="349">
        <f>+AVERAGE(G13:G21)</f>
        <v>16.558888888888887</v>
      </c>
      <c r="H22" s="349">
        <f>+AVERAGE(H13:H21)</f>
        <v>2.5311111111111111</v>
      </c>
    </row>
    <row r="23" spans="2:8" x14ac:dyDescent="0.25">
      <c r="B23" s="340" t="s">
        <v>1952</v>
      </c>
      <c r="C23" s="347"/>
      <c r="D23" s="341"/>
      <c r="E23" s="352">
        <f>+E22*C35</f>
        <v>2718.7113634633579</v>
      </c>
      <c r="F23" s="352">
        <f>+F22*C38</f>
        <v>1403.3666088128014</v>
      </c>
      <c r="G23" s="352">
        <f>+(G22*C42)/C33</f>
        <v>1816.1239979921513</v>
      </c>
      <c r="H23" s="352">
        <f>+(H22*306867)/C33</f>
        <v>1236.6800218826879</v>
      </c>
    </row>
    <row r="24" spans="2:8" x14ac:dyDescent="0.25">
      <c r="B24" s="175" t="s">
        <v>1976</v>
      </c>
      <c r="C24" s="339"/>
      <c r="D24" s="290"/>
      <c r="E24" s="290" t="s">
        <v>1950</v>
      </c>
      <c r="F24" s="290" t="s">
        <v>1950</v>
      </c>
      <c r="G24" s="290" t="s">
        <v>1950</v>
      </c>
      <c r="H24" s="290" t="s">
        <v>1984</v>
      </c>
    </row>
    <row r="25" spans="2:8" x14ac:dyDescent="0.25">
      <c r="B25" s="175" t="s">
        <v>1978</v>
      </c>
      <c r="C25" s="339"/>
      <c r="D25" s="290"/>
      <c r="E25" s="346">
        <f>1-($C$29/E23)</f>
        <v>0.52367139174704314</v>
      </c>
      <c r="F25" s="346">
        <f>1-($C$29/F23)</f>
        <v>7.7219030388984145E-2</v>
      </c>
      <c r="G25" s="346">
        <f>1-($C$29/G23)</f>
        <v>0.28694296125610885</v>
      </c>
      <c r="H25" s="346">
        <f t="shared" ref="H25" si="0">1-($C$29/H23)</f>
        <v>-4.7158502672766778E-2</v>
      </c>
    </row>
    <row r="26" spans="2:8" x14ac:dyDescent="0.25">
      <c r="B26" s="175" t="s">
        <v>1958</v>
      </c>
      <c r="C26" s="339"/>
      <c r="D26" s="339"/>
      <c r="E26" s="346">
        <f>1-$C$30/E23</f>
        <v>0.41884231579948117</v>
      </c>
      <c r="F26" s="346">
        <f>1-$C$30/F23</f>
        <v>-0.12586404014316988</v>
      </c>
      <c r="G26" s="346">
        <f>1-$C$30/G23</f>
        <v>0.13001535041285861</v>
      </c>
      <c r="H26" s="346">
        <f>1-$C$30/H23</f>
        <v>-0.27761423492121362</v>
      </c>
    </row>
    <row r="27" spans="2:8" x14ac:dyDescent="0.25">
      <c r="B27" s="123" t="s">
        <v>1951</v>
      </c>
      <c r="C27" s="123"/>
    </row>
    <row r="29" spans="2:8" x14ac:dyDescent="0.25">
      <c r="B29" s="345" t="s">
        <v>1977</v>
      </c>
      <c r="C29" s="117">
        <v>1295</v>
      </c>
      <c r="E29" s="368"/>
    </row>
    <row r="30" spans="2:8" x14ac:dyDescent="0.25">
      <c r="B30" s="345" t="s">
        <v>1957</v>
      </c>
      <c r="C30" s="117">
        <f>+PRACCION!G25</f>
        <v>1580</v>
      </c>
    </row>
    <row r="31" spans="2:8" x14ac:dyDescent="0.25">
      <c r="B31" s="345" t="s">
        <v>1966</v>
      </c>
      <c r="C31" s="117">
        <v>24.4</v>
      </c>
    </row>
    <row r="33" spans="2:10" x14ac:dyDescent="0.25">
      <c r="B33" s="131" t="s">
        <v>1954</v>
      </c>
      <c r="C33" s="117">
        <v>628.06421999999998</v>
      </c>
    </row>
    <row r="34" spans="2:10" x14ac:dyDescent="0.25">
      <c r="B34" s="131" t="s">
        <v>1959</v>
      </c>
      <c r="C34" s="117">
        <f>+'ERPR2008-2023'!J42</f>
        <v>55803.761000000013</v>
      </c>
      <c r="D34" s="368"/>
    </row>
    <row r="35" spans="2:10" x14ac:dyDescent="0.25">
      <c r="B35" s="131" t="s">
        <v>1953</v>
      </c>
      <c r="C35" s="117">
        <f>+C34/C33</f>
        <v>88.850406093822727</v>
      </c>
      <c r="D35" s="368"/>
      <c r="E35" s="368"/>
    </row>
    <row r="36" spans="2:10" x14ac:dyDescent="0.25">
      <c r="D36" s="368"/>
    </row>
    <row r="37" spans="2:10" x14ac:dyDescent="0.25">
      <c r="B37" s="131" t="s">
        <v>1960</v>
      </c>
      <c r="C37" s="117">
        <f>+FCLHISTORICO!J28</f>
        <v>77744.83974000001</v>
      </c>
      <c r="E37" s="368"/>
    </row>
    <row r="38" spans="2:10" x14ac:dyDescent="0.25">
      <c r="B38" s="131" t="s">
        <v>1955</v>
      </c>
      <c r="C38" s="117">
        <f>+C37/C33</f>
        <v>123.78485712814529</v>
      </c>
      <c r="D38" s="368"/>
      <c r="E38" s="368"/>
      <c r="F38" s="368"/>
    </row>
    <row r="39" spans="2:10" x14ac:dyDescent="0.25">
      <c r="B39" s="344"/>
      <c r="C39" s="343"/>
      <c r="D39" s="368"/>
      <c r="E39" s="368"/>
      <c r="F39" s="368"/>
    </row>
    <row r="40" spans="2:10" x14ac:dyDescent="0.25">
      <c r="B40" s="344"/>
      <c r="C40" s="343"/>
      <c r="F40" s="368"/>
    </row>
    <row r="41" spans="2:10" x14ac:dyDescent="0.25">
      <c r="B41" s="353" t="s">
        <v>1968</v>
      </c>
      <c r="C41" s="354" t="s">
        <v>1969</v>
      </c>
      <c r="D41" s="355" t="s">
        <v>1970</v>
      </c>
      <c r="F41" s="368"/>
    </row>
    <row r="42" spans="2:10" x14ac:dyDescent="0.25">
      <c r="B42" s="360" t="s">
        <v>1962</v>
      </c>
      <c r="C42" s="361">
        <v>68884</v>
      </c>
      <c r="D42" s="362"/>
      <c r="E42" s="368"/>
      <c r="F42" s="373"/>
    </row>
    <row r="43" spans="2:10" ht="15.75" x14ac:dyDescent="0.25">
      <c r="B43" s="360" t="s">
        <v>1961</v>
      </c>
      <c r="C43" s="361">
        <f>(813343164900/1000000)</f>
        <v>813343.16489999997</v>
      </c>
      <c r="D43" s="363"/>
      <c r="E43" s="350"/>
      <c r="F43" s="356"/>
    </row>
    <row r="44" spans="2:10" ht="15.75" x14ac:dyDescent="0.25">
      <c r="B44" s="360" t="s">
        <v>1956</v>
      </c>
      <c r="C44" s="361">
        <f>+C43/C33</f>
        <v>1295</v>
      </c>
      <c r="D44" s="364"/>
      <c r="E44" s="368"/>
      <c r="F44" s="369"/>
    </row>
    <row r="45" spans="2:10" ht="15.75" x14ac:dyDescent="0.25">
      <c r="B45" s="360" t="s">
        <v>485</v>
      </c>
      <c r="C45" s="365"/>
      <c r="D45" s="361">
        <f>+C43/C42</f>
        <v>11.807432276000231</v>
      </c>
      <c r="E45" s="351"/>
      <c r="F45" s="356"/>
    </row>
    <row r="46" spans="2:10" ht="15.75" x14ac:dyDescent="0.25">
      <c r="B46" s="360" t="s">
        <v>1964</v>
      </c>
      <c r="C46" s="365"/>
      <c r="D46" s="361">
        <f>+C44/C35</f>
        <v>14.575060001780162</v>
      </c>
      <c r="F46" s="369"/>
      <c r="G46" s="368"/>
      <c r="J46" s="343"/>
    </row>
    <row r="47" spans="2:10" ht="15.75" x14ac:dyDescent="0.25">
      <c r="B47" s="360" t="s">
        <v>1963</v>
      </c>
      <c r="C47" s="365"/>
      <c r="D47" s="361">
        <f>+C44/C38</f>
        <v>10.461699678332888</v>
      </c>
      <c r="F47" s="371"/>
      <c r="G47" s="368"/>
      <c r="H47" s="370"/>
    </row>
    <row r="48" spans="2:10" ht="15.75" x14ac:dyDescent="0.25">
      <c r="B48" s="360" t="s">
        <v>1965</v>
      </c>
      <c r="C48" s="365"/>
      <c r="D48" s="366">
        <f>+C31/C44</f>
        <v>1.884169884169884E-2</v>
      </c>
      <c r="F48" s="357"/>
      <c r="G48" s="372"/>
    </row>
    <row r="49" spans="2:4" x14ac:dyDescent="0.25">
      <c r="B49" s="360" t="s">
        <v>1967</v>
      </c>
      <c r="C49" s="365"/>
      <c r="D49" s="367">
        <f>+C44/C43</f>
        <v>1.5921938683276689E-3</v>
      </c>
    </row>
    <row r="50" spans="2:4" x14ac:dyDescent="0.25">
      <c r="B50" s="360" t="s">
        <v>1973</v>
      </c>
      <c r="C50" s="365"/>
      <c r="D50" s="367">
        <f>+C43/'ER2008-2013'!J13</f>
        <v>2.6504745816699806</v>
      </c>
    </row>
    <row r="51" spans="2:4" x14ac:dyDescent="0.25">
      <c r="B51" s="358" t="s">
        <v>1971</v>
      </c>
      <c r="C51" s="358"/>
      <c r="D51" s="359">
        <f>+AVERAGE(D45:D50)</f>
        <v>6.5858500717488804</v>
      </c>
    </row>
  </sheetData>
  <mergeCells count="1">
    <mergeCell ref="B8:H8"/>
  </mergeCells>
  <pageMargins left="0.7" right="0.7" top="0.75" bottom="0.75" header="0.3" footer="0.3"/>
  <pageSetup orientation="portrait" r:id="rId1"/>
  <ignoredErrors>
    <ignoredError sqref="G22:H22"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7:K94"/>
  <sheetViews>
    <sheetView showGridLines="0" topLeftCell="A5" workbookViewId="0">
      <selection activeCell="K17" sqref="K17"/>
    </sheetView>
  </sheetViews>
  <sheetFormatPr baseColWidth="10" defaultRowHeight="15" x14ac:dyDescent="0.25"/>
  <cols>
    <col min="1" max="1" width="11.42578125" style="2"/>
    <col min="2" max="2" width="11.85546875" style="2" customWidth="1"/>
    <col min="3" max="3" width="45.85546875" style="2" bestFit="1" customWidth="1"/>
    <col min="4" max="7" width="13.42578125" style="2" customWidth="1"/>
    <col min="8" max="8" width="15" style="2" bestFit="1" customWidth="1"/>
    <col min="9" max="9" width="13.28515625" style="2" bestFit="1" customWidth="1"/>
    <col min="10" max="16384" width="11.42578125" style="2"/>
  </cols>
  <sheetData>
    <row r="7" spans="2:11" ht="15.75" thickBot="1" x14ac:dyDescent="0.3"/>
    <row r="8" spans="2:11" ht="24" customHeight="1" thickBot="1" x14ac:dyDescent="0.3">
      <c r="C8" s="380" t="s">
        <v>124</v>
      </c>
      <c r="D8" s="381"/>
      <c r="E8" s="381"/>
      <c r="F8" s="381"/>
      <c r="G8" s="381"/>
      <c r="H8" s="381"/>
      <c r="I8" s="382"/>
    </row>
    <row r="10" spans="2:11" x14ac:dyDescent="0.25">
      <c r="B10" s="1"/>
      <c r="C10" s="3"/>
      <c r="D10" s="4">
        <v>2008</v>
      </c>
      <c r="E10" s="4">
        <v>2009</v>
      </c>
      <c r="F10" s="4">
        <v>2010</v>
      </c>
      <c r="G10" s="4">
        <v>2011</v>
      </c>
      <c r="H10" s="4">
        <v>2012</v>
      </c>
      <c r="I10" s="4">
        <v>2013</v>
      </c>
    </row>
    <row r="11" spans="2:11" x14ac:dyDescent="0.25">
      <c r="B11" s="1"/>
      <c r="C11" s="3"/>
      <c r="D11" s="3"/>
      <c r="E11" s="3"/>
      <c r="F11" s="3"/>
      <c r="G11" s="3"/>
      <c r="H11" s="3"/>
    </row>
    <row r="12" spans="2:11" x14ac:dyDescent="0.25">
      <c r="C12" s="21" t="s">
        <v>120</v>
      </c>
      <c r="D12" s="22">
        <f>+'ERPR2008-2023'!E13</f>
        <v>191413.47700000001</v>
      </c>
      <c r="E12" s="22">
        <f>+'ERPR2008-2023'!F13</f>
        <v>222721.31599999999</v>
      </c>
      <c r="F12" s="22">
        <f>+'ERPR2008-2023'!G13</f>
        <v>214414.239</v>
      </c>
      <c r="G12" s="22">
        <f>+'ERPR2008-2023'!H13</f>
        <v>239826.701</v>
      </c>
      <c r="H12" s="22">
        <f>+'ERPR2008-2023'!I13</f>
        <v>264981.21799999999</v>
      </c>
      <c r="I12" s="22">
        <f>+'ERPR2008-2023'!J13</f>
        <v>306866.99300000002</v>
      </c>
    </row>
    <row r="13" spans="2:11" x14ac:dyDescent="0.25">
      <c r="C13" s="21" t="s">
        <v>121</v>
      </c>
      <c r="D13" s="22">
        <f>+'ERPR2008-2023'!E17</f>
        <v>-162694.41099999999</v>
      </c>
      <c r="E13" s="22">
        <f>+'ERPR2008-2023'!F17</f>
        <v>-183376.93700000001</v>
      </c>
      <c r="F13" s="22">
        <f>+'ERPR2008-2023'!G17</f>
        <v>-195135.8</v>
      </c>
      <c r="G13" s="22">
        <f>+'ERPR2008-2023'!H17</f>
        <v>-204288.12100000001</v>
      </c>
      <c r="H13" s="22">
        <f>+'ERPR2008-2023'!I17</f>
        <v>-230679.09</v>
      </c>
      <c r="I13" s="22">
        <f>+'ERPR2008-2023'!J17</f>
        <v>-246877.611</v>
      </c>
    </row>
    <row r="14" spans="2:11" x14ac:dyDescent="0.25">
      <c r="C14" s="21" t="s">
        <v>122</v>
      </c>
      <c r="D14" s="22">
        <f>+'ERPR2008-2023'!E22</f>
        <v>-7780.2479999999996</v>
      </c>
      <c r="E14" s="22">
        <f>+'ERPR2008-2023'!F22</f>
        <v>-13694.688</v>
      </c>
      <c r="F14" s="22">
        <f>+'ERPR2008-2023'!G22</f>
        <v>-9113.8700000000008</v>
      </c>
      <c r="G14" s="22">
        <f>+'ERPR2008-2023'!H22</f>
        <v>-11978.58</v>
      </c>
      <c r="H14" s="22">
        <f>+'ERPR2008-2023'!I22</f>
        <v>-12745.097</v>
      </c>
      <c r="I14" s="22">
        <f>+'ERPR2008-2023'!J22</f>
        <v>-15754.243</v>
      </c>
    </row>
    <row r="15" spans="2:11" x14ac:dyDescent="0.25">
      <c r="C15" s="23"/>
      <c r="D15" s="23"/>
      <c r="E15" s="23"/>
      <c r="F15" s="23"/>
      <c r="G15" s="23"/>
      <c r="H15" s="24"/>
      <c r="I15" s="24"/>
    </row>
    <row r="16" spans="2:11" x14ac:dyDescent="0.25">
      <c r="C16" s="11" t="s">
        <v>123</v>
      </c>
      <c r="D16" s="18">
        <f>SUM(D12:D14)</f>
        <v>20938.818000000021</v>
      </c>
      <c r="E16" s="18">
        <f t="shared" ref="E16:H16" si="0">SUM(E12:E14)</f>
        <v>25649.690999999984</v>
      </c>
      <c r="F16" s="18">
        <f t="shared" si="0"/>
        <v>10164.569000000012</v>
      </c>
      <c r="G16" s="18">
        <f t="shared" si="0"/>
        <v>23559.999999999985</v>
      </c>
      <c r="H16" s="18">
        <f t="shared" si="0"/>
        <v>21557.030999999995</v>
      </c>
      <c r="I16" s="18">
        <f>SUM(I12:I14)</f>
        <v>44235.13900000001</v>
      </c>
      <c r="K16" s="8"/>
    </row>
    <row r="17" spans="3:11" x14ac:dyDescent="0.25">
      <c r="C17" s="25"/>
      <c r="D17" s="25"/>
      <c r="E17" s="25"/>
      <c r="F17" s="25"/>
      <c r="G17" s="25"/>
      <c r="H17" s="26"/>
      <c r="I17" s="26"/>
      <c r="K17" s="8"/>
    </row>
    <row r="18" spans="3:11" x14ac:dyDescent="0.25">
      <c r="C18" s="21" t="s">
        <v>95</v>
      </c>
      <c r="D18" s="22">
        <f>+'ECAMBIO SF 2008-2012 ajust'!D16</f>
        <v>12052.148999999999</v>
      </c>
      <c r="E18" s="22">
        <f>+'ECAMBIO SF 2008-2012 ajust'!E16</f>
        <v>14887.266</v>
      </c>
      <c r="F18" s="22">
        <f>+'ECAMBIO SF 2008-2012 ajust'!F16</f>
        <v>15387.388999999999</v>
      </c>
      <c r="G18" s="22">
        <f>+'ECAMBIO SF 2008-2012 ajust'!G16</f>
        <v>18010.786</v>
      </c>
      <c r="H18" s="22">
        <f>+'ECAMBIO SF 2008-2012 ajust'!H16</f>
        <v>17478.534</v>
      </c>
      <c r="I18" s="22">
        <f>+'ECAMBIO SF 2008-2012 ajust'!I16</f>
        <v>17434.353999999999</v>
      </c>
    </row>
    <row r="19" spans="3:11" x14ac:dyDescent="0.25">
      <c r="C19" s="21" t="s">
        <v>96</v>
      </c>
      <c r="D19" s="21"/>
      <c r="E19" s="21"/>
      <c r="F19" s="21"/>
      <c r="G19" s="21"/>
      <c r="H19" s="22">
        <v>0</v>
      </c>
      <c r="I19" s="22">
        <v>0</v>
      </c>
    </row>
    <row r="20" spans="3:11" x14ac:dyDescent="0.25">
      <c r="C20" s="23"/>
      <c r="D20" s="23"/>
      <c r="E20" s="23"/>
      <c r="F20" s="23"/>
      <c r="G20" s="23"/>
      <c r="H20" s="24"/>
      <c r="I20" s="24"/>
    </row>
    <row r="21" spans="3:11" x14ac:dyDescent="0.25">
      <c r="C21" s="11" t="s">
        <v>125</v>
      </c>
      <c r="D21" s="18">
        <f>+D16-SUM(D18:D19)</f>
        <v>8886.6690000000217</v>
      </c>
      <c r="E21" s="18">
        <f t="shared" ref="E21:H21" si="1">+E16-SUM(E18:E19)</f>
        <v>10762.424999999985</v>
      </c>
      <c r="F21" s="18">
        <f t="shared" si="1"/>
        <v>-5222.819999999987</v>
      </c>
      <c r="G21" s="18">
        <f t="shared" si="1"/>
        <v>5549.2139999999854</v>
      </c>
      <c r="H21" s="18">
        <f t="shared" si="1"/>
        <v>4078.4969999999958</v>
      </c>
      <c r="I21" s="18">
        <f t="shared" ref="I21" si="2">+I16-SUM(I18:I19)</f>
        <v>26800.785000000011</v>
      </c>
    </row>
    <row r="22" spans="3:11" x14ac:dyDescent="0.25">
      <c r="C22" s="25"/>
      <c r="D22" s="25"/>
      <c r="E22" s="25"/>
      <c r="F22" s="25"/>
      <c r="G22" s="25"/>
      <c r="H22" s="26"/>
      <c r="I22" s="26"/>
    </row>
    <row r="23" spans="3:11" x14ac:dyDescent="0.25">
      <c r="C23" s="21" t="s">
        <v>97</v>
      </c>
      <c r="D23" s="22">
        <f>+'ERPR2008-2023'!E40</f>
        <v>-3458.587</v>
      </c>
      <c r="E23" s="22">
        <f>+'ERPR2008-2023'!F40</f>
        <v>-4903.01</v>
      </c>
      <c r="F23" s="22">
        <f>+'ERPR2008-2023'!G40</f>
        <v>-900.26</v>
      </c>
      <c r="G23" s="22">
        <f>+'ERPR2008-2023'!H40</f>
        <v>-6060.4970000000003</v>
      </c>
      <c r="H23" s="22">
        <f>+'ERPR2008-2023'!I40</f>
        <v>-8274.8089999999993</v>
      </c>
      <c r="I23" s="22">
        <f>+'ERPR2008-2023'!J40</f>
        <v>-18954.278999999999</v>
      </c>
    </row>
    <row r="24" spans="3:11" x14ac:dyDescent="0.25">
      <c r="C24" s="23"/>
      <c r="D24" s="23"/>
      <c r="E24" s="23"/>
      <c r="F24" s="23"/>
      <c r="G24" s="23"/>
      <c r="H24" s="24"/>
      <c r="I24" s="24"/>
    </row>
    <row r="25" spans="3:11" x14ac:dyDescent="0.25">
      <c r="C25" s="11" t="s">
        <v>98</v>
      </c>
      <c r="D25" s="18">
        <f>+D21+D23</f>
        <v>5428.0820000000222</v>
      </c>
      <c r="E25" s="18">
        <f t="shared" ref="E25:H25" si="3">+E21+E23</f>
        <v>5859.4149999999845</v>
      </c>
      <c r="F25" s="18">
        <f t="shared" si="3"/>
        <v>-6123.0799999999872</v>
      </c>
      <c r="G25" s="18">
        <f t="shared" si="3"/>
        <v>-511.28300000001491</v>
      </c>
      <c r="H25" s="18">
        <f t="shared" si="3"/>
        <v>-4196.3120000000035</v>
      </c>
      <c r="I25" s="18">
        <f t="shared" ref="I25" si="4">+I21+I23</f>
        <v>7846.5060000000121</v>
      </c>
    </row>
    <row r="26" spans="3:11" x14ac:dyDescent="0.25">
      <c r="C26" s="5"/>
      <c r="D26" s="49">
        <f>+D25-FCLHISTORICO!E20</f>
        <v>-20443.686879999987</v>
      </c>
      <c r="E26" s="49">
        <f>+E25-FCLHISTORICO!F20</f>
        <v>-25956.647060000003</v>
      </c>
      <c r="F26" s="49">
        <f>+F25-FCLHISTORICO!G20</f>
        <v>-28219.084539999996</v>
      </c>
      <c r="G26" s="49">
        <f>+G25-FCLHISTORICO!H20</f>
        <v>-34071.669000000009</v>
      </c>
      <c r="H26" s="49">
        <f>+H25-FCLHISTORICO!I20</f>
        <v>-35902.48646</v>
      </c>
      <c r="I26" s="49">
        <f>+I25-FCLHISTORICO!J20</f>
        <v>-38783.039739999993</v>
      </c>
    </row>
    <row r="27" spans="3:11" ht="15.75" thickBot="1" x14ac:dyDescent="0.3">
      <c r="C27" s="9"/>
      <c r="D27" s="9"/>
      <c r="E27" s="9"/>
      <c r="F27" s="9"/>
      <c r="G27" s="9"/>
      <c r="H27" s="10"/>
    </row>
    <row r="28" spans="3:11" ht="24" customHeight="1" thickBot="1" x14ac:dyDescent="0.3">
      <c r="C28" s="380" t="s">
        <v>99</v>
      </c>
      <c r="D28" s="381"/>
      <c r="E28" s="381"/>
      <c r="F28" s="381"/>
      <c r="G28" s="381"/>
      <c r="H28" s="381"/>
      <c r="I28" s="382"/>
    </row>
    <row r="29" spans="3:11" x14ac:dyDescent="0.25">
      <c r="C29" s="11"/>
      <c r="D29" s="11"/>
      <c r="E29" s="11"/>
      <c r="F29" s="11"/>
      <c r="G29" s="11"/>
      <c r="H29" s="14"/>
    </row>
    <row r="30" spans="3:11" x14ac:dyDescent="0.25">
      <c r="C30" s="11"/>
      <c r="D30" s="11"/>
      <c r="E30" s="11"/>
      <c r="F30" s="11"/>
      <c r="G30" s="11"/>
      <c r="H30" s="14"/>
    </row>
    <row r="31" spans="3:11" x14ac:dyDescent="0.25">
      <c r="C31" s="11"/>
      <c r="D31" s="11"/>
      <c r="E31" s="11"/>
      <c r="F31" s="11"/>
      <c r="G31" s="11"/>
      <c r="H31" s="14"/>
    </row>
    <row r="32" spans="3:11" x14ac:dyDescent="0.25">
      <c r="C32" s="11"/>
      <c r="D32" s="11"/>
      <c r="E32" s="11"/>
      <c r="F32" s="11"/>
      <c r="G32" s="11"/>
      <c r="H32" s="14"/>
    </row>
    <row r="33" spans="3:9" x14ac:dyDescent="0.25">
      <c r="C33" s="11"/>
      <c r="D33" s="11"/>
      <c r="E33" s="11"/>
      <c r="F33" s="11"/>
      <c r="G33" s="11"/>
      <c r="H33" s="14"/>
    </row>
    <row r="34" spans="3:9" x14ac:dyDescent="0.25">
      <c r="C34" s="11"/>
      <c r="D34" s="11"/>
      <c r="E34" s="11"/>
      <c r="F34" s="11"/>
      <c r="G34" s="11"/>
      <c r="H34" s="14"/>
    </row>
    <row r="35" spans="3:9" x14ac:dyDescent="0.25">
      <c r="C35" s="11" t="s">
        <v>99</v>
      </c>
      <c r="D35" s="55">
        <f>+D25/'ECAMBIO SF 2008-2012 ajust'!D79</f>
        <v>-0.31589693319418605</v>
      </c>
      <c r="E35" s="55">
        <f>+E25/'ECAMBIO SF 2008-2012 ajust'!E79</f>
        <v>3.612462162308485E-2</v>
      </c>
      <c r="F35" s="55">
        <f>+F25/'ECAMBIO SF 2008-2012 ajust'!F79</f>
        <v>0.19689691556956368</v>
      </c>
      <c r="G35" s="55">
        <f>+G25/'ECAMBIO SF 2008-2012 ajust'!G79</f>
        <v>-1.7582765634368971E-2</v>
      </c>
      <c r="H35" s="55">
        <f>+H25/'ECAMBIO SF 2008-2012 ajust'!H79</f>
        <v>-3.3887224160556742E-2</v>
      </c>
      <c r="I35" s="55">
        <f>+I25/'ECAMBIO SF 2008-2012 ajust'!I79</f>
        <v>0.23756845623766243</v>
      </c>
    </row>
    <row r="36" spans="3:9" x14ac:dyDescent="0.25">
      <c r="C36" s="11"/>
      <c r="D36" s="11"/>
      <c r="E36" s="11"/>
      <c r="F36" s="11"/>
      <c r="G36" s="11"/>
      <c r="H36" s="13"/>
    </row>
    <row r="37" spans="3:9" x14ac:dyDescent="0.25">
      <c r="C37" s="13"/>
      <c r="D37" s="13"/>
      <c r="E37" s="13"/>
      <c r="F37" s="13"/>
      <c r="G37" s="13"/>
      <c r="H37" s="13"/>
    </row>
    <row r="38" spans="3:9" x14ac:dyDescent="0.25">
      <c r="C38" s="11"/>
      <c r="D38" s="11"/>
      <c r="E38" s="11"/>
      <c r="F38" s="11"/>
      <c r="G38" s="11"/>
      <c r="H38" s="13"/>
    </row>
    <row r="39" spans="3:9" x14ac:dyDescent="0.25">
      <c r="C39" s="13"/>
      <c r="D39" s="13"/>
      <c r="E39" s="13"/>
      <c r="F39" s="13"/>
      <c r="G39" s="13"/>
      <c r="H39" s="13"/>
    </row>
    <row r="40" spans="3:9" x14ac:dyDescent="0.25">
      <c r="C40" s="9"/>
      <c r="D40" s="9"/>
      <c r="E40" s="9"/>
      <c r="F40" s="9"/>
      <c r="G40" s="9"/>
      <c r="H40" s="10"/>
    </row>
    <row r="41" spans="3:9" x14ac:dyDescent="0.25">
      <c r="C41" s="9"/>
      <c r="D41" s="9"/>
      <c r="E41" s="9"/>
      <c r="F41" s="9"/>
      <c r="G41" s="9"/>
      <c r="H41" s="10"/>
    </row>
    <row r="42" spans="3:9" x14ac:dyDescent="0.25">
      <c r="C42" s="9"/>
      <c r="D42" s="9"/>
      <c r="E42" s="9"/>
      <c r="F42" s="9"/>
      <c r="G42" s="9"/>
      <c r="H42" s="10"/>
    </row>
    <row r="43" spans="3:9" x14ac:dyDescent="0.25">
      <c r="C43" s="9"/>
      <c r="D43" s="9"/>
      <c r="E43" s="9"/>
      <c r="F43" s="9"/>
      <c r="G43" s="9"/>
      <c r="H43" s="10"/>
    </row>
    <row r="44" spans="3:9" x14ac:dyDescent="0.25">
      <c r="C44" s="9"/>
      <c r="D44" s="9"/>
      <c r="E44" s="9"/>
      <c r="F44" s="9"/>
      <c r="G44" s="9"/>
      <c r="H44" s="10"/>
    </row>
    <row r="45" spans="3:9" x14ac:dyDescent="0.25">
      <c r="C45" s="9"/>
      <c r="D45" s="9"/>
      <c r="E45" s="9"/>
      <c r="F45" s="9"/>
      <c r="G45" s="9"/>
      <c r="H45" s="10"/>
    </row>
    <row r="46" spans="3:9" x14ac:dyDescent="0.25">
      <c r="C46" s="9"/>
      <c r="D46" s="9"/>
      <c r="E46" s="9"/>
      <c r="F46" s="9"/>
      <c r="G46" s="9"/>
      <c r="H46" s="10"/>
    </row>
    <row r="47" spans="3:9" x14ac:dyDescent="0.25">
      <c r="C47" s="9"/>
      <c r="D47" s="9"/>
      <c r="E47" s="9"/>
      <c r="F47" s="9"/>
      <c r="G47" s="9"/>
      <c r="H47" s="10"/>
    </row>
    <row r="48" spans="3:9" x14ac:dyDescent="0.25">
      <c r="C48" s="9"/>
      <c r="D48" s="9"/>
      <c r="E48" s="9"/>
      <c r="F48" s="9"/>
      <c r="G48" s="9"/>
      <c r="H48" s="10"/>
    </row>
    <row r="49" spans="3:8" x14ac:dyDescent="0.25">
      <c r="C49" s="9"/>
      <c r="D49" s="9"/>
      <c r="E49" s="9"/>
      <c r="F49" s="9"/>
      <c r="G49" s="9"/>
      <c r="H49" s="10"/>
    </row>
    <row r="50" spans="3:8" x14ac:dyDescent="0.25">
      <c r="C50" s="13"/>
      <c r="D50" s="13"/>
      <c r="E50" s="13"/>
      <c r="F50" s="13"/>
      <c r="G50" s="13"/>
      <c r="H50" s="13"/>
    </row>
    <row r="51" spans="3:8" x14ac:dyDescent="0.25">
      <c r="C51" s="11"/>
      <c r="D51" s="11"/>
      <c r="E51" s="11"/>
      <c r="F51" s="11"/>
      <c r="G51" s="11"/>
      <c r="H51" s="14"/>
    </row>
    <row r="52" spans="3:8" x14ac:dyDescent="0.25">
      <c r="C52" s="13"/>
      <c r="D52" s="13"/>
      <c r="E52" s="13"/>
      <c r="F52" s="13"/>
      <c r="G52" s="13"/>
      <c r="H52" s="13"/>
    </row>
    <row r="53" spans="3:8" x14ac:dyDescent="0.25">
      <c r="C53" s="11"/>
      <c r="D53" s="11"/>
      <c r="E53" s="11"/>
      <c r="F53" s="11"/>
      <c r="G53" s="11"/>
      <c r="H53" s="13"/>
    </row>
    <row r="54" spans="3:8" x14ac:dyDescent="0.25">
      <c r="C54" s="13"/>
      <c r="D54" s="13"/>
      <c r="E54" s="13"/>
      <c r="F54" s="13"/>
      <c r="G54" s="13"/>
      <c r="H54" s="13"/>
    </row>
    <row r="55" spans="3:8" x14ac:dyDescent="0.25">
      <c r="C55" s="9"/>
      <c r="D55" s="9"/>
      <c r="E55" s="9"/>
      <c r="F55" s="9"/>
      <c r="G55" s="9"/>
      <c r="H55" s="10"/>
    </row>
    <row r="56" spans="3:8" x14ac:dyDescent="0.25">
      <c r="C56" s="9"/>
      <c r="D56" s="9"/>
      <c r="E56" s="9"/>
      <c r="F56" s="9"/>
      <c r="G56" s="9"/>
      <c r="H56" s="10"/>
    </row>
    <row r="57" spans="3:8" x14ac:dyDescent="0.25">
      <c r="C57" s="9"/>
      <c r="D57" s="9"/>
      <c r="E57" s="9"/>
      <c r="F57" s="9"/>
      <c r="G57" s="9"/>
      <c r="H57" s="10"/>
    </row>
    <row r="58" spans="3:8" x14ac:dyDescent="0.25">
      <c r="C58" s="9"/>
      <c r="D58" s="9"/>
      <c r="E58" s="9"/>
      <c r="F58" s="9"/>
      <c r="G58" s="9"/>
      <c r="H58" s="10"/>
    </row>
    <row r="59" spans="3:8" x14ac:dyDescent="0.25">
      <c r="C59" s="9"/>
      <c r="D59" s="9"/>
      <c r="E59" s="9"/>
      <c r="F59" s="9"/>
      <c r="G59" s="9"/>
      <c r="H59" s="10"/>
    </row>
    <row r="60" spans="3:8" x14ac:dyDescent="0.25">
      <c r="C60" s="9"/>
      <c r="D60" s="9"/>
      <c r="E60" s="9"/>
      <c r="F60" s="9"/>
      <c r="G60" s="9"/>
      <c r="H60" s="10"/>
    </row>
    <row r="61" spans="3:8" x14ac:dyDescent="0.25">
      <c r="C61" s="9"/>
      <c r="D61" s="9"/>
      <c r="E61" s="9"/>
      <c r="F61" s="9"/>
      <c r="G61" s="9"/>
      <c r="H61" s="10"/>
    </row>
    <row r="62" spans="3:8" x14ac:dyDescent="0.25">
      <c r="C62" s="13"/>
      <c r="D62" s="13"/>
      <c r="E62" s="13"/>
      <c r="F62" s="13"/>
      <c r="G62" s="13"/>
      <c r="H62" s="13"/>
    </row>
    <row r="63" spans="3:8" x14ac:dyDescent="0.25">
      <c r="C63" s="11"/>
      <c r="D63" s="11"/>
      <c r="E63" s="11"/>
      <c r="F63" s="11"/>
      <c r="G63" s="11"/>
      <c r="H63" s="14"/>
    </row>
    <row r="64" spans="3:8" x14ac:dyDescent="0.25">
      <c r="C64" s="13"/>
      <c r="D64" s="13"/>
      <c r="E64" s="13"/>
      <c r="F64" s="13"/>
      <c r="G64" s="13"/>
      <c r="H64" s="13"/>
    </row>
    <row r="65" spans="3:8" x14ac:dyDescent="0.25">
      <c r="C65" s="11"/>
      <c r="D65" s="11"/>
      <c r="E65" s="11"/>
      <c r="F65" s="11"/>
      <c r="G65" s="11"/>
      <c r="H65" s="14"/>
    </row>
    <row r="66" spans="3:8" x14ac:dyDescent="0.25">
      <c r="C66" s="13"/>
      <c r="D66" s="13"/>
      <c r="E66" s="13"/>
      <c r="F66" s="13"/>
      <c r="G66" s="13"/>
      <c r="H66" s="13"/>
    </row>
    <row r="67" spans="3:8" x14ac:dyDescent="0.25">
      <c r="C67" s="11"/>
      <c r="D67" s="11"/>
      <c r="E67" s="11"/>
      <c r="F67" s="11"/>
      <c r="G67" s="11"/>
      <c r="H67" s="13"/>
    </row>
    <row r="68" spans="3:8" x14ac:dyDescent="0.25">
      <c r="C68" s="13"/>
      <c r="D68" s="13"/>
      <c r="E68" s="13"/>
      <c r="F68" s="13"/>
      <c r="G68" s="13"/>
      <c r="H68" s="13"/>
    </row>
    <row r="69" spans="3:8" x14ac:dyDescent="0.25">
      <c r="C69" s="9"/>
      <c r="D69" s="9"/>
      <c r="E69" s="9"/>
      <c r="F69" s="9"/>
      <c r="G69" s="9"/>
      <c r="H69" s="10"/>
    </row>
    <row r="70" spans="3:8" x14ac:dyDescent="0.25">
      <c r="C70" s="9"/>
      <c r="D70" s="9"/>
      <c r="E70" s="9"/>
      <c r="F70" s="9"/>
      <c r="G70" s="9"/>
      <c r="H70" s="10"/>
    </row>
    <row r="71" spans="3:8" x14ac:dyDescent="0.25">
      <c r="C71" s="9"/>
      <c r="D71" s="9"/>
      <c r="E71" s="9"/>
      <c r="F71" s="9"/>
      <c r="G71" s="9"/>
      <c r="H71" s="10"/>
    </row>
    <row r="72" spans="3:8" x14ac:dyDescent="0.25">
      <c r="C72" s="13"/>
      <c r="D72" s="13"/>
      <c r="E72" s="13"/>
      <c r="F72" s="13"/>
      <c r="G72" s="13"/>
      <c r="H72" s="13"/>
    </row>
    <row r="73" spans="3:8" x14ac:dyDescent="0.25">
      <c r="C73" s="11"/>
      <c r="D73" s="11"/>
      <c r="E73" s="11"/>
      <c r="F73" s="11"/>
      <c r="G73" s="11"/>
      <c r="H73" s="14"/>
    </row>
    <row r="74" spans="3:8" x14ac:dyDescent="0.25">
      <c r="C74" s="13"/>
      <c r="D74" s="13"/>
      <c r="E74" s="13"/>
      <c r="F74" s="13"/>
      <c r="G74" s="13"/>
      <c r="H74" s="13"/>
    </row>
    <row r="75" spans="3:8" x14ac:dyDescent="0.25">
      <c r="C75" s="9"/>
      <c r="D75" s="9"/>
      <c r="E75" s="9"/>
      <c r="F75" s="9"/>
      <c r="G75" s="9"/>
      <c r="H75" s="10"/>
    </row>
    <row r="76" spans="3:8" x14ac:dyDescent="0.25">
      <c r="C76" s="9"/>
      <c r="D76" s="9"/>
      <c r="E76" s="9"/>
      <c r="F76" s="9"/>
      <c r="G76" s="9"/>
      <c r="H76" s="10"/>
    </row>
    <row r="77" spans="3:8" x14ac:dyDescent="0.25">
      <c r="C77" s="9"/>
      <c r="D77" s="9"/>
      <c r="E77" s="9"/>
      <c r="F77" s="9"/>
      <c r="G77" s="9"/>
      <c r="H77" s="10"/>
    </row>
    <row r="78" spans="3:8" x14ac:dyDescent="0.25">
      <c r="C78" s="9"/>
      <c r="D78" s="9"/>
      <c r="E78" s="9"/>
      <c r="F78" s="9"/>
      <c r="G78" s="9"/>
      <c r="H78" s="10"/>
    </row>
    <row r="79" spans="3:8" x14ac:dyDescent="0.25">
      <c r="C79" s="9"/>
      <c r="D79" s="9"/>
      <c r="E79" s="9"/>
      <c r="F79" s="9"/>
      <c r="G79" s="9"/>
      <c r="H79" s="10"/>
    </row>
    <row r="80" spans="3:8" x14ac:dyDescent="0.25">
      <c r="C80" s="9"/>
      <c r="D80" s="9"/>
      <c r="E80" s="9"/>
      <c r="F80" s="9"/>
      <c r="G80" s="9"/>
      <c r="H80" s="10"/>
    </row>
    <row r="81" spans="3:8" x14ac:dyDescent="0.25">
      <c r="C81" s="9"/>
      <c r="D81" s="9"/>
      <c r="E81" s="9"/>
      <c r="F81" s="9"/>
      <c r="G81" s="9"/>
      <c r="H81" s="10"/>
    </row>
    <row r="82" spans="3:8" x14ac:dyDescent="0.25">
      <c r="C82" s="9"/>
      <c r="D82" s="9"/>
      <c r="E82" s="9"/>
      <c r="F82" s="9"/>
      <c r="G82" s="9"/>
      <c r="H82" s="10"/>
    </row>
    <row r="83" spans="3:8" x14ac:dyDescent="0.25">
      <c r="C83" s="9"/>
      <c r="D83" s="9"/>
      <c r="E83" s="9"/>
      <c r="F83" s="9"/>
      <c r="G83" s="9"/>
      <c r="H83" s="10"/>
    </row>
    <row r="84" spans="3:8" x14ac:dyDescent="0.25">
      <c r="C84" s="9"/>
      <c r="D84" s="9"/>
      <c r="E84" s="9"/>
      <c r="F84" s="9"/>
      <c r="G84" s="9"/>
      <c r="H84" s="10"/>
    </row>
    <row r="85" spans="3:8" x14ac:dyDescent="0.25">
      <c r="C85" s="13"/>
      <c r="D85" s="13"/>
      <c r="E85" s="13"/>
      <c r="F85" s="13"/>
      <c r="G85" s="13"/>
      <c r="H85" s="13"/>
    </row>
    <row r="86" spans="3:8" x14ac:dyDescent="0.25">
      <c r="C86" s="11"/>
      <c r="D86" s="11"/>
      <c r="E86" s="11"/>
      <c r="F86" s="11"/>
      <c r="G86" s="11"/>
      <c r="H86" s="14"/>
    </row>
    <row r="87" spans="3:8" x14ac:dyDescent="0.25">
      <c r="C87" s="13"/>
      <c r="D87" s="13"/>
      <c r="E87" s="13"/>
      <c r="F87" s="13"/>
      <c r="G87" s="13"/>
      <c r="H87" s="13"/>
    </row>
    <row r="88" spans="3:8" x14ac:dyDescent="0.25">
      <c r="C88" s="11"/>
      <c r="D88" s="11"/>
      <c r="E88" s="11"/>
      <c r="F88" s="11"/>
      <c r="G88" s="11"/>
      <c r="H88" s="14"/>
    </row>
    <row r="89" spans="3:8" x14ac:dyDescent="0.25">
      <c r="C89" s="13"/>
      <c r="D89" s="13"/>
      <c r="E89" s="13"/>
      <c r="F89" s="13"/>
      <c r="G89" s="13"/>
      <c r="H89" s="15"/>
    </row>
    <row r="90" spans="3:8" x14ac:dyDescent="0.25">
      <c r="C90" s="9"/>
      <c r="D90" s="9"/>
      <c r="E90" s="9"/>
      <c r="F90" s="9"/>
      <c r="G90" s="9"/>
      <c r="H90" s="10"/>
    </row>
    <row r="91" spans="3:8" x14ac:dyDescent="0.25">
      <c r="C91" s="9"/>
      <c r="D91" s="9"/>
      <c r="E91" s="9"/>
      <c r="F91" s="9"/>
      <c r="G91" s="9"/>
      <c r="H91" s="10"/>
    </row>
    <row r="92" spans="3:8" x14ac:dyDescent="0.25">
      <c r="C92" s="13"/>
      <c r="D92" s="13"/>
      <c r="E92" s="13"/>
      <c r="F92" s="13"/>
      <c r="G92" s="13"/>
      <c r="H92" s="13"/>
    </row>
    <row r="93" spans="3:8" x14ac:dyDescent="0.25">
      <c r="C93" s="11"/>
      <c r="D93" s="11"/>
      <c r="E93" s="11"/>
      <c r="F93" s="11"/>
      <c r="G93" s="11"/>
      <c r="H93" s="14"/>
    </row>
    <row r="94" spans="3:8" x14ac:dyDescent="0.25">
      <c r="C94" s="13"/>
      <c r="D94" s="13"/>
      <c r="E94" s="13"/>
      <c r="F94" s="13"/>
      <c r="G94" s="13"/>
      <c r="H94" s="13"/>
    </row>
  </sheetData>
  <mergeCells count="2">
    <mergeCell ref="C28:I28"/>
    <mergeCell ref="C8:I8"/>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8:P32"/>
  <sheetViews>
    <sheetView showGridLines="0" topLeftCell="A21" workbookViewId="0">
      <selection activeCell="F33" sqref="F33"/>
    </sheetView>
  </sheetViews>
  <sheetFormatPr baseColWidth="10" defaultRowHeight="15" x14ac:dyDescent="0.25"/>
  <cols>
    <col min="1" max="1" width="2.28515625" customWidth="1"/>
    <col min="2" max="2" width="5.42578125" bestFit="1" customWidth="1"/>
    <col min="3" max="3" width="22.28515625" customWidth="1"/>
    <col min="4" max="4" width="27.140625" bestFit="1" customWidth="1"/>
    <col min="5" max="5" width="7.85546875" bestFit="1" customWidth="1"/>
    <col min="6" max="6" width="14.140625" bestFit="1" customWidth="1"/>
    <col min="7" max="7" width="8.42578125" bestFit="1" customWidth="1"/>
    <col min="8" max="8" width="8.85546875" bestFit="1" customWidth="1"/>
    <col min="9" max="9" width="9.85546875" bestFit="1" customWidth="1"/>
    <col min="10" max="10" width="15.28515625" bestFit="1" customWidth="1"/>
    <col min="11" max="11" width="9.7109375" bestFit="1" customWidth="1"/>
    <col min="12" max="12" width="11.42578125" bestFit="1" customWidth="1"/>
    <col min="13" max="13" width="9.5703125" bestFit="1" customWidth="1"/>
    <col min="14" max="14" width="15" bestFit="1" customWidth="1"/>
    <col min="15" max="15" width="26.5703125" customWidth="1"/>
    <col min="16" max="16" width="38.5703125" bestFit="1" customWidth="1"/>
  </cols>
  <sheetData>
    <row r="8" spans="2:16" ht="15.75" thickBot="1" x14ac:dyDescent="0.3"/>
    <row r="9" spans="2:16" ht="15" customHeight="1" thickBot="1" x14ac:dyDescent="0.3">
      <c r="B9" s="380" t="s">
        <v>126</v>
      </c>
      <c r="C9" s="381"/>
      <c r="D9" s="381"/>
      <c r="E9" s="381"/>
      <c r="F9" s="381"/>
      <c r="G9" s="381"/>
      <c r="H9" s="381"/>
      <c r="I9" s="381"/>
      <c r="J9" s="381"/>
      <c r="K9" s="381"/>
      <c r="L9" s="381"/>
      <c r="M9" s="381"/>
      <c r="N9" s="381"/>
      <c r="O9" s="381"/>
    </row>
    <row r="10" spans="2:16" x14ac:dyDescent="0.25">
      <c r="B10" s="27"/>
      <c r="C10" s="27"/>
      <c r="D10" s="27"/>
      <c r="E10" s="27"/>
      <c r="F10" s="27"/>
      <c r="G10" s="27"/>
      <c r="H10" s="27"/>
      <c r="I10" s="27"/>
      <c r="J10" s="27"/>
      <c r="K10" s="27"/>
      <c r="L10" s="27"/>
      <c r="M10" s="27"/>
      <c r="N10" s="27"/>
      <c r="O10" s="27"/>
    </row>
    <row r="11" spans="2:16" ht="30" customHeight="1" x14ac:dyDescent="0.25">
      <c r="B11" s="100" t="s">
        <v>127</v>
      </c>
      <c r="C11" s="100" t="s">
        <v>128</v>
      </c>
      <c r="D11" s="100" t="s">
        <v>129</v>
      </c>
      <c r="E11" s="100" t="s">
        <v>130</v>
      </c>
      <c r="F11" s="101" t="s">
        <v>131</v>
      </c>
      <c r="G11" s="101" t="s">
        <v>132</v>
      </c>
      <c r="H11" s="100" t="s">
        <v>133</v>
      </c>
      <c r="I11" s="100" t="s">
        <v>134</v>
      </c>
      <c r="J11" s="102" t="s">
        <v>135</v>
      </c>
      <c r="K11" s="102" t="s">
        <v>136</v>
      </c>
      <c r="L11" s="102" t="s">
        <v>137</v>
      </c>
      <c r="M11" s="102" t="s">
        <v>179</v>
      </c>
      <c r="N11" s="103" t="s">
        <v>138</v>
      </c>
      <c r="O11" s="100" t="s">
        <v>139</v>
      </c>
      <c r="P11" s="100" t="s">
        <v>457</v>
      </c>
    </row>
    <row r="12" spans="2:16" ht="25.5" x14ac:dyDescent="0.25">
      <c r="B12" s="21" t="s">
        <v>140</v>
      </c>
      <c r="C12" s="21" t="s">
        <v>141</v>
      </c>
      <c r="D12" s="32" t="s">
        <v>142</v>
      </c>
      <c r="E12" s="28" t="s">
        <v>143</v>
      </c>
      <c r="F12" s="22">
        <v>1388404</v>
      </c>
      <c r="G12" s="28">
        <v>0.18</v>
      </c>
      <c r="H12" s="28" t="s">
        <v>144</v>
      </c>
      <c r="I12" s="30" t="s">
        <v>458</v>
      </c>
      <c r="J12" s="31"/>
      <c r="K12" s="30"/>
      <c r="L12" s="30"/>
      <c r="M12" s="30"/>
      <c r="N12" s="31"/>
      <c r="O12" s="21"/>
      <c r="P12" s="32"/>
    </row>
    <row r="13" spans="2:16" ht="25.5" x14ac:dyDescent="0.25">
      <c r="B13" s="21" t="s">
        <v>145</v>
      </c>
      <c r="C13" s="21" t="s">
        <v>146</v>
      </c>
      <c r="D13" s="32" t="s">
        <v>459</v>
      </c>
      <c r="E13" s="28" t="s">
        <v>143</v>
      </c>
      <c r="F13" s="22">
        <v>1554710</v>
      </c>
      <c r="G13" s="28">
        <v>0.27</v>
      </c>
      <c r="H13" s="28" t="s">
        <v>460</v>
      </c>
      <c r="I13" s="30">
        <v>41712</v>
      </c>
      <c r="J13" s="31">
        <v>41757.416666666664</v>
      </c>
      <c r="K13" s="30">
        <v>41772</v>
      </c>
      <c r="L13" s="30">
        <v>41779</v>
      </c>
      <c r="M13" s="30">
        <v>41799</v>
      </c>
      <c r="N13" s="30" t="s">
        <v>461</v>
      </c>
      <c r="O13" s="21" t="s">
        <v>462</v>
      </c>
      <c r="P13" s="32"/>
    </row>
    <row r="14" spans="2:16" x14ac:dyDescent="0.25">
      <c r="B14" s="21" t="s">
        <v>147</v>
      </c>
      <c r="C14" s="21" t="s">
        <v>148</v>
      </c>
      <c r="D14" s="32" t="s">
        <v>149</v>
      </c>
      <c r="E14" s="28" t="s">
        <v>143</v>
      </c>
      <c r="F14" s="22">
        <v>2093491</v>
      </c>
      <c r="G14" s="29">
        <v>0.215</v>
      </c>
      <c r="H14" s="28" t="s">
        <v>144</v>
      </c>
      <c r="I14" s="30">
        <v>41687</v>
      </c>
      <c r="J14" s="31">
        <v>41750.416666666664</v>
      </c>
      <c r="K14" s="30">
        <v>41764</v>
      </c>
      <c r="L14" s="30">
        <v>41771</v>
      </c>
      <c r="M14" s="30">
        <v>41789</v>
      </c>
      <c r="N14" s="31">
        <v>41796.416666666664</v>
      </c>
      <c r="O14" s="21" t="s">
        <v>150</v>
      </c>
      <c r="P14" s="32"/>
    </row>
    <row r="15" spans="2:16" x14ac:dyDescent="0.25">
      <c r="B15" s="21" t="s">
        <v>151</v>
      </c>
      <c r="C15" s="21" t="s">
        <v>152</v>
      </c>
      <c r="D15" s="32" t="s">
        <v>153</v>
      </c>
      <c r="E15" s="28" t="s">
        <v>143</v>
      </c>
      <c r="F15" s="22">
        <v>2561061</v>
      </c>
      <c r="G15" s="29">
        <v>0.17630000000000001</v>
      </c>
      <c r="H15" s="28" t="s">
        <v>144</v>
      </c>
      <c r="I15" s="30">
        <v>41684</v>
      </c>
      <c r="J15" s="31">
        <v>41719.416666666664</v>
      </c>
      <c r="K15" s="30">
        <v>41737</v>
      </c>
      <c r="L15" s="30">
        <v>41744</v>
      </c>
      <c r="M15" s="30">
        <v>41754</v>
      </c>
      <c r="N15" s="31">
        <v>41761.416666666664</v>
      </c>
      <c r="O15" s="21" t="s">
        <v>154</v>
      </c>
      <c r="P15" s="32"/>
    </row>
    <row r="16" spans="2:16" x14ac:dyDescent="0.25">
      <c r="B16" s="21" t="s">
        <v>155</v>
      </c>
      <c r="C16" s="21" t="s">
        <v>156</v>
      </c>
      <c r="D16" s="32" t="s">
        <v>157</v>
      </c>
      <c r="E16" s="28" t="s">
        <v>143</v>
      </c>
      <c r="F16" s="22">
        <v>1537178</v>
      </c>
      <c r="G16" s="29">
        <v>0.21149999999999999</v>
      </c>
      <c r="H16" s="28" t="s">
        <v>144</v>
      </c>
      <c r="I16" s="30">
        <v>41684</v>
      </c>
      <c r="J16" s="31">
        <v>41726.416666666664</v>
      </c>
      <c r="K16" s="30">
        <v>41743</v>
      </c>
      <c r="L16" s="30">
        <v>41752</v>
      </c>
      <c r="M16" s="30">
        <v>41764</v>
      </c>
      <c r="N16" s="31">
        <v>41768.416666666664</v>
      </c>
      <c r="O16" s="21" t="s">
        <v>158</v>
      </c>
      <c r="P16" s="32"/>
    </row>
    <row r="17" spans="2:16" s="109" customFormat="1" x14ac:dyDescent="0.25">
      <c r="B17" s="104"/>
      <c r="C17" s="104"/>
      <c r="D17" s="105" t="s">
        <v>463</v>
      </c>
      <c r="E17" s="106"/>
      <c r="F17" s="65">
        <f>+SUM(F12:F16)</f>
        <v>9134844</v>
      </c>
      <c r="G17" s="211"/>
      <c r="H17" s="106"/>
      <c r="I17" s="107"/>
      <c r="J17" s="108"/>
      <c r="K17" s="107"/>
      <c r="L17" s="107"/>
      <c r="M17" s="107"/>
      <c r="N17" s="108"/>
      <c r="O17" s="104"/>
      <c r="P17" s="105"/>
    </row>
    <row r="18" spans="2:16" s="109" customFormat="1" x14ac:dyDescent="0.25">
      <c r="B18" s="104"/>
      <c r="C18" s="104"/>
      <c r="D18" s="105" t="s">
        <v>464</v>
      </c>
      <c r="E18" s="106"/>
      <c r="F18" s="65">
        <f>+SUMPRODUCT(F12:F16,G12:G16)</f>
        <v>1896413.1863000002</v>
      </c>
      <c r="G18" s="205">
        <f>1.3*0.21</f>
        <v>0.27300000000000002</v>
      </c>
      <c r="H18" s="106"/>
      <c r="I18" s="107"/>
      <c r="J18" s="108"/>
      <c r="K18" s="107"/>
      <c r="L18" s="107"/>
      <c r="M18" s="107"/>
      <c r="N18" s="108"/>
      <c r="O18" s="104"/>
      <c r="P18" s="105"/>
    </row>
    <row r="19" spans="2:16" x14ac:dyDescent="0.25">
      <c r="B19" s="21"/>
      <c r="C19" s="21"/>
      <c r="D19" s="32"/>
      <c r="E19" s="28"/>
      <c r="F19" s="22"/>
      <c r="G19" s="29"/>
      <c r="H19" s="28"/>
      <c r="I19" s="30"/>
      <c r="J19" s="31"/>
      <c r="K19" s="30"/>
      <c r="L19" s="30"/>
      <c r="M19" s="30"/>
      <c r="N19" s="31"/>
      <c r="O19" s="21"/>
      <c r="P19" s="32"/>
    </row>
    <row r="20" spans="2:16" x14ac:dyDescent="0.25">
      <c r="B20" s="21"/>
      <c r="C20" s="21" t="s">
        <v>465</v>
      </c>
      <c r="D20" s="32"/>
      <c r="E20" s="28"/>
      <c r="F20" s="22"/>
      <c r="G20" s="29"/>
      <c r="H20" s="28"/>
      <c r="I20" s="30"/>
      <c r="J20" s="31"/>
      <c r="K20" s="30"/>
      <c r="L20" s="30"/>
      <c r="M20" s="30"/>
      <c r="N20" s="31"/>
      <c r="O20" s="21"/>
      <c r="P20" s="32"/>
    </row>
    <row r="21" spans="2:16" ht="30" customHeight="1" x14ac:dyDescent="0.25">
      <c r="B21" s="100" t="s">
        <v>127</v>
      </c>
      <c r="C21" s="100" t="s">
        <v>128</v>
      </c>
      <c r="D21" s="100" t="s">
        <v>129</v>
      </c>
      <c r="E21" s="100" t="s">
        <v>130</v>
      </c>
      <c r="F21" s="101" t="s">
        <v>131</v>
      </c>
      <c r="G21" s="101" t="s">
        <v>132</v>
      </c>
      <c r="H21" s="100" t="s">
        <v>133</v>
      </c>
      <c r="I21" s="100" t="s">
        <v>134</v>
      </c>
      <c r="J21" s="102" t="s">
        <v>135</v>
      </c>
      <c r="K21" s="102" t="s">
        <v>136</v>
      </c>
      <c r="L21" s="102" t="s">
        <v>137</v>
      </c>
      <c r="M21" s="102" t="s">
        <v>179</v>
      </c>
      <c r="N21" s="103" t="s">
        <v>138</v>
      </c>
      <c r="O21" s="100" t="s">
        <v>139</v>
      </c>
      <c r="P21" s="100" t="s">
        <v>457</v>
      </c>
    </row>
    <row r="22" spans="2:16" ht="25.5" x14ac:dyDescent="0.25">
      <c r="B22" s="21" t="s">
        <v>159</v>
      </c>
      <c r="C22" s="21" t="s">
        <v>160</v>
      </c>
      <c r="D22" s="32" t="s">
        <v>161</v>
      </c>
      <c r="E22" s="28" t="s">
        <v>143</v>
      </c>
      <c r="F22" s="22">
        <v>2057016</v>
      </c>
      <c r="G22" s="29">
        <v>0.3</v>
      </c>
      <c r="H22" s="28" t="s">
        <v>162</v>
      </c>
      <c r="I22" s="30"/>
      <c r="J22" s="31"/>
      <c r="K22" s="30"/>
      <c r="L22" s="30"/>
      <c r="M22" s="30"/>
      <c r="N22" s="31"/>
      <c r="O22" s="21" t="s">
        <v>163</v>
      </c>
      <c r="P22" s="32"/>
    </row>
    <row r="23" spans="2:16" x14ac:dyDescent="0.25">
      <c r="B23" s="21" t="s">
        <v>164</v>
      </c>
      <c r="C23" s="21" t="s">
        <v>165</v>
      </c>
      <c r="D23" s="32" t="s">
        <v>166</v>
      </c>
      <c r="E23" s="28" t="s">
        <v>143</v>
      </c>
      <c r="F23" s="22">
        <v>1740423</v>
      </c>
      <c r="G23" s="29">
        <v>0.3</v>
      </c>
      <c r="H23" s="28" t="s">
        <v>162</v>
      </c>
      <c r="I23" s="30"/>
      <c r="J23" s="31"/>
      <c r="K23" s="30"/>
      <c r="L23" s="30"/>
      <c r="M23" s="30"/>
      <c r="N23" s="31"/>
      <c r="O23" s="21" t="s">
        <v>163</v>
      </c>
      <c r="P23" s="32"/>
    </row>
    <row r="24" spans="2:16" ht="25.5" x14ac:dyDescent="0.25">
      <c r="B24" s="21" t="s">
        <v>167</v>
      </c>
      <c r="C24" s="21" t="s">
        <v>168</v>
      </c>
      <c r="D24" s="32" t="s">
        <v>169</v>
      </c>
      <c r="E24" s="28" t="s">
        <v>143</v>
      </c>
      <c r="F24" s="22">
        <v>1697430</v>
      </c>
      <c r="G24" s="29">
        <v>0.25</v>
      </c>
      <c r="H24" s="28" t="s">
        <v>162</v>
      </c>
      <c r="I24" s="30"/>
      <c r="J24" s="31"/>
      <c r="K24" s="30"/>
      <c r="L24" s="30"/>
      <c r="M24" s="30"/>
      <c r="N24" s="31"/>
      <c r="O24" s="21" t="s">
        <v>163</v>
      </c>
      <c r="P24" s="32"/>
    </row>
    <row r="25" spans="2:16" x14ac:dyDescent="0.25">
      <c r="B25" s="21" t="s">
        <v>170</v>
      </c>
      <c r="C25" s="21" t="s">
        <v>171</v>
      </c>
      <c r="D25" s="32" t="s">
        <v>172</v>
      </c>
      <c r="E25" s="28" t="s">
        <v>143</v>
      </c>
      <c r="F25" s="22">
        <v>3381947</v>
      </c>
      <c r="G25" s="29">
        <v>0.17</v>
      </c>
      <c r="H25" s="28" t="s">
        <v>162</v>
      </c>
      <c r="I25" s="30"/>
      <c r="J25" s="31"/>
      <c r="K25" s="30"/>
      <c r="L25" s="30"/>
      <c r="M25" s="30"/>
      <c r="N25" s="31"/>
      <c r="O25" s="21" t="s">
        <v>163</v>
      </c>
      <c r="P25" s="32"/>
    </row>
    <row r="26" spans="2:16" x14ac:dyDescent="0.25">
      <c r="B26" s="21" t="s">
        <v>173</v>
      </c>
      <c r="C26" s="21" t="s">
        <v>174</v>
      </c>
      <c r="D26" s="32" t="s">
        <v>175</v>
      </c>
      <c r="E26" s="28" t="s">
        <v>143</v>
      </c>
      <c r="F26" s="22">
        <v>2220473</v>
      </c>
      <c r="G26" s="29">
        <v>0.45</v>
      </c>
      <c r="H26" s="28" t="s">
        <v>162</v>
      </c>
      <c r="I26" s="30"/>
      <c r="J26" s="31"/>
      <c r="K26" s="30"/>
      <c r="L26" s="30"/>
      <c r="M26" s="30"/>
      <c r="N26" s="31"/>
      <c r="O26" s="21" t="s">
        <v>163</v>
      </c>
      <c r="P26" s="32"/>
    </row>
    <row r="27" spans="2:16" ht="38.25" x14ac:dyDescent="0.25">
      <c r="B27" s="21"/>
      <c r="C27" s="21" t="s">
        <v>176</v>
      </c>
      <c r="D27" s="32" t="s">
        <v>177</v>
      </c>
      <c r="E27" s="28" t="s">
        <v>143</v>
      </c>
      <c r="F27" s="22">
        <v>2787430</v>
      </c>
      <c r="G27" s="29">
        <v>0.2</v>
      </c>
      <c r="H27" s="28" t="s">
        <v>162</v>
      </c>
      <c r="I27" s="30"/>
      <c r="J27" s="31"/>
      <c r="K27" s="30"/>
      <c r="L27" s="30">
        <v>41670</v>
      </c>
      <c r="M27" s="30">
        <v>41677</v>
      </c>
      <c r="N27" s="31">
        <v>41680.583333333336</v>
      </c>
      <c r="O27" s="21" t="s">
        <v>178</v>
      </c>
      <c r="P27" s="32" t="s">
        <v>180</v>
      </c>
    </row>
    <row r="28" spans="2:16" s="109" customFormat="1" x14ac:dyDescent="0.25">
      <c r="D28" s="110" t="s">
        <v>452</v>
      </c>
      <c r="E28" s="111"/>
      <c r="F28" s="112">
        <f>SUM(F22:F27)</f>
        <v>13884719</v>
      </c>
    </row>
    <row r="29" spans="2:16" s="109" customFormat="1" x14ac:dyDescent="0.25">
      <c r="D29" s="110" t="s">
        <v>466</v>
      </c>
      <c r="E29" s="111"/>
      <c r="F29" s="112">
        <f>+SUMPRODUCT(F22:F27,G22:G27)</f>
        <v>3695219.04</v>
      </c>
    </row>
    <row r="30" spans="2:16" s="109" customFormat="1" x14ac:dyDescent="0.25">
      <c r="D30" s="111"/>
      <c r="E30" s="111"/>
      <c r="F30" s="113"/>
    </row>
    <row r="31" spans="2:16" s="109" customFormat="1" x14ac:dyDescent="0.25">
      <c r="D31" s="114" t="s">
        <v>467</v>
      </c>
      <c r="E31" s="111"/>
      <c r="F31" s="115">
        <f>+F17+F28</f>
        <v>23019563</v>
      </c>
    </row>
    <row r="32" spans="2:16" s="109" customFormat="1" x14ac:dyDescent="0.25">
      <c r="D32" s="114" t="s">
        <v>466</v>
      </c>
      <c r="E32" s="111"/>
      <c r="F32" s="115">
        <f>+F18+F29</f>
        <v>5591632.2263000002</v>
      </c>
    </row>
  </sheetData>
  <mergeCells count="1">
    <mergeCell ref="B9:O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D10:H30"/>
  <sheetViews>
    <sheetView showGridLines="0" topLeftCell="A22" workbookViewId="0">
      <selection activeCell="H23" sqref="H23:H26"/>
    </sheetView>
  </sheetViews>
  <sheetFormatPr baseColWidth="10" defaultRowHeight="11.25" x14ac:dyDescent="0.2"/>
  <cols>
    <col min="1" max="2" width="11.42578125" style="48"/>
    <col min="3" max="3" width="3.28515625" style="48" customWidth="1"/>
    <col min="4" max="4" width="10.42578125" style="48" bestFit="1" customWidth="1"/>
    <col min="5" max="5" width="51.42578125" style="48" bestFit="1" customWidth="1"/>
    <col min="6" max="6" width="75.140625" style="48" customWidth="1"/>
    <col min="7" max="16384" width="11.42578125" style="48"/>
  </cols>
  <sheetData>
    <row r="10" spans="4:6" x14ac:dyDescent="0.2">
      <c r="D10" s="118" t="s">
        <v>479</v>
      </c>
      <c r="E10" s="118" t="s">
        <v>480</v>
      </c>
      <c r="F10" s="118" t="s">
        <v>481</v>
      </c>
    </row>
    <row r="11" spans="4:6" ht="22.5" x14ac:dyDescent="0.2">
      <c r="D11" s="119">
        <v>41666</v>
      </c>
      <c r="E11" s="120" t="s">
        <v>365</v>
      </c>
      <c r="F11" s="121" t="s">
        <v>364</v>
      </c>
    </row>
    <row r="12" spans="4:6" ht="22.5" x14ac:dyDescent="0.2">
      <c r="D12" s="119">
        <v>41666</v>
      </c>
      <c r="E12" s="120" t="s">
        <v>367</v>
      </c>
      <c r="F12" s="121" t="s">
        <v>366</v>
      </c>
    </row>
    <row r="13" spans="4:6" ht="30" x14ac:dyDescent="0.2">
      <c r="D13" s="119">
        <v>41669</v>
      </c>
      <c r="E13" s="120" t="s">
        <v>369</v>
      </c>
      <c r="F13" s="122" t="s">
        <v>368</v>
      </c>
    </row>
    <row r="14" spans="4:6" x14ac:dyDescent="0.2">
      <c r="D14" s="119">
        <v>41676</v>
      </c>
      <c r="E14" s="120" t="s">
        <v>187</v>
      </c>
      <c r="F14" s="121" t="s">
        <v>186</v>
      </c>
    </row>
    <row r="15" spans="4:6" ht="22.5" x14ac:dyDescent="0.2">
      <c r="D15" s="119">
        <v>41676</v>
      </c>
      <c r="E15" s="120" t="s">
        <v>184</v>
      </c>
      <c r="F15" s="121" t="s">
        <v>183</v>
      </c>
    </row>
    <row r="16" spans="4:6" ht="22.5" x14ac:dyDescent="0.2">
      <c r="D16" s="119">
        <v>41680</v>
      </c>
      <c r="E16" s="120" t="s">
        <v>185</v>
      </c>
      <c r="F16" s="121" t="s">
        <v>180</v>
      </c>
    </row>
    <row r="17" spans="4:8" ht="48.75" customHeight="1" x14ac:dyDescent="0.2">
      <c r="D17" s="119">
        <v>41694</v>
      </c>
      <c r="E17" s="120" t="s">
        <v>182</v>
      </c>
      <c r="F17" s="121" t="s">
        <v>181</v>
      </c>
    </row>
    <row r="18" spans="4:8" ht="45" customHeight="1" x14ac:dyDescent="0.2">
      <c r="D18" s="119">
        <v>41695</v>
      </c>
      <c r="E18" s="120" t="s">
        <v>363</v>
      </c>
      <c r="F18" s="121" t="s">
        <v>362</v>
      </c>
    </row>
    <row r="19" spans="4:8" ht="43.5" customHeight="1" x14ac:dyDescent="0.2">
      <c r="D19" s="119">
        <v>41698</v>
      </c>
      <c r="E19" s="120" t="s">
        <v>371</v>
      </c>
      <c r="F19" s="122" t="s">
        <v>370</v>
      </c>
      <c r="G19" s="48">
        <v>18</v>
      </c>
    </row>
    <row r="20" spans="4:8" ht="45.75" customHeight="1" x14ac:dyDescent="0.2">
      <c r="D20" s="119">
        <v>41701</v>
      </c>
      <c r="E20" s="120" t="s">
        <v>189</v>
      </c>
      <c r="F20" s="121" t="s">
        <v>188</v>
      </c>
    </row>
    <row r="21" spans="4:8" ht="47.25" customHeight="1" x14ac:dyDescent="0.2">
      <c r="D21" s="119">
        <v>41702</v>
      </c>
      <c r="E21" s="120" t="s">
        <v>373</v>
      </c>
      <c r="F21" s="121" t="s">
        <v>372</v>
      </c>
    </row>
    <row r="22" spans="4:8" ht="49.5" customHeight="1" x14ac:dyDescent="0.2">
      <c r="D22" s="119">
        <v>41702</v>
      </c>
      <c r="E22" s="120" t="s">
        <v>375</v>
      </c>
      <c r="F22" s="121" t="s">
        <v>374</v>
      </c>
      <c r="G22" s="375">
        <f>+'ER2008-2013'!J42</f>
        <v>55803.761000000013</v>
      </c>
    </row>
    <row r="23" spans="4:8" ht="48" customHeight="1" x14ac:dyDescent="0.2">
      <c r="D23" s="119">
        <v>41702</v>
      </c>
      <c r="E23" s="120" t="s">
        <v>377</v>
      </c>
      <c r="F23" s="121" t="s">
        <v>376</v>
      </c>
      <c r="G23" s="48">
        <v>36570</v>
      </c>
      <c r="H23" s="374">
        <f>+G23/G$26</f>
        <v>0.65532936707046086</v>
      </c>
    </row>
    <row r="24" spans="4:8" ht="47.25" customHeight="1" x14ac:dyDescent="0.2">
      <c r="D24" s="119">
        <v>41703</v>
      </c>
      <c r="E24" s="120" t="s">
        <v>260</v>
      </c>
      <c r="F24" s="121" t="s">
        <v>259</v>
      </c>
      <c r="G24" s="48">
        <v>18954</v>
      </c>
      <c r="H24" s="374">
        <f t="shared" ref="H24:H25" si="0">+G24/G$26</f>
        <v>0.33965307146441115</v>
      </c>
    </row>
    <row r="25" spans="4:8" ht="47.25" customHeight="1" x14ac:dyDescent="0.2">
      <c r="D25" s="119">
        <v>41725</v>
      </c>
      <c r="E25" s="120" t="s">
        <v>482</v>
      </c>
      <c r="F25" s="121" t="s">
        <v>483</v>
      </c>
      <c r="G25" s="48">
        <v>280</v>
      </c>
      <c r="H25" s="374">
        <f t="shared" si="0"/>
        <v>5.0175614651279477E-3</v>
      </c>
    </row>
    <row r="26" spans="4:8" ht="45" customHeight="1" x14ac:dyDescent="0.2">
      <c r="D26" s="119">
        <v>41757</v>
      </c>
      <c r="E26" s="120" t="s">
        <v>595</v>
      </c>
      <c r="F26" s="121" t="s">
        <v>594</v>
      </c>
      <c r="G26" s="48">
        <f>SUM(G23:G25)</f>
        <v>55804</v>
      </c>
      <c r="H26" s="376">
        <f>SUM(H23:H25)</f>
        <v>1</v>
      </c>
    </row>
    <row r="27" spans="4:8" ht="22.5" x14ac:dyDescent="0.2">
      <c r="D27" s="119">
        <v>41759</v>
      </c>
      <c r="E27" s="120" t="s">
        <v>597</v>
      </c>
      <c r="F27" s="121" t="s">
        <v>596</v>
      </c>
    </row>
    <row r="28" spans="4:8" ht="45" x14ac:dyDescent="0.2">
      <c r="D28" s="119">
        <v>41759</v>
      </c>
      <c r="E28" s="120" t="s">
        <v>598</v>
      </c>
      <c r="F28" s="122" t="s">
        <v>599</v>
      </c>
    </row>
    <row r="29" spans="4:8" x14ac:dyDescent="0.2">
      <c r="D29" s="119"/>
      <c r="E29" s="120"/>
      <c r="F29" s="121"/>
    </row>
    <row r="30" spans="4:8" x14ac:dyDescent="0.2">
      <c r="D30" s="119"/>
      <c r="E30" s="120"/>
      <c r="F30" s="121"/>
    </row>
  </sheetData>
  <hyperlinks>
    <hyperlink ref="F20" r:id="rId1"/>
    <hyperlink ref="F24" r:id="rId2"/>
    <hyperlink ref="F23" r:id="rId3"/>
    <hyperlink ref="F13" r:id="rId4"/>
    <hyperlink ref="F28" r:id="rId5"/>
    <hyperlink ref="F19" r:id="rId6"/>
  </hyperlinks>
  <pageMargins left="0.7" right="0.7" top="0.75" bottom="0.75" header="0.3" footer="0.3"/>
  <pageSetup orientation="portrait" r:id="rId7"/>
  <drawing r:id="rId8"/>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D103"/>
  <sheetViews>
    <sheetView showGridLines="0" topLeftCell="A16" workbookViewId="0">
      <selection activeCell="D30" sqref="D30"/>
    </sheetView>
  </sheetViews>
  <sheetFormatPr baseColWidth="10" defaultRowHeight="15" x14ac:dyDescent="0.25"/>
  <cols>
    <col min="1" max="1" width="11.42578125" style="68"/>
    <col min="2" max="2" width="8.28515625" style="68" customWidth="1"/>
    <col min="3" max="3" width="32.42578125" style="68" bestFit="1" customWidth="1"/>
    <col min="4" max="4" width="20.28515625" style="68" bestFit="1" customWidth="1"/>
    <col min="5" max="16384" width="11.42578125" style="68"/>
  </cols>
  <sheetData>
    <row r="1" spans="2:4" ht="18.75" customHeight="1" x14ac:dyDescent="0.25"/>
    <row r="2" spans="2:4" x14ac:dyDescent="0.25">
      <c r="B2" s="7" t="s">
        <v>486</v>
      </c>
      <c r="C2" s="7"/>
    </row>
    <row r="3" spans="2:4" x14ac:dyDescent="0.25">
      <c r="B3" s="125" t="s">
        <v>487</v>
      </c>
    </row>
    <row r="5" spans="2:4" ht="15.75" customHeight="1" x14ac:dyDescent="0.25">
      <c r="B5" s="126"/>
      <c r="C5" s="128" t="s">
        <v>488</v>
      </c>
      <c r="D5" s="128" t="s">
        <v>489</v>
      </c>
    </row>
    <row r="6" spans="2:4" x14ac:dyDescent="0.25">
      <c r="B6" s="126"/>
      <c r="C6" s="124"/>
      <c r="D6" s="127"/>
    </row>
    <row r="7" spans="2:4" x14ac:dyDescent="0.25">
      <c r="B7" s="28">
        <v>1</v>
      </c>
      <c r="C7" s="131" t="s">
        <v>490</v>
      </c>
      <c r="D7" s="117">
        <v>1.0291018518518518</v>
      </c>
    </row>
    <row r="8" spans="2:4" x14ac:dyDescent="0.25">
      <c r="B8" s="28">
        <f t="shared" ref="B8:B71" si="0">+B7+1</f>
        <v>2</v>
      </c>
      <c r="C8" s="131" t="s">
        <v>491</v>
      </c>
      <c r="D8" s="117">
        <v>1.007175175175175</v>
      </c>
    </row>
    <row r="9" spans="2:4" x14ac:dyDescent="0.25">
      <c r="B9" s="28">
        <f t="shared" si="0"/>
        <v>3</v>
      </c>
      <c r="C9" s="131" t="s">
        <v>492</v>
      </c>
      <c r="D9" s="117">
        <v>0.93801525054466228</v>
      </c>
    </row>
    <row r="10" spans="2:4" x14ac:dyDescent="0.25">
      <c r="B10" s="28">
        <f t="shared" si="0"/>
        <v>4</v>
      </c>
      <c r="C10" s="131" t="s">
        <v>493</v>
      </c>
      <c r="D10" s="117">
        <v>1.1451311369509047</v>
      </c>
    </row>
    <row r="11" spans="2:4" x14ac:dyDescent="0.25">
      <c r="B11" s="28">
        <f t="shared" si="0"/>
        <v>5</v>
      </c>
      <c r="C11" s="131" t="s">
        <v>494</v>
      </c>
      <c r="D11" s="117">
        <v>1.2765993265993265</v>
      </c>
    </row>
    <row r="12" spans="2:4" x14ac:dyDescent="0.25">
      <c r="B12" s="28">
        <f t="shared" si="0"/>
        <v>6</v>
      </c>
      <c r="C12" s="131" t="s">
        <v>495</v>
      </c>
      <c r="D12" s="117">
        <v>1.4611345822566757</v>
      </c>
    </row>
    <row r="13" spans="2:4" x14ac:dyDescent="0.25">
      <c r="B13" s="28">
        <f t="shared" si="0"/>
        <v>7</v>
      </c>
      <c r="C13" s="131" t="s">
        <v>496</v>
      </c>
      <c r="D13" s="117">
        <v>0.71611666666666651</v>
      </c>
    </row>
    <row r="14" spans="2:4" x14ac:dyDescent="0.25">
      <c r="B14" s="28">
        <f t="shared" si="0"/>
        <v>8</v>
      </c>
      <c r="C14" s="131" t="s">
        <v>497</v>
      </c>
      <c r="D14" s="117">
        <v>0.58315484158857667</v>
      </c>
    </row>
    <row r="15" spans="2:4" x14ac:dyDescent="0.25">
      <c r="B15" s="28">
        <f t="shared" si="0"/>
        <v>9</v>
      </c>
      <c r="C15" s="131" t="s">
        <v>498</v>
      </c>
      <c r="D15" s="117">
        <v>1.4236312399355879</v>
      </c>
    </row>
    <row r="16" spans="2:4" x14ac:dyDescent="0.25">
      <c r="B16" s="28">
        <f t="shared" si="0"/>
        <v>10</v>
      </c>
      <c r="C16" s="131" t="s">
        <v>499</v>
      </c>
      <c r="D16" s="117">
        <v>1.1390206552706554</v>
      </c>
    </row>
    <row r="17" spans="2:4" x14ac:dyDescent="0.25">
      <c r="B17" s="28">
        <f t="shared" si="0"/>
        <v>11</v>
      </c>
      <c r="C17" s="131" t="s">
        <v>500</v>
      </c>
      <c r="D17" s="117">
        <v>1.1152640632264064</v>
      </c>
    </row>
    <row r="18" spans="2:4" x14ac:dyDescent="0.25">
      <c r="B18" s="28">
        <f t="shared" si="0"/>
        <v>12</v>
      </c>
      <c r="C18" s="131" t="s">
        <v>501</v>
      </c>
      <c r="D18" s="117">
        <v>1.5314122574955908</v>
      </c>
    </row>
    <row r="19" spans="2:4" x14ac:dyDescent="0.25">
      <c r="B19" s="28">
        <f t="shared" si="0"/>
        <v>13</v>
      </c>
      <c r="C19" s="131" t="s">
        <v>502</v>
      </c>
      <c r="D19" s="117">
        <v>1.1077835648148147</v>
      </c>
    </row>
    <row r="20" spans="2:4" x14ac:dyDescent="0.25">
      <c r="B20" s="28">
        <f t="shared" si="0"/>
        <v>14</v>
      </c>
      <c r="C20" s="131" t="s">
        <v>503</v>
      </c>
      <c r="D20" s="117">
        <v>1.2715424648786715</v>
      </c>
    </row>
    <row r="21" spans="2:4" x14ac:dyDescent="0.25">
      <c r="B21" s="28">
        <f t="shared" si="0"/>
        <v>15</v>
      </c>
      <c r="C21" s="131" t="s">
        <v>504</v>
      </c>
      <c r="D21" s="117">
        <v>0.8977425246347267</v>
      </c>
    </row>
    <row r="22" spans="2:4" x14ac:dyDescent="0.25">
      <c r="B22" s="28">
        <f t="shared" si="0"/>
        <v>16</v>
      </c>
      <c r="C22" s="131" t="s">
        <v>505</v>
      </c>
      <c r="D22" s="117">
        <v>0.97484986772486781</v>
      </c>
    </row>
    <row r="23" spans="2:4" x14ac:dyDescent="0.25">
      <c r="B23" s="28">
        <f t="shared" si="0"/>
        <v>17</v>
      </c>
      <c r="C23" s="131" t="s">
        <v>506</v>
      </c>
      <c r="D23" s="117">
        <v>1.0123460219478739</v>
      </c>
    </row>
    <row r="24" spans="2:4" x14ac:dyDescent="0.25">
      <c r="B24" s="28">
        <f t="shared" si="0"/>
        <v>18</v>
      </c>
      <c r="C24" s="131" t="s">
        <v>507</v>
      </c>
      <c r="D24" s="117">
        <v>1.416775462962963</v>
      </c>
    </row>
    <row r="25" spans="2:4" x14ac:dyDescent="0.25">
      <c r="B25" s="28">
        <f t="shared" si="0"/>
        <v>19</v>
      </c>
      <c r="C25" s="131" t="s">
        <v>508</v>
      </c>
      <c r="D25" s="117">
        <v>1.0140386636636642</v>
      </c>
    </row>
    <row r="26" spans="2:4" x14ac:dyDescent="0.25">
      <c r="B26" s="28">
        <f t="shared" si="0"/>
        <v>20</v>
      </c>
      <c r="C26" s="131" t="s">
        <v>509</v>
      </c>
      <c r="D26" s="117">
        <v>1.2763097371565113</v>
      </c>
    </row>
    <row r="27" spans="2:4" x14ac:dyDescent="0.25">
      <c r="B27" s="28">
        <f t="shared" si="0"/>
        <v>21</v>
      </c>
      <c r="C27" s="131" t="s">
        <v>510</v>
      </c>
      <c r="D27" s="117">
        <v>0.92138851351351325</v>
      </c>
    </row>
    <row r="28" spans="2:4" x14ac:dyDescent="0.25">
      <c r="B28" s="28">
        <f t="shared" si="0"/>
        <v>22</v>
      </c>
      <c r="C28" s="131" t="s">
        <v>511</v>
      </c>
      <c r="D28" s="117">
        <v>1.0677674096251939</v>
      </c>
    </row>
    <row r="29" spans="2:4" x14ac:dyDescent="0.25">
      <c r="B29" s="28">
        <f t="shared" si="0"/>
        <v>23</v>
      </c>
      <c r="C29" s="131" t="s">
        <v>512</v>
      </c>
      <c r="D29" s="117">
        <v>1.1493271604938269</v>
      </c>
    </row>
    <row r="30" spans="2:4" x14ac:dyDescent="0.25">
      <c r="B30" s="129">
        <f t="shared" si="0"/>
        <v>24</v>
      </c>
      <c r="C30" s="132" t="s">
        <v>513</v>
      </c>
      <c r="D30" s="130">
        <v>0.96010956790123492</v>
      </c>
    </row>
    <row r="31" spans="2:4" x14ac:dyDescent="0.25">
      <c r="B31" s="28">
        <f t="shared" si="0"/>
        <v>25</v>
      </c>
      <c r="C31" s="131" t="s">
        <v>514</v>
      </c>
      <c r="D31" s="117">
        <v>0.77093945868945879</v>
      </c>
    </row>
    <row r="32" spans="2:4" x14ac:dyDescent="0.25">
      <c r="B32" s="28">
        <f t="shared" si="0"/>
        <v>26</v>
      </c>
      <c r="C32" s="131" t="s">
        <v>515</v>
      </c>
      <c r="D32" s="117">
        <v>1.2359319800569799</v>
      </c>
    </row>
    <row r="33" spans="2:4" x14ac:dyDescent="0.25">
      <c r="B33" s="28">
        <f t="shared" si="0"/>
        <v>27</v>
      </c>
      <c r="C33" s="131" t="s">
        <v>516</v>
      </c>
      <c r="D33" s="117">
        <v>1.1420897190293744</v>
      </c>
    </row>
    <row r="34" spans="2:4" x14ac:dyDescent="0.25">
      <c r="B34" s="28">
        <f t="shared" si="0"/>
        <v>28</v>
      </c>
      <c r="C34" s="131" t="s">
        <v>517</v>
      </c>
      <c r="D34" s="117">
        <v>1.0246114890400599</v>
      </c>
    </row>
    <row r="35" spans="2:4" x14ac:dyDescent="0.25">
      <c r="B35" s="28">
        <f t="shared" si="0"/>
        <v>29</v>
      </c>
      <c r="C35" s="131" t="s">
        <v>518</v>
      </c>
      <c r="D35" s="117">
        <v>1.367480936819172</v>
      </c>
    </row>
    <row r="36" spans="2:4" x14ac:dyDescent="0.25">
      <c r="B36" s="28">
        <f t="shared" si="0"/>
        <v>30</v>
      </c>
      <c r="C36" s="131" t="s">
        <v>519</v>
      </c>
      <c r="D36" s="117">
        <v>1.2000296296296298</v>
      </c>
    </row>
    <row r="37" spans="2:4" x14ac:dyDescent="0.25">
      <c r="B37" s="28">
        <f t="shared" si="0"/>
        <v>31</v>
      </c>
      <c r="C37" s="131" t="s">
        <v>520</v>
      </c>
      <c r="D37" s="117">
        <v>1.1885225225225224</v>
      </c>
    </row>
    <row r="38" spans="2:4" x14ac:dyDescent="0.25">
      <c r="B38" s="28">
        <f t="shared" si="0"/>
        <v>32</v>
      </c>
      <c r="C38" s="131" t="s">
        <v>521</v>
      </c>
      <c r="D38" s="117">
        <v>1.1345487472766886</v>
      </c>
    </row>
    <row r="39" spans="2:4" x14ac:dyDescent="0.25">
      <c r="B39" s="28">
        <f t="shared" si="0"/>
        <v>33</v>
      </c>
      <c r="C39" s="131" t="s">
        <v>522</v>
      </c>
      <c r="D39" s="117">
        <v>0.7937894736842106</v>
      </c>
    </row>
    <row r="40" spans="2:4" x14ac:dyDescent="0.25">
      <c r="B40" s="28">
        <f t="shared" si="0"/>
        <v>34</v>
      </c>
      <c r="C40" s="131" t="s">
        <v>523</v>
      </c>
      <c r="D40" s="117">
        <v>0.98508278867102417</v>
      </c>
    </row>
    <row r="41" spans="2:4" x14ac:dyDescent="0.25">
      <c r="B41" s="28">
        <f t="shared" si="0"/>
        <v>35</v>
      </c>
      <c r="C41" s="131" t="s">
        <v>524</v>
      </c>
      <c r="D41" s="117">
        <v>1.0495447530864197</v>
      </c>
    </row>
    <row r="42" spans="2:4" x14ac:dyDescent="0.25">
      <c r="B42" s="28">
        <f t="shared" si="0"/>
        <v>36</v>
      </c>
      <c r="C42" s="131" t="s">
        <v>525</v>
      </c>
      <c r="D42" s="117">
        <v>0.8511859974009095</v>
      </c>
    </row>
    <row r="43" spans="2:4" x14ac:dyDescent="0.25">
      <c r="B43" s="28">
        <f t="shared" si="0"/>
        <v>37</v>
      </c>
      <c r="C43" s="131" t="s">
        <v>526</v>
      </c>
      <c r="D43" s="117">
        <v>1.1757880658436215</v>
      </c>
    </row>
    <row r="44" spans="2:4" x14ac:dyDescent="0.25">
      <c r="B44" s="28">
        <f t="shared" si="0"/>
        <v>38</v>
      </c>
      <c r="C44" s="131" t="s">
        <v>527</v>
      </c>
      <c r="D44" s="117">
        <v>1.2414188712522045</v>
      </c>
    </row>
    <row r="45" spans="2:4" x14ac:dyDescent="0.25">
      <c r="B45" s="28">
        <f t="shared" si="0"/>
        <v>39</v>
      </c>
      <c r="C45" s="131" t="s">
        <v>528</v>
      </c>
      <c r="D45" s="117">
        <v>0.85353591269841256</v>
      </c>
    </row>
    <row r="46" spans="2:4" x14ac:dyDescent="0.25">
      <c r="B46" s="28">
        <f t="shared" si="0"/>
        <v>40</v>
      </c>
      <c r="C46" s="131" t="s">
        <v>529</v>
      </c>
      <c r="D46" s="117">
        <v>1.1285868055555557</v>
      </c>
    </row>
    <row r="47" spans="2:4" x14ac:dyDescent="0.25">
      <c r="B47" s="28">
        <f t="shared" si="0"/>
        <v>41</v>
      </c>
      <c r="C47" s="131" t="s">
        <v>530</v>
      </c>
      <c r="D47" s="117">
        <v>1.0048172839506173</v>
      </c>
    </row>
    <row r="48" spans="2:4" x14ac:dyDescent="0.25">
      <c r="B48" s="28">
        <f t="shared" si="0"/>
        <v>42</v>
      </c>
      <c r="C48" s="131" t="s">
        <v>531</v>
      </c>
      <c r="D48" s="117">
        <v>0.83227597109304396</v>
      </c>
    </row>
    <row r="49" spans="2:4" x14ac:dyDescent="0.25">
      <c r="B49" s="28">
        <f t="shared" si="0"/>
        <v>43</v>
      </c>
      <c r="C49" s="131" t="s">
        <v>532</v>
      </c>
      <c r="D49" s="117">
        <v>0.99274547101449262</v>
      </c>
    </row>
    <row r="50" spans="2:4" x14ac:dyDescent="0.25">
      <c r="B50" s="28">
        <f t="shared" si="0"/>
        <v>44</v>
      </c>
      <c r="C50" s="131" t="s">
        <v>533</v>
      </c>
      <c r="D50" s="117">
        <v>1.6693235596707821</v>
      </c>
    </row>
    <row r="51" spans="2:4" x14ac:dyDescent="0.25">
      <c r="B51" s="28">
        <f t="shared" si="0"/>
        <v>45</v>
      </c>
      <c r="C51" s="131" t="s">
        <v>534</v>
      </c>
      <c r="D51" s="117">
        <v>1.7130160818713454</v>
      </c>
    </row>
    <row r="52" spans="2:4" x14ac:dyDescent="0.25">
      <c r="B52" s="28">
        <f t="shared" si="0"/>
        <v>46</v>
      </c>
      <c r="C52" s="131" t="s">
        <v>535</v>
      </c>
      <c r="D52" s="117">
        <v>1.2736163522012578</v>
      </c>
    </row>
    <row r="53" spans="2:4" x14ac:dyDescent="0.25">
      <c r="B53" s="28">
        <f t="shared" si="0"/>
        <v>47</v>
      </c>
      <c r="C53" s="131" t="s">
        <v>536</v>
      </c>
      <c r="D53" s="117">
        <v>1.004602564102564</v>
      </c>
    </row>
    <row r="54" spans="2:4" x14ac:dyDescent="0.25">
      <c r="B54" s="28">
        <f t="shared" si="0"/>
        <v>48</v>
      </c>
      <c r="C54" s="131" t="s">
        <v>537</v>
      </c>
      <c r="D54" s="117">
        <v>0.84329121278140884</v>
      </c>
    </row>
    <row r="55" spans="2:4" x14ac:dyDescent="0.25">
      <c r="B55" s="28">
        <f t="shared" si="0"/>
        <v>49</v>
      </c>
      <c r="C55" s="131" t="s">
        <v>538</v>
      </c>
      <c r="D55" s="117">
        <v>0.91929953703703704</v>
      </c>
    </row>
    <row r="56" spans="2:4" x14ac:dyDescent="0.25">
      <c r="B56" s="28">
        <f t="shared" si="0"/>
        <v>50</v>
      </c>
      <c r="C56" s="131" t="s">
        <v>539</v>
      </c>
      <c r="D56" s="117">
        <v>1.2100965608465606</v>
      </c>
    </row>
    <row r="57" spans="2:4" x14ac:dyDescent="0.25">
      <c r="B57" s="28">
        <f t="shared" si="0"/>
        <v>51</v>
      </c>
      <c r="C57" s="131" t="s">
        <v>540</v>
      </c>
      <c r="D57" s="117">
        <v>0.76314533011272168</v>
      </c>
    </row>
    <row r="58" spans="2:4" x14ac:dyDescent="0.25">
      <c r="B58" s="28">
        <f t="shared" si="0"/>
        <v>52</v>
      </c>
      <c r="C58" s="131" t="s">
        <v>541</v>
      </c>
      <c r="D58" s="117">
        <v>1.0451352880658435</v>
      </c>
    </row>
    <row r="59" spans="2:4" x14ac:dyDescent="0.25">
      <c r="B59" s="28">
        <f t="shared" si="0"/>
        <v>53</v>
      </c>
      <c r="C59" s="131" t="s">
        <v>542</v>
      </c>
      <c r="D59" s="117">
        <v>0.81550617283950633</v>
      </c>
    </row>
    <row r="60" spans="2:4" x14ac:dyDescent="0.25">
      <c r="B60" s="28">
        <f t="shared" si="0"/>
        <v>54</v>
      </c>
      <c r="C60" s="131" t="s">
        <v>543</v>
      </c>
      <c r="D60" s="117">
        <v>1.0428306737588651</v>
      </c>
    </row>
    <row r="61" spans="2:4" x14ac:dyDescent="0.25">
      <c r="B61" s="28">
        <f t="shared" si="0"/>
        <v>55</v>
      </c>
      <c r="C61" s="131" t="s">
        <v>544</v>
      </c>
      <c r="D61" s="117">
        <v>1.2608422172172171</v>
      </c>
    </row>
    <row r="62" spans="2:4" x14ac:dyDescent="0.25">
      <c r="B62" s="28">
        <f t="shared" si="0"/>
        <v>56</v>
      </c>
      <c r="C62" s="131" t="s">
        <v>545</v>
      </c>
      <c r="D62" s="117">
        <v>1.144662551440329</v>
      </c>
    </row>
    <row r="63" spans="2:4" x14ac:dyDescent="0.25">
      <c r="B63" s="28">
        <f t="shared" si="0"/>
        <v>57</v>
      </c>
      <c r="C63" s="131" t="s">
        <v>546</v>
      </c>
      <c r="D63" s="117">
        <v>1.0044629629629631</v>
      </c>
    </row>
    <row r="64" spans="2:4" x14ac:dyDescent="0.25">
      <c r="B64" s="28">
        <f t="shared" si="0"/>
        <v>58</v>
      </c>
      <c r="C64" s="131" t="s">
        <v>547</v>
      </c>
      <c r="D64" s="117">
        <v>1.239947823736145</v>
      </c>
    </row>
    <row r="65" spans="2:4" x14ac:dyDescent="0.25">
      <c r="B65" s="28">
        <f t="shared" si="0"/>
        <v>59</v>
      </c>
      <c r="C65" s="131" t="s">
        <v>548</v>
      </c>
      <c r="D65" s="117">
        <v>0.81666543209876552</v>
      </c>
    </row>
    <row r="66" spans="2:4" x14ac:dyDescent="0.25">
      <c r="B66" s="28">
        <f t="shared" si="0"/>
        <v>60</v>
      </c>
      <c r="C66" s="131" t="s">
        <v>549</v>
      </c>
      <c r="D66" s="117">
        <v>1.3035158062102508</v>
      </c>
    </row>
    <row r="67" spans="2:4" x14ac:dyDescent="0.25">
      <c r="B67" s="28">
        <f t="shared" si="0"/>
        <v>61</v>
      </c>
      <c r="C67" s="131" t="s">
        <v>550</v>
      </c>
      <c r="D67" s="117">
        <v>0.98519929453262789</v>
      </c>
    </row>
    <row r="68" spans="2:4" x14ac:dyDescent="0.25">
      <c r="B68" s="28">
        <f t="shared" si="0"/>
        <v>62</v>
      </c>
      <c r="C68" s="131" t="s">
        <v>551</v>
      </c>
      <c r="D68" s="117">
        <v>1.335621913580247</v>
      </c>
    </row>
    <row r="69" spans="2:4" x14ac:dyDescent="0.25">
      <c r="B69" s="28">
        <f t="shared" si="0"/>
        <v>63</v>
      </c>
      <c r="C69" s="131" t="s">
        <v>552</v>
      </c>
      <c r="D69" s="117">
        <v>1.103147494553377</v>
      </c>
    </row>
    <row r="70" spans="2:4" x14ac:dyDescent="0.25">
      <c r="B70" s="28">
        <f t="shared" si="0"/>
        <v>64</v>
      </c>
      <c r="C70" s="131" t="s">
        <v>553</v>
      </c>
      <c r="D70" s="117">
        <v>0.67805506822612083</v>
      </c>
    </row>
    <row r="71" spans="2:4" x14ac:dyDescent="0.25">
      <c r="B71" s="28">
        <f t="shared" si="0"/>
        <v>65</v>
      </c>
      <c r="C71" s="131" t="s">
        <v>554</v>
      </c>
      <c r="D71" s="117">
        <v>1.3336833964646471</v>
      </c>
    </row>
    <row r="72" spans="2:4" x14ac:dyDescent="0.25">
      <c r="B72" s="28">
        <f t="shared" ref="B72:B103" si="1">+B71+1</f>
        <v>66</v>
      </c>
      <c r="C72" s="131" t="s">
        <v>555</v>
      </c>
      <c r="D72" s="117">
        <v>1.0817402263374485</v>
      </c>
    </row>
    <row r="73" spans="2:4" x14ac:dyDescent="0.25">
      <c r="B73" s="28">
        <f t="shared" si="1"/>
        <v>67</v>
      </c>
      <c r="C73" s="131" t="s">
        <v>556</v>
      </c>
      <c r="D73" s="117">
        <v>0.78295802469135822</v>
      </c>
    </row>
    <row r="74" spans="2:4" x14ac:dyDescent="0.25">
      <c r="B74" s="28">
        <f t="shared" si="1"/>
        <v>68</v>
      </c>
      <c r="C74" s="131" t="s">
        <v>557</v>
      </c>
      <c r="D74" s="117">
        <v>1.0788822751322751</v>
      </c>
    </row>
    <row r="75" spans="2:4" x14ac:dyDescent="0.25">
      <c r="B75" s="28">
        <f t="shared" si="1"/>
        <v>69</v>
      </c>
      <c r="C75" s="131" t="s">
        <v>558</v>
      </c>
      <c r="D75" s="117">
        <v>0.99004497354497356</v>
      </c>
    </row>
    <row r="76" spans="2:4" x14ac:dyDescent="0.25">
      <c r="B76" s="28">
        <f t="shared" si="1"/>
        <v>70</v>
      </c>
      <c r="C76" s="131" t="s">
        <v>559</v>
      </c>
      <c r="D76" s="117">
        <v>0.71834259259259259</v>
      </c>
    </row>
    <row r="77" spans="2:4" x14ac:dyDescent="0.25">
      <c r="B77" s="28">
        <f t="shared" si="1"/>
        <v>71</v>
      </c>
      <c r="C77" s="131" t="s">
        <v>560</v>
      </c>
      <c r="D77" s="117">
        <v>1.4010748456790123</v>
      </c>
    </row>
    <row r="78" spans="2:4" x14ac:dyDescent="0.25">
      <c r="B78" s="28">
        <f t="shared" si="1"/>
        <v>72</v>
      </c>
      <c r="C78" s="131" t="s">
        <v>561</v>
      </c>
      <c r="D78" s="117">
        <v>1.3049613425925926</v>
      </c>
    </row>
    <row r="79" spans="2:4" x14ac:dyDescent="0.25">
      <c r="B79" s="28">
        <f t="shared" si="1"/>
        <v>73</v>
      </c>
      <c r="C79" s="131" t="s">
        <v>562</v>
      </c>
      <c r="D79" s="117">
        <v>0.56297839506172831</v>
      </c>
    </row>
    <row r="80" spans="2:4" x14ac:dyDescent="0.25">
      <c r="B80" s="28">
        <f t="shared" si="1"/>
        <v>74</v>
      </c>
      <c r="C80" s="131" t="s">
        <v>563</v>
      </c>
      <c r="D80" s="117">
        <v>0.8563451468710086</v>
      </c>
    </row>
    <row r="81" spans="2:4" x14ac:dyDescent="0.25">
      <c r="B81" s="28">
        <f t="shared" si="1"/>
        <v>75</v>
      </c>
      <c r="C81" s="131" t="s">
        <v>564</v>
      </c>
      <c r="D81" s="117">
        <v>1.1510245370370373</v>
      </c>
    </row>
    <row r="82" spans="2:4" x14ac:dyDescent="0.25">
      <c r="B82" s="28">
        <f t="shared" si="1"/>
        <v>76</v>
      </c>
      <c r="C82" s="131" t="s">
        <v>565</v>
      </c>
      <c r="D82" s="117">
        <v>1.0686080246913578</v>
      </c>
    </row>
    <row r="83" spans="2:4" x14ac:dyDescent="0.25">
      <c r="B83" s="28">
        <f t="shared" si="1"/>
        <v>77</v>
      </c>
      <c r="C83" s="131" t="s">
        <v>566</v>
      </c>
      <c r="D83" s="117">
        <v>0.99910457516339846</v>
      </c>
    </row>
    <row r="84" spans="2:4" x14ac:dyDescent="0.25">
      <c r="B84" s="28">
        <f t="shared" si="1"/>
        <v>78</v>
      </c>
      <c r="C84" s="131" t="s">
        <v>567</v>
      </c>
      <c r="D84" s="117">
        <v>0.97906822612085787</v>
      </c>
    </row>
    <row r="85" spans="2:4" x14ac:dyDescent="0.25">
      <c r="B85" s="28">
        <f t="shared" si="1"/>
        <v>79</v>
      </c>
      <c r="C85" s="131" t="s">
        <v>568</v>
      </c>
      <c r="D85" s="117">
        <v>0.81410545267489709</v>
      </c>
    </row>
    <row r="86" spans="2:4" x14ac:dyDescent="0.25">
      <c r="B86" s="28">
        <f t="shared" si="1"/>
        <v>80</v>
      </c>
      <c r="C86" s="131" t="s">
        <v>569</v>
      </c>
      <c r="D86" s="117">
        <v>1.0304980842911877</v>
      </c>
    </row>
    <row r="87" spans="2:4" x14ac:dyDescent="0.25">
      <c r="B87" s="28">
        <f t="shared" si="1"/>
        <v>81</v>
      </c>
      <c r="C87" s="131" t="s">
        <v>570</v>
      </c>
      <c r="D87" s="117">
        <v>0.98630724715099671</v>
      </c>
    </row>
    <row r="88" spans="2:4" x14ac:dyDescent="0.25">
      <c r="B88" s="28">
        <f t="shared" si="1"/>
        <v>82</v>
      </c>
      <c r="C88" s="131" t="s">
        <v>571</v>
      </c>
      <c r="D88" s="117">
        <v>1.267372685185185</v>
      </c>
    </row>
    <row r="89" spans="2:4" x14ac:dyDescent="0.25">
      <c r="B89" s="28">
        <f t="shared" si="1"/>
        <v>83</v>
      </c>
      <c r="C89" s="131" t="s">
        <v>572</v>
      </c>
      <c r="D89" s="117">
        <v>1.1934791412291412</v>
      </c>
    </row>
    <row r="90" spans="2:4" x14ac:dyDescent="0.25">
      <c r="B90" s="28">
        <f t="shared" si="1"/>
        <v>84</v>
      </c>
      <c r="C90" s="131" t="s">
        <v>573</v>
      </c>
      <c r="D90" s="117">
        <v>1.2538475308641976</v>
      </c>
    </row>
    <row r="91" spans="2:4" x14ac:dyDescent="0.25">
      <c r="B91" s="28">
        <f t="shared" si="1"/>
        <v>85</v>
      </c>
      <c r="C91" s="131" t="s">
        <v>574</v>
      </c>
      <c r="D91" s="117">
        <v>1.4965601851851855</v>
      </c>
    </row>
    <row r="92" spans="2:4" x14ac:dyDescent="0.25">
      <c r="B92" s="28">
        <f t="shared" si="1"/>
        <v>86</v>
      </c>
      <c r="C92" s="131" t="s">
        <v>575</v>
      </c>
      <c r="D92" s="117">
        <v>0.83049166666666674</v>
      </c>
    </row>
    <row r="93" spans="2:4" x14ac:dyDescent="0.25">
      <c r="B93" s="28">
        <f t="shared" si="1"/>
        <v>87</v>
      </c>
      <c r="C93" s="131" t="s">
        <v>576</v>
      </c>
      <c r="D93" s="117">
        <v>1.1904670781893003</v>
      </c>
    </row>
    <row r="94" spans="2:4" x14ac:dyDescent="0.25">
      <c r="B94" s="28">
        <f t="shared" si="1"/>
        <v>88</v>
      </c>
      <c r="C94" s="131" t="s">
        <v>577</v>
      </c>
      <c r="D94" s="117">
        <v>0.68071825396825392</v>
      </c>
    </row>
    <row r="95" spans="2:4" x14ac:dyDescent="0.25">
      <c r="B95" s="28">
        <f t="shared" si="1"/>
        <v>89</v>
      </c>
      <c r="C95" s="131" t="s">
        <v>578</v>
      </c>
      <c r="D95" s="117">
        <v>1.1449544402356899</v>
      </c>
    </row>
    <row r="96" spans="2:4" x14ac:dyDescent="0.25">
      <c r="B96" s="28">
        <f t="shared" si="1"/>
        <v>90</v>
      </c>
      <c r="C96" s="131" t="s">
        <v>579</v>
      </c>
      <c r="D96" s="117">
        <v>0.94049440586419741</v>
      </c>
    </row>
    <row r="97" spans="2:4" x14ac:dyDescent="0.25">
      <c r="B97" s="28">
        <f t="shared" si="1"/>
        <v>91</v>
      </c>
      <c r="C97" s="131" t="s">
        <v>580</v>
      </c>
      <c r="D97" s="117">
        <v>0.53137101263112785</v>
      </c>
    </row>
    <row r="98" spans="2:4" x14ac:dyDescent="0.25">
      <c r="B98" s="28">
        <f t="shared" si="1"/>
        <v>92</v>
      </c>
      <c r="C98" s="131" t="s">
        <v>581</v>
      </c>
      <c r="D98" s="117">
        <v>0.93871412037037039</v>
      </c>
    </row>
    <row r="99" spans="2:4" x14ac:dyDescent="0.25">
      <c r="B99" s="28">
        <f t="shared" si="1"/>
        <v>93</v>
      </c>
      <c r="C99" s="131" t="s">
        <v>582</v>
      </c>
      <c r="D99" s="117">
        <v>1.0061123456790124</v>
      </c>
    </row>
    <row r="100" spans="2:4" x14ac:dyDescent="0.25">
      <c r="B100" s="28">
        <f t="shared" si="1"/>
        <v>94</v>
      </c>
      <c r="C100" s="131" t="s">
        <v>583</v>
      </c>
      <c r="D100" s="117">
        <v>1.1666896433470504</v>
      </c>
    </row>
    <row r="101" spans="2:4" x14ac:dyDescent="0.25">
      <c r="B101" s="28">
        <f t="shared" si="1"/>
        <v>95</v>
      </c>
      <c r="C101" s="131" t="s">
        <v>584</v>
      </c>
      <c r="D101" s="117">
        <v>0.55940648148148153</v>
      </c>
    </row>
    <row r="102" spans="2:4" x14ac:dyDescent="0.25">
      <c r="B102" s="28">
        <f t="shared" si="1"/>
        <v>96</v>
      </c>
      <c r="C102" s="131" t="s">
        <v>585</v>
      </c>
      <c r="D102" s="117">
        <v>0.74742102396514165</v>
      </c>
    </row>
    <row r="103" spans="2:4" x14ac:dyDescent="0.25">
      <c r="B103" s="28">
        <f t="shared" si="1"/>
        <v>97</v>
      </c>
      <c r="C103" s="131" t="s">
        <v>586</v>
      </c>
      <c r="D103" s="117">
        <v>1.006633027274894</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0" sqref="B10"/>
    </sheetView>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40"/>
  <sheetViews>
    <sheetView showGridLines="0" zoomScaleNormal="100" workbookViewId="0">
      <selection activeCell="I30" sqref="I30"/>
    </sheetView>
  </sheetViews>
  <sheetFormatPr baseColWidth="10" defaultRowHeight="15" x14ac:dyDescent="0.25"/>
  <cols>
    <col min="4" max="4" width="12.42578125" bestFit="1" customWidth="1"/>
    <col min="5" max="5" width="17.7109375" customWidth="1"/>
    <col min="6" max="6" width="17.42578125" customWidth="1"/>
  </cols>
  <sheetData>
    <row r="5" spans="2:6" x14ac:dyDescent="0.25">
      <c r="B5" t="s">
        <v>703</v>
      </c>
      <c r="C5" s="271" t="s">
        <v>704</v>
      </c>
      <c r="D5" s="271" t="s">
        <v>705</v>
      </c>
      <c r="E5" s="271" t="s">
        <v>706</v>
      </c>
    </row>
    <row r="6" spans="2:6" x14ac:dyDescent="0.25">
      <c r="B6" s="271">
        <v>2001</v>
      </c>
      <c r="C6" s="270">
        <v>1.7</v>
      </c>
      <c r="D6" s="270">
        <v>5.5</v>
      </c>
      <c r="E6" s="270">
        <v>5</v>
      </c>
    </row>
    <row r="7" spans="2:6" x14ac:dyDescent="0.25">
      <c r="B7" s="271">
        <v>2002</v>
      </c>
      <c r="C7" s="270">
        <v>2.5</v>
      </c>
      <c r="D7" s="270">
        <v>12.3</v>
      </c>
      <c r="E7" s="270">
        <v>7.1</v>
      </c>
      <c r="F7" s="264">
        <f>+D7-D6</f>
        <v>6.8000000000000007</v>
      </c>
    </row>
    <row r="8" spans="2:6" x14ac:dyDescent="0.25">
      <c r="B8" s="271">
        <v>2003</v>
      </c>
      <c r="C8" s="270">
        <v>3.9</v>
      </c>
      <c r="D8" s="270">
        <v>8.3000000000000007</v>
      </c>
      <c r="E8" s="270">
        <v>6.1</v>
      </c>
      <c r="F8" s="264">
        <f t="shared" ref="F8:F18" si="0">+D8-D7</f>
        <v>-4</v>
      </c>
    </row>
    <row r="9" spans="2:6" x14ac:dyDescent="0.25">
      <c r="B9" s="271">
        <v>2004</v>
      </c>
      <c r="C9" s="270">
        <v>5.3</v>
      </c>
      <c r="D9" s="270">
        <v>10.7</v>
      </c>
      <c r="E9" s="270">
        <v>0</v>
      </c>
      <c r="F9" s="264">
        <f t="shared" si="0"/>
        <v>2.3999999999999986</v>
      </c>
    </row>
    <row r="10" spans="2:6" x14ac:dyDescent="0.25">
      <c r="B10" s="271">
        <v>2005</v>
      </c>
      <c r="C10" s="270">
        <v>4.7</v>
      </c>
      <c r="D10" s="270">
        <v>6.9</v>
      </c>
      <c r="E10" s="270">
        <v>11.7</v>
      </c>
      <c r="F10" s="264">
        <f t="shared" si="0"/>
        <v>-3.7999999999999989</v>
      </c>
    </row>
    <row r="11" spans="2:6" x14ac:dyDescent="0.25">
      <c r="B11" s="271">
        <v>2006</v>
      </c>
      <c r="C11" s="270">
        <v>6.7</v>
      </c>
      <c r="D11" s="270">
        <v>12.1</v>
      </c>
      <c r="E11" s="270">
        <v>12.2</v>
      </c>
      <c r="F11" s="264">
        <f t="shared" si="0"/>
        <v>5.1999999999999993</v>
      </c>
    </row>
    <row r="12" spans="2:6" x14ac:dyDescent="0.25">
      <c r="B12" s="271">
        <v>2007</v>
      </c>
      <c r="C12" s="270">
        <v>6.9</v>
      </c>
      <c r="D12" s="270">
        <v>8.3000000000000007</v>
      </c>
      <c r="E12" s="270">
        <v>15.8</v>
      </c>
      <c r="F12" s="264">
        <f t="shared" si="0"/>
        <v>-3.7999999999999989</v>
      </c>
    </row>
    <row r="13" spans="2:6" x14ac:dyDescent="0.25">
      <c r="B13" s="271">
        <v>2008</v>
      </c>
      <c r="C13" s="270">
        <v>3.5</v>
      </c>
      <c r="D13" s="270">
        <v>8.8000000000000007</v>
      </c>
      <c r="E13" s="270">
        <v>4.2</v>
      </c>
      <c r="F13" s="264">
        <f t="shared" si="0"/>
        <v>0.5</v>
      </c>
    </row>
    <row r="14" spans="2:6" x14ac:dyDescent="0.25">
      <c r="B14" s="271">
        <v>2009</v>
      </c>
      <c r="C14" s="270">
        <v>1.7</v>
      </c>
      <c r="D14" s="270">
        <v>5.3</v>
      </c>
      <c r="E14" s="270">
        <v>13.2</v>
      </c>
      <c r="F14" s="264">
        <f t="shared" si="0"/>
        <v>-3.5000000000000009</v>
      </c>
    </row>
    <row r="15" spans="2:6" x14ac:dyDescent="0.25">
      <c r="B15" s="271">
        <v>2010</v>
      </c>
      <c r="C15" s="270">
        <v>4</v>
      </c>
      <c r="D15" s="270">
        <v>-0.1</v>
      </c>
      <c r="E15" s="270">
        <v>0</v>
      </c>
      <c r="F15" s="264">
        <f t="shared" si="0"/>
        <v>-5.3999999999999995</v>
      </c>
    </row>
    <row r="16" spans="2:6" x14ac:dyDescent="0.25">
      <c r="B16" s="271">
        <v>2011</v>
      </c>
      <c r="C16" s="270">
        <v>6.6</v>
      </c>
      <c r="D16" s="270">
        <v>10</v>
      </c>
      <c r="E16" s="270">
        <v>17.399999999999999</v>
      </c>
      <c r="F16" s="264">
        <f t="shared" si="0"/>
        <v>10.1</v>
      </c>
    </row>
    <row r="17" spans="2:6" x14ac:dyDescent="0.25">
      <c r="B17" s="271">
        <v>2012</v>
      </c>
      <c r="C17" s="270">
        <v>4</v>
      </c>
      <c r="D17" s="270">
        <v>3.3</v>
      </c>
      <c r="E17" s="270">
        <v>1.5</v>
      </c>
      <c r="F17" s="264">
        <f t="shared" si="0"/>
        <v>-6.7</v>
      </c>
    </row>
    <row r="18" spans="2:6" x14ac:dyDescent="0.25">
      <c r="B18" s="271">
        <v>2013</v>
      </c>
      <c r="C18" s="270">
        <v>4.3</v>
      </c>
      <c r="D18" s="270">
        <v>9.8000000000000007</v>
      </c>
      <c r="E18" s="270">
        <v>10.4</v>
      </c>
      <c r="F18" s="264">
        <f t="shared" si="0"/>
        <v>6.5000000000000009</v>
      </c>
    </row>
    <row r="19" spans="2:6" x14ac:dyDescent="0.25">
      <c r="C19" t="s">
        <v>711</v>
      </c>
    </row>
    <row r="33" spans="8:9" x14ac:dyDescent="0.25">
      <c r="I33" s="264">
        <f>SUM(D18:E18)</f>
        <v>20.200000000000003</v>
      </c>
    </row>
    <row r="37" spans="8:9" x14ac:dyDescent="0.25">
      <c r="H37">
        <v>9.4</v>
      </c>
      <c r="I37" s="201">
        <f>+H37/$H$39</f>
        <v>0.47474747474747475</v>
      </c>
    </row>
    <row r="38" spans="8:9" x14ac:dyDescent="0.25">
      <c r="H38">
        <v>10.4</v>
      </c>
      <c r="I38" s="201">
        <f>+H38/$H$39</f>
        <v>0.5252525252525253</v>
      </c>
    </row>
    <row r="39" spans="8:9" x14ac:dyDescent="0.25">
      <c r="H39">
        <f>SUM(H37:H38)</f>
        <v>19.8</v>
      </c>
    </row>
    <row r="40" spans="8:9" x14ac:dyDescent="0.25">
      <c r="H40">
        <f>+H39/2</f>
        <v>9.9</v>
      </c>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workbookViewId="0">
      <selection activeCell="C3" sqref="C3"/>
    </sheetView>
  </sheetViews>
  <sheetFormatPr baseColWidth="10" defaultRowHeight="15.75" x14ac:dyDescent="0.25"/>
  <cols>
    <col min="1" max="1" width="37.85546875" style="183" bestFit="1" customWidth="1"/>
    <col min="2" max="2" width="17.140625" style="183" customWidth="1"/>
    <col min="3" max="3" width="6.42578125" style="183" customWidth="1"/>
    <col min="4" max="4" width="10.7109375" style="183" customWidth="1"/>
    <col min="5" max="5" width="9.28515625" style="183" customWidth="1"/>
    <col min="6" max="6" width="16" style="183" bestFit="1" customWidth="1"/>
    <col min="7" max="7" width="17.140625" style="183" bestFit="1" customWidth="1"/>
    <col min="8" max="8" width="34.28515625" style="183" bestFit="1" customWidth="1"/>
    <col min="9" max="256" width="11.42578125" style="183"/>
    <col min="257" max="257" width="37.85546875" style="183" bestFit="1" customWidth="1"/>
    <col min="258" max="258" width="17.140625" style="183" customWidth="1"/>
    <col min="259" max="259" width="6.42578125" style="183" customWidth="1"/>
    <col min="260" max="260" width="10.7109375" style="183" customWidth="1"/>
    <col min="261" max="261" width="9.28515625" style="183" customWidth="1"/>
    <col min="262" max="262" width="16" style="183" bestFit="1" customWidth="1"/>
    <col min="263" max="263" width="17.140625" style="183" bestFit="1" customWidth="1"/>
    <col min="264" max="264" width="34.28515625" style="183" bestFit="1" customWidth="1"/>
    <col min="265" max="512" width="11.42578125" style="183"/>
    <col min="513" max="513" width="37.85546875" style="183" bestFit="1" customWidth="1"/>
    <col min="514" max="514" width="17.140625" style="183" customWidth="1"/>
    <col min="515" max="515" width="6.42578125" style="183" customWidth="1"/>
    <col min="516" max="516" width="10.7109375" style="183" customWidth="1"/>
    <col min="517" max="517" width="9.28515625" style="183" customWidth="1"/>
    <col min="518" max="518" width="16" style="183" bestFit="1" customWidth="1"/>
    <col min="519" max="519" width="17.140625" style="183" bestFit="1" customWidth="1"/>
    <col min="520" max="520" width="34.28515625" style="183" bestFit="1" customWidth="1"/>
    <col min="521" max="768" width="11.42578125" style="183"/>
    <col min="769" max="769" width="37.85546875" style="183" bestFit="1" customWidth="1"/>
    <col min="770" max="770" width="17.140625" style="183" customWidth="1"/>
    <col min="771" max="771" width="6.42578125" style="183" customWidth="1"/>
    <col min="772" max="772" width="10.7109375" style="183" customWidth="1"/>
    <col min="773" max="773" width="9.28515625" style="183" customWidth="1"/>
    <col min="774" max="774" width="16" style="183" bestFit="1" customWidth="1"/>
    <col min="775" max="775" width="17.140625" style="183" bestFit="1" customWidth="1"/>
    <col min="776" max="776" width="34.28515625" style="183" bestFit="1" customWidth="1"/>
    <col min="777" max="1024" width="11.42578125" style="183"/>
    <col min="1025" max="1025" width="37.85546875" style="183" bestFit="1" customWidth="1"/>
    <col min="1026" max="1026" width="17.140625" style="183" customWidth="1"/>
    <col min="1027" max="1027" width="6.42578125" style="183" customWidth="1"/>
    <col min="1028" max="1028" width="10.7109375" style="183" customWidth="1"/>
    <col min="1029" max="1029" width="9.28515625" style="183" customWidth="1"/>
    <col min="1030" max="1030" width="16" style="183" bestFit="1" customWidth="1"/>
    <col min="1031" max="1031" width="17.140625" style="183" bestFit="1" customWidth="1"/>
    <col min="1032" max="1032" width="34.28515625" style="183" bestFit="1" customWidth="1"/>
    <col min="1033" max="1280" width="11.42578125" style="183"/>
    <col min="1281" max="1281" width="37.85546875" style="183" bestFit="1" customWidth="1"/>
    <col min="1282" max="1282" width="17.140625" style="183" customWidth="1"/>
    <col min="1283" max="1283" width="6.42578125" style="183" customWidth="1"/>
    <col min="1284" max="1284" width="10.7109375" style="183" customWidth="1"/>
    <col min="1285" max="1285" width="9.28515625" style="183" customWidth="1"/>
    <col min="1286" max="1286" width="16" style="183" bestFit="1" customWidth="1"/>
    <col min="1287" max="1287" width="17.140625" style="183" bestFit="1" customWidth="1"/>
    <col min="1288" max="1288" width="34.28515625" style="183" bestFit="1" customWidth="1"/>
    <col min="1289" max="1536" width="11.42578125" style="183"/>
    <col min="1537" max="1537" width="37.85546875" style="183" bestFit="1" customWidth="1"/>
    <col min="1538" max="1538" width="17.140625" style="183" customWidth="1"/>
    <col min="1539" max="1539" width="6.42578125" style="183" customWidth="1"/>
    <col min="1540" max="1540" width="10.7109375" style="183" customWidth="1"/>
    <col min="1541" max="1541" width="9.28515625" style="183" customWidth="1"/>
    <col min="1542" max="1542" width="16" style="183" bestFit="1" customWidth="1"/>
    <col min="1543" max="1543" width="17.140625" style="183" bestFit="1" customWidth="1"/>
    <col min="1544" max="1544" width="34.28515625" style="183" bestFit="1" customWidth="1"/>
    <col min="1545" max="1792" width="11.42578125" style="183"/>
    <col min="1793" max="1793" width="37.85546875" style="183" bestFit="1" customWidth="1"/>
    <col min="1794" max="1794" width="17.140625" style="183" customWidth="1"/>
    <col min="1795" max="1795" width="6.42578125" style="183" customWidth="1"/>
    <col min="1796" max="1796" width="10.7109375" style="183" customWidth="1"/>
    <col min="1797" max="1797" width="9.28515625" style="183" customWidth="1"/>
    <col min="1798" max="1798" width="16" style="183" bestFit="1" customWidth="1"/>
    <col min="1799" max="1799" width="17.140625" style="183" bestFit="1" customWidth="1"/>
    <col min="1800" max="1800" width="34.28515625" style="183" bestFit="1" customWidth="1"/>
    <col min="1801" max="2048" width="11.42578125" style="183"/>
    <col min="2049" max="2049" width="37.85546875" style="183" bestFit="1" customWidth="1"/>
    <col min="2050" max="2050" width="17.140625" style="183" customWidth="1"/>
    <col min="2051" max="2051" width="6.42578125" style="183" customWidth="1"/>
    <col min="2052" max="2052" width="10.7109375" style="183" customWidth="1"/>
    <col min="2053" max="2053" width="9.28515625" style="183" customWidth="1"/>
    <col min="2054" max="2054" width="16" style="183" bestFit="1" customWidth="1"/>
    <col min="2055" max="2055" width="17.140625" style="183" bestFit="1" customWidth="1"/>
    <col min="2056" max="2056" width="34.28515625" style="183" bestFit="1" customWidth="1"/>
    <col min="2057" max="2304" width="11.42578125" style="183"/>
    <col min="2305" max="2305" width="37.85546875" style="183" bestFit="1" customWidth="1"/>
    <col min="2306" max="2306" width="17.140625" style="183" customWidth="1"/>
    <col min="2307" max="2307" width="6.42578125" style="183" customWidth="1"/>
    <col min="2308" max="2308" width="10.7109375" style="183" customWidth="1"/>
    <col min="2309" max="2309" width="9.28515625" style="183" customWidth="1"/>
    <col min="2310" max="2310" width="16" style="183" bestFit="1" customWidth="1"/>
    <col min="2311" max="2311" width="17.140625" style="183" bestFit="1" customWidth="1"/>
    <col min="2312" max="2312" width="34.28515625" style="183" bestFit="1" customWidth="1"/>
    <col min="2313" max="2560" width="11.42578125" style="183"/>
    <col min="2561" max="2561" width="37.85546875" style="183" bestFit="1" customWidth="1"/>
    <col min="2562" max="2562" width="17.140625" style="183" customWidth="1"/>
    <col min="2563" max="2563" width="6.42578125" style="183" customWidth="1"/>
    <col min="2564" max="2564" width="10.7109375" style="183" customWidth="1"/>
    <col min="2565" max="2565" width="9.28515625" style="183" customWidth="1"/>
    <col min="2566" max="2566" width="16" style="183" bestFit="1" customWidth="1"/>
    <col min="2567" max="2567" width="17.140625" style="183" bestFit="1" customWidth="1"/>
    <col min="2568" max="2568" width="34.28515625" style="183" bestFit="1" customWidth="1"/>
    <col min="2569" max="2816" width="11.42578125" style="183"/>
    <col min="2817" max="2817" width="37.85546875" style="183" bestFit="1" customWidth="1"/>
    <col min="2818" max="2818" width="17.140625" style="183" customWidth="1"/>
    <col min="2819" max="2819" width="6.42578125" style="183" customWidth="1"/>
    <col min="2820" max="2820" width="10.7109375" style="183" customWidth="1"/>
    <col min="2821" max="2821" width="9.28515625" style="183" customWidth="1"/>
    <col min="2822" max="2822" width="16" style="183" bestFit="1" customWidth="1"/>
    <col min="2823" max="2823" width="17.140625" style="183" bestFit="1" customWidth="1"/>
    <col min="2824" max="2824" width="34.28515625" style="183" bestFit="1" customWidth="1"/>
    <col min="2825" max="3072" width="11.42578125" style="183"/>
    <col min="3073" max="3073" width="37.85546875" style="183" bestFit="1" customWidth="1"/>
    <col min="3074" max="3074" width="17.140625" style="183" customWidth="1"/>
    <col min="3075" max="3075" width="6.42578125" style="183" customWidth="1"/>
    <col min="3076" max="3076" width="10.7109375" style="183" customWidth="1"/>
    <col min="3077" max="3077" width="9.28515625" style="183" customWidth="1"/>
    <col min="3078" max="3078" width="16" style="183" bestFit="1" customWidth="1"/>
    <col min="3079" max="3079" width="17.140625" style="183" bestFit="1" customWidth="1"/>
    <col min="3080" max="3080" width="34.28515625" style="183" bestFit="1" customWidth="1"/>
    <col min="3081" max="3328" width="11.42578125" style="183"/>
    <col min="3329" max="3329" width="37.85546875" style="183" bestFit="1" customWidth="1"/>
    <col min="3330" max="3330" width="17.140625" style="183" customWidth="1"/>
    <col min="3331" max="3331" width="6.42578125" style="183" customWidth="1"/>
    <col min="3332" max="3332" width="10.7109375" style="183" customWidth="1"/>
    <col min="3333" max="3333" width="9.28515625" style="183" customWidth="1"/>
    <col min="3334" max="3334" width="16" style="183" bestFit="1" customWidth="1"/>
    <col min="3335" max="3335" width="17.140625" style="183" bestFit="1" customWidth="1"/>
    <col min="3336" max="3336" width="34.28515625" style="183" bestFit="1" customWidth="1"/>
    <col min="3337" max="3584" width="11.42578125" style="183"/>
    <col min="3585" max="3585" width="37.85546875" style="183" bestFit="1" customWidth="1"/>
    <col min="3586" max="3586" width="17.140625" style="183" customWidth="1"/>
    <col min="3587" max="3587" width="6.42578125" style="183" customWidth="1"/>
    <col min="3588" max="3588" width="10.7109375" style="183" customWidth="1"/>
    <col min="3589" max="3589" width="9.28515625" style="183" customWidth="1"/>
    <col min="3590" max="3590" width="16" style="183" bestFit="1" customWidth="1"/>
    <col min="3591" max="3591" width="17.140625" style="183" bestFit="1" customWidth="1"/>
    <col min="3592" max="3592" width="34.28515625" style="183" bestFit="1" customWidth="1"/>
    <col min="3593" max="3840" width="11.42578125" style="183"/>
    <col min="3841" max="3841" width="37.85546875" style="183" bestFit="1" customWidth="1"/>
    <col min="3842" max="3842" width="17.140625" style="183" customWidth="1"/>
    <col min="3843" max="3843" width="6.42578125" style="183" customWidth="1"/>
    <col min="3844" max="3844" width="10.7109375" style="183" customWidth="1"/>
    <col min="3845" max="3845" width="9.28515625" style="183" customWidth="1"/>
    <col min="3846" max="3846" width="16" style="183" bestFit="1" customWidth="1"/>
    <col min="3847" max="3847" width="17.140625" style="183" bestFit="1" customWidth="1"/>
    <col min="3848" max="3848" width="34.28515625" style="183" bestFit="1" customWidth="1"/>
    <col min="3849" max="4096" width="11.42578125" style="183"/>
    <col min="4097" max="4097" width="37.85546875" style="183" bestFit="1" customWidth="1"/>
    <col min="4098" max="4098" width="17.140625" style="183" customWidth="1"/>
    <col min="4099" max="4099" width="6.42578125" style="183" customWidth="1"/>
    <col min="4100" max="4100" width="10.7109375" style="183" customWidth="1"/>
    <col min="4101" max="4101" width="9.28515625" style="183" customWidth="1"/>
    <col min="4102" max="4102" width="16" style="183" bestFit="1" customWidth="1"/>
    <col min="4103" max="4103" width="17.140625" style="183" bestFit="1" customWidth="1"/>
    <col min="4104" max="4104" width="34.28515625" style="183" bestFit="1" customWidth="1"/>
    <col min="4105" max="4352" width="11.42578125" style="183"/>
    <col min="4353" max="4353" width="37.85546875" style="183" bestFit="1" customWidth="1"/>
    <col min="4354" max="4354" width="17.140625" style="183" customWidth="1"/>
    <col min="4355" max="4355" width="6.42578125" style="183" customWidth="1"/>
    <col min="4356" max="4356" width="10.7109375" style="183" customWidth="1"/>
    <col min="4357" max="4357" width="9.28515625" style="183" customWidth="1"/>
    <col min="4358" max="4358" width="16" style="183" bestFit="1" customWidth="1"/>
    <col min="4359" max="4359" width="17.140625" style="183" bestFit="1" customWidth="1"/>
    <col min="4360" max="4360" width="34.28515625" style="183" bestFit="1" customWidth="1"/>
    <col min="4361" max="4608" width="11.42578125" style="183"/>
    <col min="4609" max="4609" width="37.85546875" style="183" bestFit="1" customWidth="1"/>
    <col min="4610" max="4610" width="17.140625" style="183" customWidth="1"/>
    <col min="4611" max="4611" width="6.42578125" style="183" customWidth="1"/>
    <col min="4612" max="4612" width="10.7109375" style="183" customWidth="1"/>
    <col min="4613" max="4613" width="9.28515625" style="183" customWidth="1"/>
    <col min="4614" max="4614" width="16" style="183" bestFit="1" customWidth="1"/>
    <col min="4615" max="4615" width="17.140625" style="183" bestFit="1" customWidth="1"/>
    <col min="4616" max="4616" width="34.28515625" style="183" bestFit="1" customWidth="1"/>
    <col min="4617" max="4864" width="11.42578125" style="183"/>
    <col min="4865" max="4865" width="37.85546875" style="183" bestFit="1" customWidth="1"/>
    <col min="4866" max="4866" width="17.140625" style="183" customWidth="1"/>
    <col min="4867" max="4867" width="6.42578125" style="183" customWidth="1"/>
    <col min="4868" max="4868" width="10.7109375" style="183" customWidth="1"/>
    <col min="4869" max="4869" width="9.28515625" style="183" customWidth="1"/>
    <col min="4870" max="4870" width="16" style="183" bestFit="1" customWidth="1"/>
    <col min="4871" max="4871" width="17.140625" style="183" bestFit="1" customWidth="1"/>
    <col min="4872" max="4872" width="34.28515625" style="183" bestFit="1" customWidth="1"/>
    <col min="4873" max="5120" width="11.42578125" style="183"/>
    <col min="5121" max="5121" width="37.85546875" style="183" bestFit="1" customWidth="1"/>
    <col min="5122" max="5122" width="17.140625" style="183" customWidth="1"/>
    <col min="5123" max="5123" width="6.42578125" style="183" customWidth="1"/>
    <col min="5124" max="5124" width="10.7109375" style="183" customWidth="1"/>
    <col min="5125" max="5125" width="9.28515625" style="183" customWidth="1"/>
    <col min="5126" max="5126" width="16" style="183" bestFit="1" customWidth="1"/>
    <col min="5127" max="5127" width="17.140625" style="183" bestFit="1" customWidth="1"/>
    <col min="5128" max="5128" width="34.28515625" style="183" bestFit="1" customWidth="1"/>
    <col min="5129" max="5376" width="11.42578125" style="183"/>
    <col min="5377" max="5377" width="37.85546875" style="183" bestFit="1" customWidth="1"/>
    <col min="5378" max="5378" width="17.140625" style="183" customWidth="1"/>
    <col min="5379" max="5379" width="6.42578125" style="183" customWidth="1"/>
    <col min="5380" max="5380" width="10.7109375" style="183" customWidth="1"/>
    <col min="5381" max="5381" width="9.28515625" style="183" customWidth="1"/>
    <col min="5382" max="5382" width="16" style="183" bestFit="1" customWidth="1"/>
    <col min="5383" max="5383" width="17.140625" style="183" bestFit="1" customWidth="1"/>
    <col min="5384" max="5384" width="34.28515625" style="183" bestFit="1" customWidth="1"/>
    <col min="5385" max="5632" width="11.42578125" style="183"/>
    <col min="5633" max="5633" width="37.85546875" style="183" bestFit="1" customWidth="1"/>
    <col min="5634" max="5634" width="17.140625" style="183" customWidth="1"/>
    <col min="5635" max="5635" width="6.42578125" style="183" customWidth="1"/>
    <col min="5636" max="5636" width="10.7109375" style="183" customWidth="1"/>
    <col min="5637" max="5637" width="9.28515625" style="183" customWidth="1"/>
    <col min="5638" max="5638" width="16" style="183" bestFit="1" customWidth="1"/>
    <col min="5639" max="5639" width="17.140625" style="183" bestFit="1" customWidth="1"/>
    <col min="5640" max="5640" width="34.28515625" style="183" bestFit="1" customWidth="1"/>
    <col min="5641" max="5888" width="11.42578125" style="183"/>
    <col min="5889" max="5889" width="37.85546875" style="183" bestFit="1" customWidth="1"/>
    <col min="5890" max="5890" width="17.140625" style="183" customWidth="1"/>
    <col min="5891" max="5891" width="6.42578125" style="183" customWidth="1"/>
    <col min="5892" max="5892" width="10.7109375" style="183" customWidth="1"/>
    <col min="5893" max="5893" width="9.28515625" style="183" customWidth="1"/>
    <col min="5894" max="5894" width="16" style="183" bestFit="1" customWidth="1"/>
    <col min="5895" max="5895" width="17.140625" style="183" bestFit="1" customWidth="1"/>
    <col min="5896" max="5896" width="34.28515625" style="183" bestFit="1" customWidth="1"/>
    <col min="5897" max="6144" width="11.42578125" style="183"/>
    <col min="6145" max="6145" width="37.85546875" style="183" bestFit="1" customWidth="1"/>
    <col min="6146" max="6146" width="17.140625" style="183" customWidth="1"/>
    <col min="6147" max="6147" width="6.42578125" style="183" customWidth="1"/>
    <col min="6148" max="6148" width="10.7109375" style="183" customWidth="1"/>
    <col min="6149" max="6149" width="9.28515625" style="183" customWidth="1"/>
    <col min="6150" max="6150" width="16" style="183" bestFit="1" customWidth="1"/>
    <col min="6151" max="6151" width="17.140625" style="183" bestFit="1" customWidth="1"/>
    <col min="6152" max="6152" width="34.28515625" style="183" bestFit="1" customWidth="1"/>
    <col min="6153" max="6400" width="11.42578125" style="183"/>
    <col min="6401" max="6401" width="37.85546875" style="183" bestFit="1" customWidth="1"/>
    <col min="6402" max="6402" width="17.140625" style="183" customWidth="1"/>
    <col min="6403" max="6403" width="6.42578125" style="183" customWidth="1"/>
    <col min="6404" max="6404" width="10.7109375" style="183" customWidth="1"/>
    <col min="6405" max="6405" width="9.28515625" style="183" customWidth="1"/>
    <col min="6406" max="6406" width="16" style="183" bestFit="1" customWidth="1"/>
    <col min="6407" max="6407" width="17.140625" style="183" bestFit="1" customWidth="1"/>
    <col min="6408" max="6408" width="34.28515625" style="183" bestFit="1" customWidth="1"/>
    <col min="6409" max="6656" width="11.42578125" style="183"/>
    <col min="6657" max="6657" width="37.85546875" style="183" bestFit="1" customWidth="1"/>
    <col min="6658" max="6658" width="17.140625" style="183" customWidth="1"/>
    <col min="6659" max="6659" width="6.42578125" style="183" customWidth="1"/>
    <col min="6660" max="6660" width="10.7109375" style="183" customWidth="1"/>
    <col min="6661" max="6661" width="9.28515625" style="183" customWidth="1"/>
    <col min="6662" max="6662" width="16" style="183" bestFit="1" customWidth="1"/>
    <col min="6663" max="6663" width="17.140625" style="183" bestFit="1" customWidth="1"/>
    <col min="6664" max="6664" width="34.28515625" style="183" bestFit="1" customWidth="1"/>
    <col min="6665" max="6912" width="11.42578125" style="183"/>
    <col min="6913" max="6913" width="37.85546875" style="183" bestFit="1" customWidth="1"/>
    <col min="6914" max="6914" width="17.140625" style="183" customWidth="1"/>
    <col min="6915" max="6915" width="6.42578125" style="183" customWidth="1"/>
    <col min="6916" max="6916" width="10.7109375" style="183" customWidth="1"/>
    <col min="6917" max="6917" width="9.28515625" style="183" customWidth="1"/>
    <col min="6918" max="6918" width="16" style="183" bestFit="1" customWidth="1"/>
    <col min="6919" max="6919" width="17.140625" style="183" bestFit="1" customWidth="1"/>
    <col min="6920" max="6920" width="34.28515625" style="183" bestFit="1" customWidth="1"/>
    <col min="6921" max="7168" width="11.42578125" style="183"/>
    <col min="7169" max="7169" width="37.85546875" style="183" bestFit="1" customWidth="1"/>
    <col min="7170" max="7170" width="17.140625" style="183" customWidth="1"/>
    <col min="7171" max="7171" width="6.42578125" style="183" customWidth="1"/>
    <col min="7172" max="7172" width="10.7109375" style="183" customWidth="1"/>
    <col min="7173" max="7173" width="9.28515625" style="183" customWidth="1"/>
    <col min="7174" max="7174" width="16" style="183" bestFit="1" customWidth="1"/>
    <col min="7175" max="7175" width="17.140625" style="183" bestFit="1" customWidth="1"/>
    <col min="7176" max="7176" width="34.28515625" style="183" bestFit="1" customWidth="1"/>
    <col min="7177" max="7424" width="11.42578125" style="183"/>
    <col min="7425" max="7425" width="37.85546875" style="183" bestFit="1" customWidth="1"/>
    <col min="7426" max="7426" width="17.140625" style="183" customWidth="1"/>
    <col min="7427" max="7427" width="6.42578125" style="183" customWidth="1"/>
    <col min="7428" max="7428" width="10.7109375" style="183" customWidth="1"/>
    <col min="7429" max="7429" width="9.28515625" style="183" customWidth="1"/>
    <col min="7430" max="7430" width="16" style="183" bestFit="1" customWidth="1"/>
    <col min="7431" max="7431" width="17.140625" style="183" bestFit="1" customWidth="1"/>
    <col min="7432" max="7432" width="34.28515625" style="183" bestFit="1" customWidth="1"/>
    <col min="7433" max="7680" width="11.42578125" style="183"/>
    <col min="7681" max="7681" width="37.85546875" style="183" bestFit="1" customWidth="1"/>
    <col min="7682" max="7682" width="17.140625" style="183" customWidth="1"/>
    <col min="7683" max="7683" width="6.42578125" style="183" customWidth="1"/>
    <col min="7684" max="7684" width="10.7109375" style="183" customWidth="1"/>
    <col min="7685" max="7685" width="9.28515625" style="183" customWidth="1"/>
    <col min="7686" max="7686" width="16" style="183" bestFit="1" customWidth="1"/>
    <col min="7687" max="7687" width="17.140625" style="183" bestFit="1" customWidth="1"/>
    <col min="7688" max="7688" width="34.28515625" style="183" bestFit="1" customWidth="1"/>
    <col min="7689" max="7936" width="11.42578125" style="183"/>
    <col min="7937" max="7937" width="37.85546875" style="183" bestFit="1" customWidth="1"/>
    <col min="7938" max="7938" width="17.140625" style="183" customWidth="1"/>
    <col min="7939" max="7939" width="6.42578125" style="183" customWidth="1"/>
    <col min="7940" max="7940" width="10.7109375" style="183" customWidth="1"/>
    <col min="7941" max="7941" width="9.28515625" style="183" customWidth="1"/>
    <col min="7942" max="7942" width="16" style="183" bestFit="1" customWidth="1"/>
    <col min="7943" max="7943" width="17.140625" style="183" bestFit="1" customWidth="1"/>
    <col min="7944" max="7944" width="34.28515625" style="183" bestFit="1" customWidth="1"/>
    <col min="7945" max="8192" width="11.42578125" style="183"/>
    <col min="8193" max="8193" width="37.85546875" style="183" bestFit="1" customWidth="1"/>
    <col min="8194" max="8194" width="17.140625" style="183" customWidth="1"/>
    <col min="8195" max="8195" width="6.42578125" style="183" customWidth="1"/>
    <col min="8196" max="8196" width="10.7109375" style="183" customWidth="1"/>
    <col min="8197" max="8197" width="9.28515625" style="183" customWidth="1"/>
    <col min="8198" max="8198" width="16" style="183" bestFit="1" customWidth="1"/>
    <col min="8199" max="8199" width="17.140625" style="183" bestFit="1" customWidth="1"/>
    <col min="8200" max="8200" width="34.28515625" style="183" bestFit="1" customWidth="1"/>
    <col min="8201" max="8448" width="11.42578125" style="183"/>
    <col min="8449" max="8449" width="37.85546875" style="183" bestFit="1" customWidth="1"/>
    <col min="8450" max="8450" width="17.140625" style="183" customWidth="1"/>
    <col min="8451" max="8451" width="6.42578125" style="183" customWidth="1"/>
    <col min="8452" max="8452" width="10.7109375" style="183" customWidth="1"/>
    <col min="8453" max="8453" width="9.28515625" style="183" customWidth="1"/>
    <col min="8454" max="8454" width="16" style="183" bestFit="1" customWidth="1"/>
    <col min="8455" max="8455" width="17.140625" style="183" bestFit="1" customWidth="1"/>
    <col min="8456" max="8456" width="34.28515625" style="183" bestFit="1" customWidth="1"/>
    <col min="8457" max="8704" width="11.42578125" style="183"/>
    <col min="8705" max="8705" width="37.85546875" style="183" bestFit="1" customWidth="1"/>
    <col min="8706" max="8706" width="17.140625" style="183" customWidth="1"/>
    <col min="8707" max="8707" width="6.42578125" style="183" customWidth="1"/>
    <col min="8708" max="8708" width="10.7109375" style="183" customWidth="1"/>
    <col min="8709" max="8709" width="9.28515625" style="183" customWidth="1"/>
    <col min="8710" max="8710" width="16" style="183" bestFit="1" customWidth="1"/>
    <col min="8711" max="8711" width="17.140625" style="183" bestFit="1" customWidth="1"/>
    <col min="8712" max="8712" width="34.28515625" style="183" bestFit="1" customWidth="1"/>
    <col min="8713" max="8960" width="11.42578125" style="183"/>
    <col min="8961" max="8961" width="37.85546875" style="183" bestFit="1" customWidth="1"/>
    <col min="8962" max="8962" width="17.140625" style="183" customWidth="1"/>
    <col min="8963" max="8963" width="6.42578125" style="183" customWidth="1"/>
    <col min="8964" max="8964" width="10.7109375" style="183" customWidth="1"/>
    <col min="8965" max="8965" width="9.28515625" style="183" customWidth="1"/>
    <col min="8966" max="8966" width="16" style="183" bestFit="1" customWidth="1"/>
    <col min="8967" max="8967" width="17.140625" style="183" bestFit="1" customWidth="1"/>
    <col min="8968" max="8968" width="34.28515625" style="183" bestFit="1" customWidth="1"/>
    <col min="8969" max="9216" width="11.42578125" style="183"/>
    <col min="9217" max="9217" width="37.85546875" style="183" bestFit="1" customWidth="1"/>
    <col min="9218" max="9218" width="17.140625" style="183" customWidth="1"/>
    <col min="9219" max="9219" width="6.42578125" style="183" customWidth="1"/>
    <col min="9220" max="9220" width="10.7109375" style="183" customWidth="1"/>
    <col min="9221" max="9221" width="9.28515625" style="183" customWidth="1"/>
    <col min="9222" max="9222" width="16" style="183" bestFit="1" customWidth="1"/>
    <col min="9223" max="9223" width="17.140625" style="183" bestFit="1" customWidth="1"/>
    <col min="9224" max="9224" width="34.28515625" style="183" bestFit="1" customWidth="1"/>
    <col min="9225" max="9472" width="11.42578125" style="183"/>
    <col min="9473" max="9473" width="37.85546875" style="183" bestFit="1" customWidth="1"/>
    <col min="9474" max="9474" width="17.140625" style="183" customWidth="1"/>
    <col min="9475" max="9475" width="6.42578125" style="183" customWidth="1"/>
    <col min="9476" max="9476" width="10.7109375" style="183" customWidth="1"/>
    <col min="9477" max="9477" width="9.28515625" style="183" customWidth="1"/>
    <col min="9478" max="9478" width="16" style="183" bestFit="1" customWidth="1"/>
    <col min="9479" max="9479" width="17.140625" style="183" bestFit="1" customWidth="1"/>
    <col min="9480" max="9480" width="34.28515625" style="183" bestFit="1" customWidth="1"/>
    <col min="9481" max="9728" width="11.42578125" style="183"/>
    <col min="9729" max="9729" width="37.85546875" style="183" bestFit="1" customWidth="1"/>
    <col min="9730" max="9730" width="17.140625" style="183" customWidth="1"/>
    <col min="9731" max="9731" width="6.42578125" style="183" customWidth="1"/>
    <col min="9732" max="9732" width="10.7109375" style="183" customWidth="1"/>
    <col min="9733" max="9733" width="9.28515625" style="183" customWidth="1"/>
    <col min="9734" max="9734" width="16" style="183" bestFit="1" customWidth="1"/>
    <col min="9735" max="9735" width="17.140625" style="183" bestFit="1" customWidth="1"/>
    <col min="9736" max="9736" width="34.28515625" style="183" bestFit="1" customWidth="1"/>
    <col min="9737" max="9984" width="11.42578125" style="183"/>
    <col min="9985" max="9985" width="37.85546875" style="183" bestFit="1" customWidth="1"/>
    <col min="9986" max="9986" width="17.140625" style="183" customWidth="1"/>
    <col min="9987" max="9987" width="6.42578125" style="183" customWidth="1"/>
    <col min="9988" max="9988" width="10.7109375" style="183" customWidth="1"/>
    <col min="9989" max="9989" width="9.28515625" style="183" customWidth="1"/>
    <col min="9990" max="9990" width="16" style="183" bestFit="1" customWidth="1"/>
    <col min="9991" max="9991" width="17.140625" style="183" bestFit="1" customWidth="1"/>
    <col min="9992" max="9992" width="34.28515625" style="183" bestFit="1" customWidth="1"/>
    <col min="9993" max="10240" width="11.42578125" style="183"/>
    <col min="10241" max="10241" width="37.85546875" style="183" bestFit="1" customWidth="1"/>
    <col min="10242" max="10242" width="17.140625" style="183" customWidth="1"/>
    <col min="10243" max="10243" width="6.42578125" style="183" customWidth="1"/>
    <col min="10244" max="10244" width="10.7109375" style="183" customWidth="1"/>
    <col min="10245" max="10245" width="9.28515625" style="183" customWidth="1"/>
    <col min="10246" max="10246" width="16" style="183" bestFit="1" customWidth="1"/>
    <col min="10247" max="10247" width="17.140625" style="183" bestFit="1" customWidth="1"/>
    <col min="10248" max="10248" width="34.28515625" style="183" bestFit="1" customWidth="1"/>
    <col min="10249" max="10496" width="11.42578125" style="183"/>
    <col min="10497" max="10497" width="37.85546875" style="183" bestFit="1" customWidth="1"/>
    <col min="10498" max="10498" width="17.140625" style="183" customWidth="1"/>
    <col min="10499" max="10499" width="6.42578125" style="183" customWidth="1"/>
    <col min="10500" max="10500" width="10.7109375" style="183" customWidth="1"/>
    <col min="10501" max="10501" width="9.28515625" style="183" customWidth="1"/>
    <col min="10502" max="10502" width="16" style="183" bestFit="1" customWidth="1"/>
    <col min="10503" max="10503" width="17.140625" style="183" bestFit="1" customWidth="1"/>
    <col min="10504" max="10504" width="34.28515625" style="183" bestFit="1" customWidth="1"/>
    <col min="10505" max="10752" width="11.42578125" style="183"/>
    <col min="10753" max="10753" width="37.85546875" style="183" bestFit="1" customWidth="1"/>
    <col min="10754" max="10754" width="17.140625" style="183" customWidth="1"/>
    <col min="10755" max="10755" width="6.42578125" style="183" customWidth="1"/>
    <col min="10756" max="10756" width="10.7109375" style="183" customWidth="1"/>
    <col min="10757" max="10757" width="9.28515625" style="183" customWidth="1"/>
    <col min="10758" max="10758" width="16" style="183" bestFit="1" customWidth="1"/>
    <col min="10759" max="10759" width="17.140625" style="183" bestFit="1" customWidth="1"/>
    <col min="10760" max="10760" width="34.28515625" style="183" bestFit="1" customWidth="1"/>
    <col min="10761" max="11008" width="11.42578125" style="183"/>
    <col min="11009" max="11009" width="37.85546875" style="183" bestFit="1" customWidth="1"/>
    <col min="11010" max="11010" width="17.140625" style="183" customWidth="1"/>
    <col min="11011" max="11011" width="6.42578125" style="183" customWidth="1"/>
    <col min="11012" max="11012" width="10.7109375" style="183" customWidth="1"/>
    <col min="11013" max="11013" width="9.28515625" style="183" customWidth="1"/>
    <col min="11014" max="11014" width="16" style="183" bestFit="1" customWidth="1"/>
    <col min="11015" max="11015" width="17.140625" style="183" bestFit="1" customWidth="1"/>
    <col min="11016" max="11016" width="34.28515625" style="183" bestFit="1" customWidth="1"/>
    <col min="11017" max="11264" width="11.42578125" style="183"/>
    <col min="11265" max="11265" width="37.85546875" style="183" bestFit="1" customWidth="1"/>
    <col min="11266" max="11266" width="17.140625" style="183" customWidth="1"/>
    <col min="11267" max="11267" width="6.42578125" style="183" customWidth="1"/>
    <col min="11268" max="11268" width="10.7109375" style="183" customWidth="1"/>
    <col min="11269" max="11269" width="9.28515625" style="183" customWidth="1"/>
    <col min="11270" max="11270" width="16" style="183" bestFit="1" customWidth="1"/>
    <col min="11271" max="11271" width="17.140625" style="183" bestFit="1" customWidth="1"/>
    <col min="11272" max="11272" width="34.28515625" style="183" bestFit="1" customWidth="1"/>
    <col min="11273" max="11520" width="11.42578125" style="183"/>
    <col min="11521" max="11521" width="37.85546875" style="183" bestFit="1" customWidth="1"/>
    <col min="11522" max="11522" width="17.140625" style="183" customWidth="1"/>
    <col min="11523" max="11523" width="6.42578125" style="183" customWidth="1"/>
    <col min="11524" max="11524" width="10.7109375" style="183" customWidth="1"/>
    <col min="11525" max="11525" width="9.28515625" style="183" customWidth="1"/>
    <col min="11526" max="11526" width="16" style="183" bestFit="1" customWidth="1"/>
    <col min="11527" max="11527" width="17.140625" style="183" bestFit="1" customWidth="1"/>
    <col min="11528" max="11528" width="34.28515625" style="183" bestFit="1" customWidth="1"/>
    <col min="11529" max="11776" width="11.42578125" style="183"/>
    <col min="11777" max="11777" width="37.85546875" style="183" bestFit="1" customWidth="1"/>
    <col min="11778" max="11778" width="17.140625" style="183" customWidth="1"/>
    <col min="11779" max="11779" width="6.42578125" style="183" customWidth="1"/>
    <col min="11780" max="11780" width="10.7109375" style="183" customWidth="1"/>
    <col min="11781" max="11781" width="9.28515625" style="183" customWidth="1"/>
    <col min="11782" max="11782" width="16" style="183" bestFit="1" customWidth="1"/>
    <col min="11783" max="11783" width="17.140625" style="183" bestFit="1" customWidth="1"/>
    <col min="11784" max="11784" width="34.28515625" style="183" bestFit="1" customWidth="1"/>
    <col min="11785" max="12032" width="11.42578125" style="183"/>
    <col min="12033" max="12033" width="37.85546875" style="183" bestFit="1" customWidth="1"/>
    <col min="12034" max="12034" width="17.140625" style="183" customWidth="1"/>
    <col min="12035" max="12035" width="6.42578125" style="183" customWidth="1"/>
    <col min="12036" max="12036" width="10.7109375" style="183" customWidth="1"/>
    <col min="12037" max="12037" width="9.28515625" style="183" customWidth="1"/>
    <col min="12038" max="12038" width="16" style="183" bestFit="1" customWidth="1"/>
    <col min="12039" max="12039" width="17.140625" style="183" bestFit="1" customWidth="1"/>
    <col min="12040" max="12040" width="34.28515625" style="183" bestFit="1" customWidth="1"/>
    <col min="12041" max="12288" width="11.42578125" style="183"/>
    <col min="12289" max="12289" width="37.85546875" style="183" bestFit="1" customWidth="1"/>
    <col min="12290" max="12290" width="17.140625" style="183" customWidth="1"/>
    <col min="12291" max="12291" width="6.42578125" style="183" customWidth="1"/>
    <col min="12292" max="12292" width="10.7109375" style="183" customWidth="1"/>
    <col min="12293" max="12293" width="9.28515625" style="183" customWidth="1"/>
    <col min="12294" max="12294" width="16" style="183" bestFit="1" customWidth="1"/>
    <col min="12295" max="12295" width="17.140625" style="183" bestFit="1" customWidth="1"/>
    <col min="12296" max="12296" width="34.28515625" style="183" bestFit="1" customWidth="1"/>
    <col min="12297" max="12544" width="11.42578125" style="183"/>
    <col min="12545" max="12545" width="37.85546875" style="183" bestFit="1" customWidth="1"/>
    <col min="12546" max="12546" width="17.140625" style="183" customWidth="1"/>
    <col min="12547" max="12547" width="6.42578125" style="183" customWidth="1"/>
    <col min="12548" max="12548" width="10.7109375" style="183" customWidth="1"/>
    <col min="12549" max="12549" width="9.28515625" style="183" customWidth="1"/>
    <col min="12550" max="12550" width="16" style="183" bestFit="1" customWidth="1"/>
    <col min="12551" max="12551" width="17.140625" style="183" bestFit="1" customWidth="1"/>
    <col min="12552" max="12552" width="34.28515625" style="183" bestFit="1" customWidth="1"/>
    <col min="12553" max="12800" width="11.42578125" style="183"/>
    <col min="12801" max="12801" width="37.85546875" style="183" bestFit="1" customWidth="1"/>
    <col min="12802" max="12802" width="17.140625" style="183" customWidth="1"/>
    <col min="12803" max="12803" width="6.42578125" style="183" customWidth="1"/>
    <col min="12804" max="12804" width="10.7109375" style="183" customWidth="1"/>
    <col min="12805" max="12805" width="9.28515625" style="183" customWidth="1"/>
    <col min="12806" max="12806" width="16" style="183" bestFit="1" customWidth="1"/>
    <col min="12807" max="12807" width="17.140625" style="183" bestFit="1" customWidth="1"/>
    <col min="12808" max="12808" width="34.28515625" style="183" bestFit="1" customWidth="1"/>
    <col min="12809" max="13056" width="11.42578125" style="183"/>
    <col min="13057" max="13057" width="37.85546875" style="183" bestFit="1" customWidth="1"/>
    <col min="13058" max="13058" width="17.140625" style="183" customWidth="1"/>
    <col min="13059" max="13059" width="6.42578125" style="183" customWidth="1"/>
    <col min="13060" max="13060" width="10.7109375" style="183" customWidth="1"/>
    <col min="13061" max="13061" width="9.28515625" style="183" customWidth="1"/>
    <col min="13062" max="13062" width="16" style="183" bestFit="1" customWidth="1"/>
    <col min="13063" max="13063" width="17.140625" style="183" bestFit="1" customWidth="1"/>
    <col min="13064" max="13064" width="34.28515625" style="183" bestFit="1" customWidth="1"/>
    <col min="13065" max="13312" width="11.42578125" style="183"/>
    <col min="13313" max="13313" width="37.85546875" style="183" bestFit="1" customWidth="1"/>
    <col min="13314" max="13314" width="17.140625" style="183" customWidth="1"/>
    <col min="13315" max="13315" width="6.42578125" style="183" customWidth="1"/>
    <col min="13316" max="13316" width="10.7109375" style="183" customWidth="1"/>
    <col min="13317" max="13317" width="9.28515625" style="183" customWidth="1"/>
    <col min="13318" max="13318" width="16" style="183" bestFit="1" customWidth="1"/>
    <col min="13319" max="13319" width="17.140625" style="183" bestFit="1" customWidth="1"/>
    <col min="13320" max="13320" width="34.28515625" style="183" bestFit="1" customWidth="1"/>
    <col min="13321" max="13568" width="11.42578125" style="183"/>
    <col min="13569" max="13569" width="37.85546875" style="183" bestFit="1" customWidth="1"/>
    <col min="13570" max="13570" width="17.140625" style="183" customWidth="1"/>
    <col min="13571" max="13571" width="6.42578125" style="183" customWidth="1"/>
    <col min="13572" max="13572" width="10.7109375" style="183" customWidth="1"/>
    <col min="13573" max="13573" width="9.28515625" style="183" customWidth="1"/>
    <col min="13574" max="13574" width="16" style="183" bestFit="1" customWidth="1"/>
    <col min="13575" max="13575" width="17.140625" style="183" bestFit="1" customWidth="1"/>
    <col min="13576" max="13576" width="34.28515625" style="183" bestFit="1" customWidth="1"/>
    <col min="13577" max="13824" width="11.42578125" style="183"/>
    <col min="13825" max="13825" width="37.85546875" style="183" bestFit="1" customWidth="1"/>
    <col min="13826" max="13826" width="17.140625" style="183" customWidth="1"/>
    <col min="13827" max="13827" width="6.42578125" style="183" customWidth="1"/>
    <col min="13828" max="13828" width="10.7109375" style="183" customWidth="1"/>
    <col min="13829" max="13829" width="9.28515625" style="183" customWidth="1"/>
    <col min="13830" max="13830" width="16" style="183" bestFit="1" customWidth="1"/>
    <col min="13831" max="13831" width="17.140625" style="183" bestFit="1" customWidth="1"/>
    <col min="13832" max="13832" width="34.28515625" style="183" bestFit="1" customWidth="1"/>
    <col min="13833" max="14080" width="11.42578125" style="183"/>
    <col min="14081" max="14081" width="37.85546875" style="183" bestFit="1" customWidth="1"/>
    <col min="14082" max="14082" width="17.140625" style="183" customWidth="1"/>
    <col min="14083" max="14083" width="6.42578125" style="183" customWidth="1"/>
    <col min="14084" max="14084" width="10.7109375" style="183" customWidth="1"/>
    <col min="14085" max="14085" width="9.28515625" style="183" customWidth="1"/>
    <col min="14086" max="14086" width="16" style="183" bestFit="1" customWidth="1"/>
    <col min="14087" max="14087" width="17.140625" style="183" bestFit="1" customWidth="1"/>
    <col min="14088" max="14088" width="34.28515625" style="183" bestFit="1" customWidth="1"/>
    <col min="14089" max="14336" width="11.42578125" style="183"/>
    <col min="14337" max="14337" width="37.85546875" style="183" bestFit="1" customWidth="1"/>
    <col min="14338" max="14338" width="17.140625" style="183" customWidth="1"/>
    <col min="14339" max="14339" width="6.42578125" style="183" customWidth="1"/>
    <col min="14340" max="14340" width="10.7109375" style="183" customWidth="1"/>
    <col min="14341" max="14341" width="9.28515625" style="183" customWidth="1"/>
    <col min="14342" max="14342" width="16" style="183" bestFit="1" customWidth="1"/>
    <col min="14343" max="14343" width="17.140625" style="183" bestFit="1" customWidth="1"/>
    <col min="14344" max="14344" width="34.28515625" style="183" bestFit="1" customWidth="1"/>
    <col min="14345" max="14592" width="11.42578125" style="183"/>
    <col min="14593" max="14593" width="37.85546875" style="183" bestFit="1" customWidth="1"/>
    <col min="14594" max="14594" width="17.140625" style="183" customWidth="1"/>
    <col min="14595" max="14595" width="6.42578125" style="183" customWidth="1"/>
    <col min="14596" max="14596" width="10.7109375" style="183" customWidth="1"/>
    <col min="14597" max="14597" width="9.28515625" style="183" customWidth="1"/>
    <col min="14598" max="14598" width="16" style="183" bestFit="1" customWidth="1"/>
    <col min="14599" max="14599" width="17.140625" style="183" bestFit="1" customWidth="1"/>
    <col min="14600" max="14600" width="34.28515625" style="183" bestFit="1" customWidth="1"/>
    <col min="14601" max="14848" width="11.42578125" style="183"/>
    <col min="14849" max="14849" width="37.85546875" style="183" bestFit="1" customWidth="1"/>
    <col min="14850" max="14850" width="17.140625" style="183" customWidth="1"/>
    <col min="14851" max="14851" width="6.42578125" style="183" customWidth="1"/>
    <col min="14852" max="14852" width="10.7109375" style="183" customWidth="1"/>
    <col min="14853" max="14853" width="9.28515625" style="183" customWidth="1"/>
    <col min="14854" max="14854" width="16" style="183" bestFit="1" customWidth="1"/>
    <col min="14855" max="14855" width="17.140625" style="183" bestFit="1" customWidth="1"/>
    <col min="14856" max="14856" width="34.28515625" style="183" bestFit="1" customWidth="1"/>
    <col min="14857" max="15104" width="11.42578125" style="183"/>
    <col min="15105" max="15105" width="37.85546875" style="183" bestFit="1" customWidth="1"/>
    <col min="15106" max="15106" width="17.140625" style="183" customWidth="1"/>
    <col min="15107" max="15107" width="6.42578125" style="183" customWidth="1"/>
    <col min="15108" max="15108" width="10.7109375" style="183" customWidth="1"/>
    <col min="15109" max="15109" width="9.28515625" style="183" customWidth="1"/>
    <col min="15110" max="15110" width="16" style="183" bestFit="1" customWidth="1"/>
    <col min="15111" max="15111" width="17.140625" style="183" bestFit="1" customWidth="1"/>
    <col min="15112" max="15112" width="34.28515625" style="183" bestFit="1" customWidth="1"/>
    <col min="15113" max="15360" width="11.42578125" style="183"/>
    <col min="15361" max="15361" width="37.85546875" style="183" bestFit="1" customWidth="1"/>
    <col min="15362" max="15362" width="17.140625" style="183" customWidth="1"/>
    <col min="15363" max="15363" width="6.42578125" style="183" customWidth="1"/>
    <col min="15364" max="15364" width="10.7109375" style="183" customWidth="1"/>
    <col min="15365" max="15365" width="9.28515625" style="183" customWidth="1"/>
    <col min="15366" max="15366" width="16" style="183" bestFit="1" customWidth="1"/>
    <col min="15367" max="15367" width="17.140625" style="183" bestFit="1" customWidth="1"/>
    <col min="15368" max="15368" width="34.28515625" style="183" bestFit="1" customWidth="1"/>
    <col min="15369" max="15616" width="11.42578125" style="183"/>
    <col min="15617" max="15617" width="37.85546875" style="183" bestFit="1" customWidth="1"/>
    <col min="15618" max="15618" width="17.140625" style="183" customWidth="1"/>
    <col min="15619" max="15619" width="6.42578125" style="183" customWidth="1"/>
    <col min="15620" max="15620" width="10.7109375" style="183" customWidth="1"/>
    <col min="15621" max="15621" width="9.28515625" style="183" customWidth="1"/>
    <col min="15622" max="15622" width="16" style="183" bestFit="1" customWidth="1"/>
    <col min="15623" max="15623" width="17.140625" style="183" bestFit="1" customWidth="1"/>
    <col min="15624" max="15624" width="34.28515625" style="183" bestFit="1" customWidth="1"/>
    <col min="15625" max="15872" width="11.42578125" style="183"/>
    <col min="15873" max="15873" width="37.85546875" style="183" bestFit="1" customWidth="1"/>
    <col min="15874" max="15874" width="17.140625" style="183" customWidth="1"/>
    <col min="15875" max="15875" width="6.42578125" style="183" customWidth="1"/>
    <col min="15876" max="15876" width="10.7109375" style="183" customWidth="1"/>
    <col min="15877" max="15877" width="9.28515625" style="183" customWidth="1"/>
    <col min="15878" max="15878" width="16" style="183" bestFit="1" customWidth="1"/>
    <col min="15879" max="15879" width="17.140625" style="183" bestFit="1" customWidth="1"/>
    <col min="15880" max="15880" width="34.28515625" style="183" bestFit="1" customWidth="1"/>
    <col min="15881" max="16128" width="11.42578125" style="183"/>
    <col min="16129" max="16129" width="37.85546875" style="183" bestFit="1" customWidth="1"/>
    <col min="16130" max="16130" width="17.140625" style="183" customWidth="1"/>
    <col min="16131" max="16131" width="6.42578125" style="183" customWidth="1"/>
    <col min="16132" max="16132" width="10.7109375" style="183" customWidth="1"/>
    <col min="16133" max="16133" width="9.28515625" style="183" customWidth="1"/>
    <col min="16134" max="16134" width="16" style="183" bestFit="1" customWidth="1"/>
    <col min="16135" max="16135" width="17.140625" style="183" bestFit="1" customWidth="1"/>
    <col min="16136" max="16136" width="34.28515625" style="183" bestFit="1" customWidth="1"/>
    <col min="16137" max="16384" width="11.42578125" style="183"/>
  </cols>
  <sheetData>
    <row r="1" spans="1:8" s="180" customFormat="1" x14ac:dyDescent="0.25">
      <c r="A1" s="180" t="s">
        <v>647</v>
      </c>
      <c r="B1" s="181">
        <v>41644</v>
      </c>
      <c r="D1" s="182" t="s">
        <v>648</v>
      </c>
    </row>
    <row r="2" spans="1:8" x14ac:dyDescent="0.25">
      <c r="D2" s="184" t="s">
        <v>649</v>
      </c>
    </row>
    <row r="3" spans="1:8" x14ac:dyDescent="0.25">
      <c r="A3" s="185" t="s">
        <v>650</v>
      </c>
      <c r="B3" s="186" t="s">
        <v>651</v>
      </c>
      <c r="C3" s="187" t="s">
        <v>652</v>
      </c>
      <c r="D3" s="186" t="s">
        <v>653</v>
      </c>
      <c r="E3" s="186" t="s">
        <v>654</v>
      </c>
      <c r="F3" s="186" t="s">
        <v>655</v>
      </c>
      <c r="G3" s="186" t="s">
        <v>656</v>
      </c>
      <c r="H3" s="186" t="s">
        <v>657</v>
      </c>
    </row>
    <row r="4" spans="1:8" x14ac:dyDescent="0.25">
      <c r="A4" s="188" t="s">
        <v>490</v>
      </c>
      <c r="B4" s="189">
        <v>65</v>
      </c>
      <c r="C4" s="190">
        <v>1.0291018518518518</v>
      </c>
      <c r="D4" s="191">
        <v>0.52565346530557577</v>
      </c>
      <c r="E4" s="191">
        <v>6.0351774007887118E-2</v>
      </c>
      <c r="F4" s="190">
        <v>0.68885577118916319</v>
      </c>
      <c r="G4" s="191">
        <v>5.9108677974181179E-2</v>
      </c>
      <c r="H4" s="190">
        <v>0.73213107089349949</v>
      </c>
    </row>
    <row r="5" spans="1:8" x14ac:dyDescent="0.25">
      <c r="A5" s="188" t="s">
        <v>491</v>
      </c>
      <c r="B5" s="189">
        <v>95</v>
      </c>
      <c r="C5" s="190">
        <v>1.007175175175175</v>
      </c>
      <c r="D5" s="191">
        <v>0.18985651956982819</v>
      </c>
      <c r="E5" s="191">
        <v>0.15029197733025265</v>
      </c>
      <c r="F5" s="190">
        <v>0.86726562316143851</v>
      </c>
      <c r="G5" s="191">
        <v>6.2383879124268252E-2</v>
      </c>
      <c r="H5" s="190">
        <v>0.92496876264394212</v>
      </c>
    </row>
    <row r="6" spans="1:8" x14ac:dyDescent="0.25">
      <c r="A6" s="188" t="s">
        <v>492</v>
      </c>
      <c r="B6" s="189">
        <v>25</v>
      </c>
      <c r="C6" s="190">
        <v>0.93801525054466228</v>
      </c>
      <c r="D6" s="191">
        <v>1.0948361367318522</v>
      </c>
      <c r="E6" s="191">
        <v>0.13793721275277337</v>
      </c>
      <c r="F6" s="190">
        <v>0.48256343745919938</v>
      </c>
      <c r="G6" s="191">
        <v>6.9161862337828547E-2</v>
      </c>
      <c r="H6" s="190">
        <v>0.51841820606015587</v>
      </c>
    </row>
    <row r="7" spans="1:8" x14ac:dyDescent="0.25">
      <c r="A7" s="188" t="s">
        <v>493</v>
      </c>
      <c r="B7" s="189">
        <v>70</v>
      </c>
      <c r="C7" s="190">
        <v>1.1451311369509047</v>
      </c>
      <c r="D7" s="191">
        <v>0.21328921799454356</v>
      </c>
      <c r="E7" s="191">
        <v>0.10286117181320455</v>
      </c>
      <c r="F7" s="190">
        <v>0.96120459929589663</v>
      </c>
      <c r="G7" s="191">
        <v>2.989245099932164E-2</v>
      </c>
      <c r="H7" s="190">
        <v>0.99082271886869377</v>
      </c>
    </row>
    <row r="8" spans="1:8" x14ac:dyDescent="0.25">
      <c r="A8" s="188" t="s">
        <v>494</v>
      </c>
      <c r="B8" s="189">
        <v>26</v>
      </c>
      <c r="C8" s="190">
        <v>1.2765993265993265</v>
      </c>
      <c r="D8" s="191">
        <v>0.97556839267876272</v>
      </c>
      <c r="E8" s="191">
        <v>4.7110910919464517E-2</v>
      </c>
      <c r="F8" s="190">
        <v>0.66158463843434268</v>
      </c>
      <c r="G8" s="191">
        <v>8.4765365479405635E-2</v>
      </c>
      <c r="H8" s="190">
        <v>0.72285795738148051</v>
      </c>
    </row>
    <row r="9" spans="1:8" x14ac:dyDescent="0.25">
      <c r="A9" s="188" t="s">
        <v>495</v>
      </c>
      <c r="B9" s="189">
        <v>75</v>
      </c>
      <c r="C9" s="190">
        <v>1.4611345822566757</v>
      </c>
      <c r="D9" s="191">
        <v>0.32000444891373808</v>
      </c>
      <c r="E9" s="191">
        <v>9.4259548599073859E-2</v>
      </c>
      <c r="F9" s="190">
        <v>1.1328021141356523</v>
      </c>
      <c r="G9" s="191">
        <v>8.0360528809193768E-2</v>
      </c>
      <c r="H9" s="190">
        <v>1.2317893583545625</v>
      </c>
    </row>
    <row r="10" spans="1:8" x14ac:dyDescent="0.25">
      <c r="A10" s="188" t="s">
        <v>496</v>
      </c>
      <c r="B10" s="189">
        <v>7</v>
      </c>
      <c r="C10" s="190">
        <v>0.71611666666666651</v>
      </c>
      <c r="D10" s="191">
        <v>0.84185953975104555</v>
      </c>
      <c r="E10" s="191">
        <v>0.2216595241201221</v>
      </c>
      <c r="F10" s="190">
        <v>0.43263266290486174</v>
      </c>
      <c r="G10" s="191">
        <v>0.10936902119510217</v>
      </c>
      <c r="H10" s="190">
        <v>0.48575972900178505</v>
      </c>
    </row>
    <row r="11" spans="1:8" x14ac:dyDescent="0.25">
      <c r="A11" s="188" t="s">
        <v>497</v>
      </c>
      <c r="B11" s="189">
        <v>721</v>
      </c>
      <c r="C11" s="190">
        <v>0.58315484158857667</v>
      </c>
      <c r="D11" s="191">
        <v>0.71997842636156306</v>
      </c>
      <c r="E11" s="191">
        <v>0.17998448436942854</v>
      </c>
      <c r="F11" s="190">
        <v>0.36667330992335684</v>
      </c>
      <c r="G11" s="191">
        <v>0.13799777316479844</v>
      </c>
      <c r="H11" s="190">
        <v>0.42537397063297588</v>
      </c>
    </row>
    <row r="12" spans="1:8" x14ac:dyDescent="0.25">
      <c r="A12" s="188" t="s">
        <v>498</v>
      </c>
      <c r="B12" s="189">
        <v>47</v>
      </c>
      <c r="C12" s="190">
        <v>1.4236312399355879</v>
      </c>
      <c r="D12" s="191">
        <v>0.22160132912391517</v>
      </c>
      <c r="E12" s="191">
        <v>3.9481239894195289E-2</v>
      </c>
      <c r="F12" s="190">
        <v>1.1737878697489936</v>
      </c>
      <c r="G12" s="191">
        <v>5.0590800896953128E-2</v>
      </c>
      <c r="H12" s="190">
        <v>1.2363350501110884</v>
      </c>
    </row>
    <row r="13" spans="1:8" x14ac:dyDescent="0.25">
      <c r="A13" s="188" t="s">
        <v>499</v>
      </c>
      <c r="B13" s="189">
        <v>19</v>
      </c>
      <c r="C13" s="190">
        <v>1.1390206552706554</v>
      </c>
      <c r="D13" s="191">
        <v>0.27557518135531661</v>
      </c>
      <c r="E13" s="191">
        <v>0.10721246655365128</v>
      </c>
      <c r="F13" s="190">
        <v>0.91411970518608032</v>
      </c>
      <c r="G13" s="191">
        <v>1.3817179323667477E-2</v>
      </c>
      <c r="H13" s="190">
        <v>0.92692722487212797</v>
      </c>
    </row>
    <row r="14" spans="1:8" x14ac:dyDescent="0.25">
      <c r="A14" s="188" t="s">
        <v>500</v>
      </c>
      <c r="B14" s="189">
        <v>349</v>
      </c>
      <c r="C14" s="190">
        <v>1.1152640632264064</v>
      </c>
      <c r="D14" s="191">
        <v>9.1541868325358267E-2</v>
      </c>
      <c r="E14" s="191">
        <v>1.1280487355268437E-2</v>
      </c>
      <c r="F14" s="190">
        <v>1.022700249640752</v>
      </c>
      <c r="G14" s="191">
        <v>4.3881849112430649E-2</v>
      </c>
      <c r="H14" s="190">
        <v>1.0696379403438521</v>
      </c>
    </row>
    <row r="15" spans="1:8" x14ac:dyDescent="0.25">
      <c r="A15" s="188" t="s">
        <v>501</v>
      </c>
      <c r="B15" s="189">
        <v>30</v>
      </c>
      <c r="C15" s="190">
        <v>1.5314122574955908</v>
      </c>
      <c r="D15" s="191">
        <v>0.48487540790867445</v>
      </c>
      <c r="E15" s="191">
        <v>0.13211592536997219</v>
      </c>
      <c r="F15" s="190">
        <v>1.0778402273399652</v>
      </c>
      <c r="G15" s="191">
        <v>2.3058714712708997E-2</v>
      </c>
      <c r="H15" s="190">
        <v>1.1032804566376808</v>
      </c>
    </row>
    <row r="16" spans="1:8" x14ac:dyDescent="0.25">
      <c r="A16" s="188" t="s">
        <v>502</v>
      </c>
      <c r="B16" s="189">
        <v>49</v>
      </c>
      <c r="C16" s="190">
        <v>1.1077835648148147</v>
      </c>
      <c r="D16" s="191">
        <v>4.0055810131005609</v>
      </c>
      <c r="E16" s="191">
        <v>0.13443974473216669</v>
      </c>
      <c r="F16" s="190">
        <v>0.24798875711232715</v>
      </c>
      <c r="G16" s="191">
        <v>0.24388577205352266</v>
      </c>
      <c r="H16" s="190">
        <v>0.3279779006220227</v>
      </c>
    </row>
    <row r="17" spans="1:8" x14ac:dyDescent="0.25">
      <c r="A17" s="188" t="s">
        <v>503</v>
      </c>
      <c r="B17" s="189">
        <v>37</v>
      </c>
      <c r="C17" s="190">
        <v>1.2715424648786715</v>
      </c>
      <c r="D17" s="191">
        <v>0.30052961843842618</v>
      </c>
      <c r="E17" s="191">
        <v>0.16326438561726256</v>
      </c>
      <c r="F17" s="190">
        <v>1.0160441152145641</v>
      </c>
      <c r="G17" s="191">
        <v>5.0430489006603491E-2</v>
      </c>
      <c r="H17" s="190">
        <v>1.0700049901050686</v>
      </c>
    </row>
    <row r="18" spans="1:8" x14ac:dyDescent="0.25">
      <c r="A18" s="188" t="s">
        <v>504</v>
      </c>
      <c r="B18" s="189">
        <v>179</v>
      </c>
      <c r="C18" s="190">
        <v>0.8977425246347267</v>
      </c>
      <c r="D18" s="191">
        <v>0.29230279947636095</v>
      </c>
      <c r="E18" s="191">
        <v>0.13410279740543729</v>
      </c>
      <c r="F18" s="190">
        <v>0.71641491709827132</v>
      </c>
      <c r="G18" s="191">
        <v>4.3306497740570701E-2</v>
      </c>
      <c r="H18" s="190">
        <v>0.74884476105075404</v>
      </c>
    </row>
    <row r="19" spans="1:8" x14ac:dyDescent="0.25">
      <c r="A19" s="188" t="s">
        <v>505</v>
      </c>
      <c r="B19" s="189">
        <v>16</v>
      </c>
      <c r="C19" s="190">
        <v>0.97484986772486781</v>
      </c>
      <c r="D19" s="191">
        <v>0.49227763989151596</v>
      </c>
      <c r="E19" s="191">
        <v>0.14997713298728857</v>
      </c>
      <c r="F19" s="190">
        <v>0.6872655061064914</v>
      </c>
      <c r="G19" s="191">
        <v>2.580807042587574E-2</v>
      </c>
      <c r="H19" s="190">
        <v>0.70547238715776983</v>
      </c>
    </row>
    <row r="20" spans="1:8" x14ac:dyDescent="0.25">
      <c r="A20" s="188" t="s">
        <v>506</v>
      </c>
      <c r="B20" s="189">
        <v>47</v>
      </c>
      <c r="C20" s="190">
        <v>1.0123460219478739</v>
      </c>
      <c r="D20" s="191">
        <v>0.29672244647225149</v>
      </c>
      <c r="E20" s="191">
        <v>6.2696560349162364E-2</v>
      </c>
      <c r="F20" s="190">
        <v>0.79205930429578864</v>
      </c>
      <c r="G20" s="191">
        <v>7.1939457142284183E-2</v>
      </c>
      <c r="H20" s="190">
        <v>0.85345650172439458</v>
      </c>
    </row>
    <row r="21" spans="1:8" x14ac:dyDescent="0.25">
      <c r="A21" s="188" t="s">
        <v>507</v>
      </c>
      <c r="B21" s="189">
        <v>10</v>
      </c>
      <c r="C21" s="190">
        <v>1.416775462962963</v>
      </c>
      <c r="D21" s="191">
        <v>0.33389379133206926</v>
      </c>
      <c r="E21" s="191">
        <v>0.25034084330763018</v>
      </c>
      <c r="F21" s="190">
        <v>1.1331424893528872</v>
      </c>
      <c r="G21" s="191">
        <v>6.8169139547654259E-2</v>
      </c>
      <c r="H21" s="190">
        <v>1.2160388085910969</v>
      </c>
    </row>
    <row r="22" spans="1:8" x14ac:dyDescent="0.25">
      <c r="A22" s="188" t="s">
        <v>508</v>
      </c>
      <c r="B22" s="189">
        <v>100</v>
      </c>
      <c r="C22" s="190">
        <v>1.0140386636636642</v>
      </c>
      <c r="D22" s="191">
        <v>0.16297293212785632</v>
      </c>
      <c r="E22" s="191">
        <v>0.12741103943709003</v>
      </c>
      <c r="F22" s="190">
        <v>0.8877877978626918</v>
      </c>
      <c r="G22" s="191">
        <v>6.2459154410085142E-2</v>
      </c>
      <c r="H22" s="190">
        <v>0.94693239450712385</v>
      </c>
    </row>
    <row r="23" spans="1:8" x14ac:dyDescent="0.25">
      <c r="A23" s="188" t="s">
        <v>509</v>
      </c>
      <c r="B23" s="189">
        <v>45</v>
      </c>
      <c r="C23" s="190">
        <v>1.2763097371565113</v>
      </c>
      <c r="D23" s="191">
        <v>0.86627308371877576</v>
      </c>
      <c r="E23" s="191">
        <v>2.436867798767417E-2</v>
      </c>
      <c r="F23" s="190">
        <v>0.69170562747485209</v>
      </c>
      <c r="G23" s="191">
        <v>5.8613007763760064E-2</v>
      </c>
      <c r="H23" s="190">
        <v>0.73477287574552486</v>
      </c>
    </row>
    <row r="24" spans="1:8" x14ac:dyDescent="0.25">
      <c r="A24" s="188" t="s">
        <v>510</v>
      </c>
      <c r="B24" s="189">
        <v>129</v>
      </c>
      <c r="C24" s="190">
        <v>0.92138851351351325</v>
      </c>
      <c r="D24" s="191">
        <v>0.20476694748333069</v>
      </c>
      <c r="E24" s="191">
        <v>9.9442386151074286E-2</v>
      </c>
      <c r="F24" s="190">
        <v>0.77793402942340795</v>
      </c>
      <c r="G24" s="191">
        <v>5.4778063449607152E-2</v>
      </c>
      <c r="H24" s="190">
        <v>0.82301732465339772</v>
      </c>
    </row>
    <row r="25" spans="1:8" x14ac:dyDescent="0.25">
      <c r="A25" s="188" t="s">
        <v>511</v>
      </c>
      <c r="B25" s="189">
        <v>273</v>
      </c>
      <c r="C25" s="190">
        <v>1.0677674096251939</v>
      </c>
      <c r="D25" s="191">
        <v>8.6835130760728824E-2</v>
      </c>
      <c r="E25" s="191">
        <v>6.1553821739998106E-2</v>
      </c>
      <c r="F25" s="190">
        <v>0.98731131517611959</v>
      </c>
      <c r="G25" s="191">
        <v>5.4972443294329772E-2</v>
      </c>
      <c r="H25" s="190">
        <v>1.0447434132162758</v>
      </c>
    </row>
    <row r="26" spans="1:8" x14ac:dyDescent="0.25">
      <c r="A26" s="188" t="s">
        <v>512</v>
      </c>
      <c r="B26" s="189">
        <v>66</v>
      </c>
      <c r="C26" s="190">
        <v>1.1493271604938269</v>
      </c>
      <c r="D26" s="191">
        <v>8.8293880231325894E-2</v>
      </c>
      <c r="E26" s="191">
        <v>5.6569762991867181E-2</v>
      </c>
      <c r="F26" s="190">
        <v>1.060950888950327</v>
      </c>
      <c r="G26" s="191">
        <v>5.9172209161930812E-2</v>
      </c>
      <c r="H26" s="190">
        <v>1.127678092932666</v>
      </c>
    </row>
    <row r="27" spans="1:8" s="196" customFormat="1" x14ac:dyDescent="0.25">
      <c r="A27" s="192" t="s">
        <v>513</v>
      </c>
      <c r="B27" s="193">
        <v>18</v>
      </c>
      <c r="C27" s="194">
        <v>0.96010956790123492</v>
      </c>
      <c r="D27" s="195">
        <v>0.30468217216750876</v>
      </c>
      <c r="E27" s="195">
        <v>9.8210800235634374E-2</v>
      </c>
      <c r="F27" s="194">
        <v>0.75316942139093868</v>
      </c>
      <c r="G27" s="195">
        <v>1.8893727138576937E-2</v>
      </c>
      <c r="H27" s="194">
        <v>0.76767363763183338</v>
      </c>
    </row>
    <row r="28" spans="1:8" x14ac:dyDescent="0.25">
      <c r="A28" s="188" t="s">
        <v>514</v>
      </c>
      <c r="B28" s="189">
        <v>20</v>
      </c>
      <c r="C28" s="190">
        <v>0.77093945868945879</v>
      </c>
      <c r="D28" s="191">
        <v>0.94466929898436769</v>
      </c>
      <c r="E28" s="191">
        <v>0.12600398671565352</v>
      </c>
      <c r="F28" s="190">
        <v>0.42228513868433482</v>
      </c>
      <c r="G28" s="191">
        <v>2.2650073015826794E-2</v>
      </c>
      <c r="H28" s="190">
        <v>0.4320715917863604</v>
      </c>
    </row>
    <row r="29" spans="1:8" x14ac:dyDescent="0.25">
      <c r="A29" s="188" t="s">
        <v>515</v>
      </c>
      <c r="B29" s="189">
        <v>40</v>
      </c>
      <c r="C29" s="190">
        <v>1.2359319800569799</v>
      </c>
      <c r="D29" s="191">
        <v>0.39030350611699477</v>
      </c>
      <c r="E29" s="191">
        <v>0.11842592461422949</v>
      </c>
      <c r="F29" s="190">
        <v>0.91953651896261879</v>
      </c>
      <c r="G29" s="191">
        <v>0.11983508077496918</v>
      </c>
      <c r="H29" s="190">
        <v>1.0447320710898749</v>
      </c>
    </row>
    <row r="30" spans="1:8" x14ac:dyDescent="0.25">
      <c r="A30" s="188" t="s">
        <v>516</v>
      </c>
      <c r="B30" s="189">
        <v>135</v>
      </c>
      <c r="C30" s="190">
        <v>1.1420897190293744</v>
      </c>
      <c r="D30" s="191">
        <v>0.1373944878468624</v>
      </c>
      <c r="E30" s="191">
        <v>7.4876073333252288E-2</v>
      </c>
      <c r="F30" s="190">
        <v>1.0132931406564816</v>
      </c>
      <c r="G30" s="191">
        <v>5.3673970513405639E-2</v>
      </c>
      <c r="H30" s="190">
        <v>1.0707653695272639</v>
      </c>
    </row>
    <row r="31" spans="1:8" x14ac:dyDescent="0.25">
      <c r="A31" s="188" t="s">
        <v>517</v>
      </c>
      <c r="B31" s="189">
        <v>191</v>
      </c>
      <c r="C31" s="190">
        <v>1.0246114890400599</v>
      </c>
      <c r="D31" s="191">
        <v>0.1600913940058111</v>
      </c>
      <c r="E31" s="191">
        <v>7.5206260672450578E-2</v>
      </c>
      <c r="F31" s="190">
        <v>0.89247866683251953</v>
      </c>
      <c r="G31" s="191">
        <v>0.10692208167886269</v>
      </c>
      <c r="H31" s="190">
        <v>0.99932900424887428</v>
      </c>
    </row>
    <row r="32" spans="1:8" x14ac:dyDescent="0.25">
      <c r="A32" s="188" t="s">
        <v>518</v>
      </c>
      <c r="B32" s="189">
        <v>26</v>
      </c>
      <c r="C32" s="190">
        <v>1.367480936819172</v>
      </c>
      <c r="D32" s="191">
        <v>0.40303261618114145</v>
      </c>
      <c r="E32" s="191">
        <v>8.9673612048751947E-2</v>
      </c>
      <c r="F32" s="190">
        <v>1.0004314250419917</v>
      </c>
      <c r="G32" s="191">
        <v>6.9675389840066479E-2</v>
      </c>
      <c r="H32" s="190">
        <v>1.0753573689402949</v>
      </c>
    </row>
    <row r="33" spans="1:8" s="196" customFormat="1" x14ac:dyDescent="0.25">
      <c r="A33" s="192" t="s">
        <v>519</v>
      </c>
      <c r="B33" s="193">
        <v>56</v>
      </c>
      <c r="C33" s="194">
        <v>1.2000296296296298</v>
      </c>
      <c r="D33" s="195">
        <v>0.22721532210028431</v>
      </c>
      <c r="E33" s="195">
        <v>0.14864507861700244</v>
      </c>
      <c r="F33" s="194">
        <v>1.0055207987605668</v>
      </c>
      <c r="G33" s="195">
        <v>0.11210704767187192</v>
      </c>
      <c r="H33" s="194">
        <v>1.1324797613541238</v>
      </c>
    </row>
    <row r="34" spans="1:8" x14ac:dyDescent="0.25">
      <c r="A34" s="188" t="s">
        <v>520</v>
      </c>
      <c r="B34" s="189">
        <v>85</v>
      </c>
      <c r="C34" s="190">
        <v>1.1885225225225224</v>
      </c>
      <c r="D34" s="191">
        <v>0.25978083927405604</v>
      </c>
      <c r="E34" s="191">
        <v>4.8516368986790015E-2</v>
      </c>
      <c r="F34" s="190">
        <v>0.95297004071692204</v>
      </c>
      <c r="G34" s="191">
        <v>4.0457928984835093E-2</v>
      </c>
      <c r="H34" s="190">
        <v>0.99315086800593344</v>
      </c>
    </row>
    <row r="35" spans="1:8" x14ac:dyDescent="0.25">
      <c r="A35" s="188" t="s">
        <v>521</v>
      </c>
      <c r="B35" s="189">
        <v>108</v>
      </c>
      <c r="C35" s="190">
        <v>1.1345487472766886</v>
      </c>
      <c r="D35" s="191">
        <v>0.43587427116036004</v>
      </c>
      <c r="E35" s="191">
        <v>5.0189257216839263E-2</v>
      </c>
      <c r="F35" s="190">
        <v>0.80236937741168823</v>
      </c>
      <c r="G35" s="191">
        <v>1.4181566035883848E-2</v>
      </c>
      <c r="H35" s="190">
        <v>0.81391192309647409</v>
      </c>
    </row>
    <row r="36" spans="1:8" x14ac:dyDescent="0.25">
      <c r="A36" s="188" t="s">
        <v>522</v>
      </c>
      <c r="B36" s="189">
        <v>29</v>
      </c>
      <c r="C36" s="190">
        <v>0.7937894736842106</v>
      </c>
      <c r="D36" s="191">
        <v>0.41122777943204597</v>
      </c>
      <c r="E36" s="191">
        <v>9.0140068077759067E-2</v>
      </c>
      <c r="F36" s="190">
        <v>0.57765446445905466</v>
      </c>
      <c r="G36" s="191">
        <v>7.6319248926083785E-2</v>
      </c>
      <c r="H36" s="190">
        <v>0.62538324392648159</v>
      </c>
    </row>
    <row r="37" spans="1:8" x14ac:dyDescent="0.25">
      <c r="A37" s="188" t="s">
        <v>523</v>
      </c>
      <c r="B37" s="189">
        <v>76</v>
      </c>
      <c r="C37" s="190">
        <v>0.98508278867102417</v>
      </c>
      <c r="D37" s="191">
        <v>1.0211871284557388</v>
      </c>
      <c r="E37" s="191">
        <v>0.18368206233439904</v>
      </c>
      <c r="F37" s="190">
        <v>0.53723582322602281</v>
      </c>
      <c r="G37" s="191">
        <v>7.2178163698867412E-2</v>
      </c>
      <c r="H37" s="190">
        <v>0.57902907886688093</v>
      </c>
    </row>
    <row r="38" spans="1:8" x14ac:dyDescent="0.25">
      <c r="A38" s="188" t="s">
        <v>524</v>
      </c>
      <c r="B38" s="189">
        <v>17</v>
      </c>
      <c r="C38" s="190">
        <v>1.0495447530864197</v>
      </c>
      <c r="D38" s="191">
        <v>3.3147210678913956</v>
      </c>
      <c r="E38" s="191">
        <v>9.7674769942655906E-2</v>
      </c>
      <c r="F38" s="190">
        <v>0.2629807581699049</v>
      </c>
      <c r="G38" s="191">
        <v>7.8453069623927937E-2</v>
      </c>
      <c r="H38" s="190">
        <v>0.28536881790988733</v>
      </c>
    </row>
    <row r="39" spans="1:8" x14ac:dyDescent="0.25">
      <c r="A39" s="188" t="s">
        <v>525</v>
      </c>
      <c r="B39" s="189">
        <v>97</v>
      </c>
      <c r="C39" s="190">
        <v>0.8511859974009095</v>
      </c>
      <c r="D39" s="191">
        <v>0.2792284923193542</v>
      </c>
      <c r="E39" s="191">
        <v>0.13998778813129831</v>
      </c>
      <c r="F39" s="190">
        <v>0.68636287589392275</v>
      </c>
      <c r="G39" s="191">
        <v>3.1047465538332052E-2</v>
      </c>
      <c r="H39" s="190">
        <v>0.70835551947366882</v>
      </c>
    </row>
    <row r="40" spans="1:8" x14ac:dyDescent="0.25">
      <c r="A40" s="188" t="s">
        <v>526</v>
      </c>
      <c r="B40" s="189">
        <v>18</v>
      </c>
      <c r="C40" s="190">
        <v>1.1757880658436215</v>
      </c>
      <c r="D40" s="191">
        <v>0.16787422483748227</v>
      </c>
      <c r="E40" s="191">
        <v>0.1068899230752309</v>
      </c>
      <c r="F40" s="190">
        <v>1.0224864994788425</v>
      </c>
      <c r="G40" s="191">
        <v>1.7144490985782756E-2</v>
      </c>
      <c r="H40" s="190">
        <v>1.0403222956997762</v>
      </c>
    </row>
    <row r="41" spans="1:8" x14ac:dyDescent="0.25">
      <c r="A41" s="188" t="s">
        <v>527</v>
      </c>
      <c r="B41" s="189">
        <v>36</v>
      </c>
      <c r="C41" s="190">
        <v>1.2414188712522045</v>
      </c>
      <c r="D41" s="191">
        <v>0.27664853793860722</v>
      </c>
      <c r="E41" s="191">
        <v>0.10025185494908126</v>
      </c>
      <c r="F41" s="190">
        <v>0.99399867602088965</v>
      </c>
      <c r="G41" s="191">
        <v>3.87726032424352E-2</v>
      </c>
      <c r="H41" s="190">
        <v>1.0340931598223997</v>
      </c>
    </row>
    <row r="42" spans="1:8" x14ac:dyDescent="0.25">
      <c r="A42" s="188" t="s">
        <v>528</v>
      </c>
      <c r="B42" s="189">
        <v>193</v>
      </c>
      <c r="C42" s="190">
        <v>0.85353591269841256</v>
      </c>
      <c r="D42" s="191">
        <v>0.17263580160730452</v>
      </c>
      <c r="E42" s="191">
        <v>5.7987787046611061E-2</v>
      </c>
      <c r="F42" s="190">
        <v>0.73414547949626219</v>
      </c>
      <c r="G42" s="191">
        <v>5.1954569410432049E-2</v>
      </c>
      <c r="H42" s="190">
        <v>0.77437795258367925</v>
      </c>
    </row>
    <row r="43" spans="1:8" x14ac:dyDescent="0.25">
      <c r="A43" s="188" t="s">
        <v>529</v>
      </c>
      <c r="B43" s="189">
        <v>47</v>
      </c>
      <c r="C43" s="190">
        <v>1.1285868055555557</v>
      </c>
      <c r="D43" s="191">
        <v>1.2089591778472306</v>
      </c>
      <c r="E43" s="191">
        <v>0.13486984711719327</v>
      </c>
      <c r="F43" s="190">
        <v>0.55163151814571476</v>
      </c>
      <c r="G43" s="191">
        <v>1.2212749192967665E-2</v>
      </c>
      <c r="H43" s="190">
        <v>0.55845174929624386</v>
      </c>
    </row>
    <row r="44" spans="1:8" x14ac:dyDescent="0.25">
      <c r="A44" s="188" t="s">
        <v>530</v>
      </c>
      <c r="B44" s="189">
        <v>58</v>
      </c>
      <c r="C44" s="190">
        <v>1.0048172839506173</v>
      </c>
      <c r="D44" s="191">
        <v>0.19804655701379431</v>
      </c>
      <c r="E44" s="191">
        <v>8.7576230617930143E-2</v>
      </c>
      <c r="F44" s="190">
        <v>0.85103349989879196</v>
      </c>
      <c r="G44" s="191">
        <v>4.2789631176620602E-2</v>
      </c>
      <c r="H44" s="190">
        <v>0.88907676683955894</v>
      </c>
    </row>
    <row r="45" spans="1:8" x14ac:dyDescent="0.25">
      <c r="A45" s="188" t="s">
        <v>531</v>
      </c>
      <c r="B45" s="189">
        <v>126</v>
      </c>
      <c r="C45" s="190">
        <v>0.83227597109304396</v>
      </c>
      <c r="D45" s="191">
        <v>0.27925622900731639</v>
      </c>
      <c r="E45" s="191">
        <v>0.13773438845223371</v>
      </c>
      <c r="F45" s="190">
        <v>0.6707613132845589</v>
      </c>
      <c r="G45" s="191">
        <v>6.5418897163489836E-2</v>
      </c>
      <c r="H45" s="190">
        <v>0.71771332765958751</v>
      </c>
    </row>
    <row r="46" spans="1:8" x14ac:dyDescent="0.25">
      <c r="A46" s="188" t="s">
        <v>532</v>
      </c>
      <c r="B46" s="189">
        <v>125</v>
      </c>
      <c r="C46" s="190">
        <v>0.99274547101449262</v>
      </c>
      <c r="D46" s="191">
        <v>0.14524426104500224</v>
      </c>
      <c r="E46" s="191">
        <v>6.0854083578939865E-2</v>
      </c>
      <c r="F46" s="190">
        <v>0.87358378965815697</v>
      </c>
      <c r="G46" s="191">
        <v>4.8769361447896474E-2</v>
      </c>
      <c r="H46" s="190">
        <v>0.91837221621442389</v>
      </c>
    </row>
    <row r="47" spans="1:8" x14ac:dyDescent="0.25">
      <c r="A47" s="188" t="s">
        <v>533</v>
      </c>
      <c r="B47" s="189">
        <v>46</v>
      </c>
      <c r="C47" s="190">
        <v>1.6693235596707821</v>
      </c>
      <c r="D47" s="191">
        <v>0.56304350162822892</v>
      </c>
      <c r="E47" s="191">
        <v>0.1940126723718035</v>
      </c>
      <c r="F47" s="190">
        <v>1.1482437431437427</v>
      </c>
      <c r="G47" s="191">
        <v>5.5445305206438644E-2</v>
      </c>
      <c r="H47" s="190">
        <v>1.215645583546328</v>
      </c>
    </row>
    <row r="48" spans="1:8" x14ac:dyDescent="0.25">
      <c r="A48" s="188" t="s">
        <v>534</v>
      </c>
      <c r="B48" s="189">
        <v>32</v>
      </c>
      <c r="C48" s="190">
        <v>1.7130160818713454</v>
      </c>
      <c r="D48" s="191">
        <v>0.56613358137416359</v>
      </c>
      <c r="E48" s="191">
        <v>6.6775332089890088E-2</v>
      </c>
      <c r="F48" s="190">
        <v>1.1208418860670262</v>
      </c>
      <c r="G48" s="191">
        <v>9.1538654821520127E-2</v>
      </c>
      <c r="H48" s="190">
        <v>1.2337804927152087</v>
      </c>
    </row>
    <row r="49" spans="1:8" x14ac:dyDescent="0.25">
      <c r="A49" s="188" t="s">
        <v>535</v>
      </c>
      <c r="B49" s="189">
        <v>89</v>
      </c>
      <c r="C49" s="190">
        <v>1.2736163522012578</v>
      </c>
      <c r="D49" s="191">
        <v>0.52329912362656361</v>
      </c>
      <c r="E49" s="191">
        <v>0.1048088643664261</v>
      </c>
      <c r="F49" s="190">
        <v>0.86731858664748807</v>
      </c>
      <c r="G49" s="191">
        <v>3.8409288020614378E-2</v>
      </c>
      <c r="H49" s="190">
        <v>0.90196231706747332</v>
      </c>
    </row>
    <row r="50" spans="1:8" x14ac:dyDescent="0.25">
      <c r="A50" s="188" t="s">
        <v>536</v>
      </c>
      <c r="B50" s="189">
        <v>139</v>
      </c>
      <c r="C50" s="190">
        <v>1.004602564102564</v>
      </c>
      <c r="D50" s="191">
        <v>0.19334894482728421</v>
      </c>
      <c r="E50" s="191">
        <v>9.5129247069913075E-2</v>
      </c>
      <c r="F50" s="190">
        <v>0.85501306481876793</v>
      </c>
      <c r="G50" s="191">
        <v>3.5187681783953803E-2</v>
      </c>
      <c r="H50" s="190">
        <v>0.88619625669757318</v>
      </c>
    </row>
    <row r="51" spans="1:8" x14ac:dyDescent="0.25">
      <c r="A51" s="188" t="s">
        <v>537</v>
      </c>
      <c r="B51" s="189">
        <v>71</v>
      </c>
      <c r="C51" s="190">
        <v>0.84329121278140884</v>
      </c>
      <c r="D51" s="191">
        <v>0.10634731394500864</v>
      </c>
      <c r="E51" s="191">
        <v>0.1704619643713764</v>
      </c>
      <c r="F51" s="190">
        <v>0.77492775150572712</v>
      </c>
      <c r="G51" s="191">
        <v>3.8402641283530721E-2</v>
      </c>
      <c r="H51" s="190">
        <v>0.80587549922151736</v>
      </c>
    </row>
    <row r="52" spans="1:8" x14ac:dyDescent="0.25">
      <c r="A52" s="188" t="s">
        <v>538</v>
      </c>
      <c r="B52" s="189">
        <v>26</v>
      </c>
      <c r="C52" s="190">
        <v>0.91929953703703704</v>
      </c>
      <c r="D52" s="191">
        <v>0.46141748031258462</v>
      </c>
      <c r="E52" s="191">
        <v>0.19188037363457836</v>
      </c>
      <c r="F52" s="190">
        <v>0.66961364987487215</v>
      </c>
      <c r="G52" s="191">
        <v>5.0412971593886073E-2</v>
      </c>
      <c r="H52" s="190">
        <v>0.7051630128086539</v>
      </c>
    </row>
    <row r="53" spans="1:8" x14ac:dyDescent="0.25">
      <c r="A53" s="188" t="s">
        <v>539</v>
      </c>
      <c r="B53" s="189">
        <v>27</v>
      </c>
      <c r="C53" s="190">
        <v>1.2100965608465606</v>
      </c>
      <c r="D53" s="191">
        <v>0.66669752836792051</v>
      </c>
      <c r="E53" s="191">
        <v>0.17819944092959214</v>
      </c>
      <c r="F53" s="190">
        <v>0.78177046391584259</v>
      </c>
      <c r="G53" s="191">
        <v>0.10411620318967094</v>
      </c>
      <c r="H53" s="190">
        <v>0.87262485011921054</v>
      </c>
    </row>
    <row r="54" spans="1:8" x14ac:dyDescent="0.25">
      <c r="A54" s="188" t="s">
        <v>540</v>
      </c>
      <c r="B54" s="189">
        <v>53</v>
      </c>
      <c r="C54" s="190">
        <v>0.76314533011272168</v>
      </c>
      <c r="D54" s="191">
        <v>0.34979970111120007</v>
      </c>
      <c r="E54" s="191">
        <v>0.19422691673224041</v>
      </c>
      <c r="F54" s="190">
        <v>0.59534256166547295</v>
      </c>
      <c r="G54" s="191">
        <v>5.4699875681860813E-2</v>
      </c>
      <c r="H54" s="190">
        <v>0.62979211189134621</v>
      </c>
    </row>
    <row r="55" spans="1:8" x14ac:dyDescent="0.25">
      <c r="A55" s="188" t="s">
        <v>541</v>
      </c>
      <c r="B55" s="189">
        <v>330</v>
      </c>
      <c r="C55" s="190">
        <v>1.0451352880658435</v>
      </c>
      <c r="D55" s="191">
        <v>4.1635578200752865E-2</v>
      </c>
      <c r="E55" s="191">
        <v>4.5869495763086611E-2</v>
      </c>
      <c r="F55" s="190">
        <v>1.0052028265258734</v>
      </c>
      <c r="G55" s="191">
        <v>3.9818655815178294E-2</v>
      </c>
      <c r="H55" s="190">
        <v>1.0468885201881049</v>
      </c>
    </row>
    <row r="56" spans="1:8" x14ac:dyDescent="0.25">
      <c r="A56" s="188" t="s">
        <v>542</v>
      </c>
      <c r="B56" s="189">
        <v>65</v>
      </c>
      <c r="C56" s="190">
        <v>0.81550617283950633</v>
      </c>
      <c r="D56" s="191">
        <v>1.0439694849840839</v>
      </c>
      <c r="E56" s="191">
        <v>6.6160243284532877E-2</v>
      </c>
      <c r="F56" s="190">
        <v>0.41293538213292713</v>
      </c>
      <c r="G56" s="191">
        <v>0.11377261100744254</v>
      </c>
      <c r="H56" s="190">
        <v>0.46594743884223933</v>
      </c>
    </row>
    <row r="57" spans="1:8" x14ac:dyDescent="0.25">
      <c r="A57" s="188" t="s">
        <v>543</v>
      </c>
      <c r="B57" s="189">
        <v>141</v>
      </c>
      <c r="C57" s="190">
        <v>1.0428306737588651</v>
      </c>
      <c r="D57" s="191">
        <v>0.17498589120788405</v>
      </c>
      <c r="E57" s="191">
        <v>0.13017222634523787</v>
      </c>
      <c r="F57" s="190">
        <v>0.90507186766130521</v>
      </c>
      <c r="G57" s="191">
        <v>5.9030804102307065E-2</v>
      </c>
      <c r="H57" s="190">
        <v>0.96185068715013422</v>
      </c>
    </row>
    <row r="58" spans="1:8" x14ac:dyDescent="0.25">
      <c r="A58" s="188" t="s">
        <v>544</v>
      </c>
      <c r="B58" s="189">
        <v>134</v>
      </c>
      <c r="C58" s="190">
        <v>1.2608422172172171</v>
      </c>
      <c r="D58" s="191">
        <v>0.48213439495131194</v>
      </c>
      <c r="E58" s="191">
        <v>1.8983192880175755E-2</v>
      </c>
      <c r="F58" s="190">
        <v>0.85597941082819473</v>
      </c>
      <c r="G58" s="191">
        <v>5.3658689091799099E-2</v>
      </c>
      <c r="H58" s="190">
        <v>0.90451447164101273</v>
      </c>
    </row>
    <row r="59" spans="1:8" x14ac:dyDescent="0.25">
      <c r="A59" s="188" t="s">
        <v>545</v>
      </c>
      <c r="B59" s="189">
        <v>30</v>
      </c>
      <c r="C59" s="190">
        <v>1.144662551440329</v>
      </c>
      <c r="D59" s="191">
        <v>0.5508272875611262</v>
      </c>
      <c r="E59" s="191">
        <v>0.12807099875969141</v>
      </c>
      <c r="F59" s="190">
        <v>0.77327315318542456</v>
      </c>
      <c r="G59" s="191">
        <v>5.4463547002694714E-2</v>
      </c>
      <c r="H59" s="190">
        <v>0.81781421618826611</v>
      </c>
    </row>
    <row r="60" spans="1:8" x14ac:dyDescent="0.25">
      <c r="A60" s="188" t="s">
        <v>546</v>
      </c>
      <c r="B60" s="189">
        <v>8</v>
      </c>
      <c r="C60" s="190">
        <v>1.0044629629629631</v>
      </c>
      <c r="D60" s="191">
        <v>8.5409832510758871E-2</v>
      </c>
      <c r="E60" s="191">
        <v>0.2054585320271162</v>
      </c>
      <c r="F60" s="190">
        <v>0.94063023939511092</v>
      </c>
      <c r="G60" s="191">
        <v>3.087954361565607E-2</v>
      </c>
      <c r="H60" s="190">
        <v>0.97060198574744139</v>
      </c>
    </row>
    <row r="61" spans="1:8" x14ac:dyDescent="0.25">
      <c r="A61" s="188" t="s">
        <v>547</v>
      </c>
      <c r="B61" s="189">
        <v>411</v>
      </c>
      <c r="C61" s="190">
        <v>1.239947823736145</v>
      </c>
      <c r="D61" s="191">
        <v>1.5614934745748805</v>
      </c>
      <c r="E61" s="191">
        <v>6.2890771690283079E-2</v>
      </c>
      <c r="F61" s="190">
        <v>0.50337063497877643</v>
      </c>
      <c r="G61" s="191">
        <v>1.7600277828877499E-2</v>
      </c>
      <c r="H61" s="190">
        <v>0.51238882057734869</v>
      </c>
    </row>
    <row r="62" spans="1:8" x14ac:dyDescent="0.25">
      <c r="A62" s="188" t="s">
        <v>548</v>
      </c>
      <c r="B62" s="189">
        <v>80</v>
      </c>
      <c r="C62" s="190">
        <v>0.81666543209876552</v>
      </c>
      <c r="D62" s="191">
        <v>0.51925126290684864</v>
      </c>
      <c r="E62" s="191">
        <v>4.1784960315867224E-2</v>
      </c>
      <c r="F62" s="190">
        <v>0.54533274299457912</v>
      </c>
      <c r="G62" s="191">
        <v>1.1167387594657628E-2</v>
      </c>
      <c r="H62" s="190">
        <v>0.55149146190481457</v>
      </c>
    </row>
    <row r="63" spans="1:8" x14ac:dyDescent="0.25">
      <c r="A63" s="188" t="s">
        <v>549</v>
      </c>
      <c r="B63" s="189">
        <v>163</v>
      </c>
      <c r="C63" s="190">
        <v>1.3035158062102508</v>
      </c>
      <c r="D63" s="191">
        <v>0.20285169767034697</v>
      </c>
      <c r="E63" s="191">
        <v>0.10731337843952475</v>
      </c>
      <c r="F63" s="190">
        <v>1.1036614783924377</v>
      </c>
      <c r="G63" s="191">
        <v>5.6884775426597714E-2</v>
      </c>
      <c r="H63" s="190">
        <v>1.1702297340090708</v>
      </c>
    </row>
    <row r="64" spans="1:8" x14ac:dyDescent="0.25">
      <c r="A64" s="188" t="s">
        <v>550</v>
      </c>
      <c r="B64" s="189">
        <v>24</v>
      </c>
      <c r="C64" s="190">
        <v>0.98519929453262789</v>
      </c>
      <c r="D64" s="191">
        <v>0.49193067675757579</v>
      </c>
      <c r="E64" s="191">
        <v>0.21281121058747787</v>
      </c>
      <c r="F64" s="190">
        <v>0.7101854410384949</v>
      </c>
      <c r="G64" s="191">
        <v>3.3074257942261195E-2</v>
      </c>
      <c r="H64" s="190">
        <v>0.73447774751257688</v>
      </c>
    </row>
    <row r="65" spans="1:8" x14ac:dyDescent="0.25">
      <c r="A65" s="188" t="s">
        <v>551</v>
      </c>
      <c r="B65" s="189">
        <v>21</v>
      </c>
      <c r="C65" s="190">
        <v>1.335621913580247</v>
      </c>
      <c r="D65" s="191">
        <v>0.51989180751155495</v>
      </c>
      <c r="E65" s="191">
        <v>8.1978576048648305E-2</v>
      </c>
      <c r="F65" s="190">
        <v>0.90411385218303963</v>
      </c>
      <c r="G65" s="191">
        <v>3.1216515463033789E-2</v>
      </c>
      <c r="H65" s="190">
        <v>0.9332465577849568</v>
      </c>
    </row>
    <row r="66" spans="1:8" x14ac:dyDescent="0.25">
      <c r="A66" s="188" t="s">
        <v>552</v>
      </c>
      <c r="B66" s="189">
        <v>138</v>
      </c>
      <c r="C66" s="190">
        <v>1.103147494553377</v>
      </c>
      <c r="D66" s="191">
        <v>0.13868439074458005</v>
      </c>
      <c r="E66" s="191">
        <v>4.2963870233176514E-2</v>
      </c>
      <c r="F66" s="190">
        <v>0.97388734897939477</v>
      </c>
      <c r="G66" s="191">
        <v>5.1513314146313771E-2</v>
      </c>
      <c r="H66" s="190">
        <v>1.0267801999801891</v>
      </c>
    </row>
    <row r="67" spans="1:8" x14ac:dyDescent="0.25">
      <c r="A67" s="188" t="s">
        <v>553</v>
      </c>
      <c r="B67" s="189">
        <v>106</v>
      </c>
      <c r="C67" s="190">
        <v>0.67805506822612083</v>
      </c>
      <c r="D67" s="191">
        <v>0.85110094159285299</v>
      </c>
      <c r="E67" s="191">
        <v>0.16030499329347112</v>
      </c>
      <c r="F67" s="190">
        <v>0.39544458237799979</v>
      </c>
      <c r="G67" s="191">
        <v>2.0506929114003768E-2</v>
      </c>
      <c r="H67" s="190">
        <v>0.40372371600373047</v>
      </c>
    </row>
    <row r="68" spans="1:8" x14ac:dyDescent="0.25">
      <c r="A68" s="188" t="s">
        <v>554</v>
      </c>
      <c r="B68" s="189">
        <v>166</v>
      </c>
      <c r="C68" s="190">
        <v>1.3336833964646471</v>
      </c>
      <c r="D68" s="191">
        <v>0.37015874364475371</v>
      </c>
      <c r="E68" s="191">
        <v>8.1664103306588291E-3</v>
      </c>
      <c r="F68" s="190">
        <v>0.97553097713799053</v>
      </c>
      <c r="G68" s="191">
        <v>0.10571838712382345</v>
      </c>
      <c r="H68" s="190">
        <v>1.0908543383783782</v>
      </c>
    </row>
    <row r="69" spans="1:8" x14ac:dyDescent="0.25">
      <c r="A69" s="188" t="s">
        <v>555</v>
      </c>
      <c r="B69" s="189">
        <v>52</v>
      </c>
      <c r="C69" s="190">
        <v>1.0817402263374485</v>
      </c>
      <c r="D69" s="191">
        <v>0.36821584243865496</v>
      </c>
      <c r="E69" s="191">
        <v>0.13924641188390072</v>
      </c>
      <c r="F69" s="190">
        <v>0.82140239780367208</v>
      </c>
      <c r="G69" s="191">
        <v>6.0610291473137484E-2</v>
      </c>
      <c r="H69" s="190">
        <v>0.87440003903362273</v>
      </c>
    </row>
    <row r="70" spans="1:8" x14ac:dyDescent="0.25">
      <c r="A70" s="188" t="s">
        <v>556</v>
      </c>
      <c r="B70" s="189">
        <v>46</v>
      </c>
      <c r="C70" s="190">
        <v>0.78295802469135822</v>
      </c>
      <c r="D70" s="191">
        <v>5.697924876754298</v>
      </c>
      <c r="E70" s="191">
        <v>2.4756706157541358E-2</v>
      </c>
      <c r="F70" s="190">
        <v>0.11941045919691963</v>
      </c>
      <c r="G70" s="191">
        <v>2.3974159615697169E-2</v>
      </c>
      <c r="H70" s="190">
        <v>0.1223435428204469</v>
      </c>
    </row>
    <row r="71" spans="1:8" x14ac:dyDescent="0.25">
      <c r="A71" s="188" t="s">
        <v>557</v>
      </c>
      <c r="B71" s="189">
        <v>10</v>
      </c>
      <c r="C71" s="190">
        <v>1.0788822751322751</v>
      </c>
      <c r="D71" s="191">
        <v>0.23687191695856419</v>
      </c>
      <c r="E71" s="191">
        <v>0.20513358944153098</v>
      </c>
      <c r="F71" s="190">
        <v>0.90793490223960582</v>
      </c>
      <c r="G71" s="191">
        <v>1.6103047556898259E-2</v>
      </c>
      <c r="H71" s="190">
        <v>0.92279470932918783</v>
      </c>
    </row>
    <row r="72" spans="1:8" x14ac:dyDescent="0.25">
      <c r="A72" s="188" t="s">
        <v>558</v>
      </c>
      <c r="B72" s="189">
        <v>22</v>
      </c>
      <c r="C72" s="190">
        <v>0.99004497354497356</v>
      </c>
      <c r="D72" s="191">
        <v>0.2490462387064353</v>
      </c>
      <c r="E72" s="191">
        <v>3.0014591927035303E-2</v>
      </c>
      <c r="F72" s="190">
        <v>0.79741295513752097</v>
      </c>
      <c r="G72" s="191">
        <v>6.2722750717040782E-2</v>
      </c>
      <c r="H72" s="190">
        <v>0.85077596383307297</v>
      </c>
    </row>
    <row r="73" spans="1:8" x14ac:dyDescent="0.25">
      <c r="A73" s="188" t="s">
        <v>559</v>
      </c>
      <c r="B73" s="189">
        <v>11</v>
      </c>
      <c r="C73" s="190">
        <v>0.71834259259259259</v>
      </c>
      <c r="D73" s="191">
        <v>0.1730143239654762</v>
      </c>
      <c r="E73" s="191">
        <v>8.7200826740705117E-2</v>
      </c>
      <c r="F73" s="190">
        <v>0.62036932095533448</v>
      </c>
      <c r="G73" s="191">
        <v>6.9221498538000279E-3</v>
      </c>
      <c r="H73" s="190">
        <v>0.62469354327458249</v>
      </c>
    </row>
    <row r="74" spans="1:8" x14ac:dyDescent="0.25">
      <c r="A74" s="188" t="s">
        <v>560</v>
      </c>
      <c r="B74" s="189">
        <v>47</v>
      </c>
      <c r="C74" s="190">
        <v>1.4010748456790123</v>
      </c>
      <c r="D74" s="191">
        <v>0.5957220164193896</v>
      </c>
      <c r="E74" s="191">
        <v>8.5608055994703156E-2</v>
      </c>
      <c r="F74" s="190">
        <v>0.90700693352462192</v>
      </c>
      <c r="G74" s="191">
        <v>3.2517663571935453E-2</v>
      </c>
      <c r="H74" s="190">
        <v>0.93749198241001763</v>
      </c>
    </row>
    <row r="75" spans="1:8" x14ac:dyDescent="0.25">
      <c r="A75" s="188" t="s">
        <v>561</v>
      </c>
      <c r="B75" s="189">
        <v>70</v>
      </c>
      <c r="C75" s="190">
        <v>1.3049613425925926</v>
      </c>
      <c r="D75" s="191">
        <v>0.25128371314808245</v>
      </c>
      <c r="E75" s="191">
        <v>8.8075278811522037E-2</v>
      </c>
      <c r="F75" s="190">
        <v>1.0616762800878952</v>
      </c>
      <c r="G75" s="191">
        <v>4.2206400176206048E-2</v>
      </c>
      <c r="H75" s="190">
        <v>1.108460403455622</v>
      </c>
    </row>
    <row r="76" spans="1:8" x14ac:dyDescent="0.25">
      <c r="A76" s="188" t="s">
        <v>562</v>
      </c>
      <c r="B76" s="189">
        <v>3</v>
      </c>
      <c r="C76" s="190">
        <v>0.56297839506172831</v>
      </c>
      <c r="D76" s="191">
        <v>0.38499521696522476</v>
      </c>
      <c r="E76" s="191">
        <v>0.13344081179830455</v>
      </c>
      <c r="F76" s="190">
        <v>0.42214267384253534</v>
      </c>
      <c r="G76" s="191">
        <v>0.10464220853740197</v>
      </c>
      <c r="H76" s="190">
        <v>0.47147931013472349</v>
      </c>
    </row>
    <row r="77" spans="1:8" x14ac:dyDescent="0.25">
      <c r="A77" s="188" t="s">
        <v>563</v>
      </c>
      <c r="B77" s="189">
        <v>84</v>
      </c>
      <c r="C77" s="190">
        <v>0.8563451468710086</v>
      </c>
      <c r="D77" s="191">
        <v>0.27565723388843377</v>
      </c>
      <c r="E77" s="191">
        <v>0.15167353984518511</v>
      </c>
      <c r="F77" s="190">
        <v>0.69404465950856831</v>
      </c>
      <c r="G77" s="191">
        <v>2.5623714183243305E-2</v>
      </c>
      <c r="H77" s="190">
        <v>0.71229633726850761</v>
      </c>
    </row>
    <row r="78" spans="1:8" x14ac:dyDescent="0.25">
      <c r="A78" s="188" t="s">
        <v>564</v>
      </c>
      <c r="B78" s="189">
        <v>30</v>
      </c>
      <c r="C78" s="190">
        <v>1.1510245370370373</v>
      </c>
      <c r="D78" s="191">
        <v>0.57513354821296137</v>
      </c>
      <c r="E78" s="191">
        <v>0.19225003391559045</v>
      </c>
      <c r="F78" s="190">
        <v>0.78591611923564142</v>
      </c>
      <c r="G78" s="191">
        <v>2.2491641694898035E-2</v>
      </c>
      <c r="H78" s="190">
        <v>0.80399938533348037</v>
      </c>
    </row>
    <row r="79" spans="1:8" x14ac:dyDescent="0.25">
      <c r="A79" s="188" t="s">
        <v>565</v>
      </c>
      <c r="B79" s="189">
        <v>7</v>
      </c>
      <c r="C79" s="190">
        <v>1.0686080246913578</v>
      </c>
      <c r="D79" s="191">
        <v>0.22178139327397972</v>
      </c>
      <c r="E79" s="191">
        <v>0.2197090136716974</v>
      </c>
      <c r="F79" s="190">
        <v>0.91096232957109935</v>
      </c>
      <c r="G79" s="191">
        <v>2.8864276848869459E-2</v>
      </c>
      <c r="H79" s="190">
        <v>0.93803812160798572</v>
      </c>
    </row>
    <row r="80" spans="1:8" x14ac:dyDescent="0.25">
      <c r="A80" s="188" t="s">
        <v>566</v>
      </c>
      <c r="B80" s="189">
        <v>87</v>
      </c>
      <c r="C80" s="190">
        <v>0.99910457516339846</v>
      </c>
      <c r="D80" s="191">
        <v>0.43815825434761735</v>
      </c>
      <c r="E80" s="191">
        <v>0.16180677474161614</v>
      </c>
      <c r="F80" s="190">
        <v>0.73073419798877826</v>
      </c>
      <c r="G80" s="191">
        <v>1.8622015688778512E-2</v>
      </c>
      <c r="H80" s="190">
        <v>0.74460015373346988</v>
      </c>
    </row>
    <row r="81" spans="1:8" x14ac:dyDescent="0.25">
      <c r="A81" s="188" t="s">
        <v>567</v>
      </c>
      <c r="B81" s="189">
        <v>21</v>
      </c>
      <c r="C81" s="190">
        <v>0.97906822612085787</v>
      </c>
      <c r="D81" s="191">
        <v>0.35615426779129322</v>
      </c>
      <c r="E81" s="191">
        <v>0.25032851769820796</v>
      </c>
      <c r="F81" s="190">
        <v>0.7727460397331547</v>
      </c>
      <c r="G81" s="191">
        <v>3.1922303801930382E-2</v>
      </c>
      <c r="H81" s="190">
        <v>0.79822729391241976</v>
      </c>
    </row>
    <row r="82" spans="1:8" x14ac:dyDescent="0.25">
      <c r="A82" s="188" t="s">
        <v>568</v>
      </c>
      <c r="B82" s="189">
        <v>21</v>
      </c>
      <c r="C82" s="190">
        <v>0.81410545267489709</v>
      </c>
      <c r="D82" s="191">
        <v>0.56863117043210454</v>
      </c>
      <c r="E82" s="191">
        <v>0.22828587019871605</v>
      </c>
      <c r="F82" s="190">
        <v>0.5658143837222479</v>
      </c>
      <c r="G82" s="191">
        <v>1.7194737285776026E-2</v>
      </c>
      <c r="H82" s="190">
        <v>0.5757136283129296</v>
      </c>
    </row>
    <row r="83" spans="1:8" x14ac:dyDescent="0.25">
      <c r="A83" s="188" t="s">
        <v>569</v>
      </c>
      <c r="B83" s="189">
        <v>47</v>
      </c>
      <c r="C83" s="190">
        <v>1.0304980842911877</v>
      </c>
      <c r="D83" s="191">
        <v>5.0619641444897903E-2</v>
      </c>
      <c r="E83" s="191">
        <v>9.8032068354241164E-2</v>
      </c>
      <c r="F83" s="190">
        <v>0.98550269854117067</v>
      </c>
      <c r="G83" s="191">
        <v>3.0299323247844113E-2</v>
      </c>
      <c r="H83" s="190">
        <v>1.0162957726728015</v>
      </c>
    </row>
    <row r="84" spans="1:8" x14ac:dyDescent="0.25">
      <c r="A84" s="188" t="s">
        <v>570</v>
      </c>
      <c r="B84" s="189">
        <v>137</v>
      </c>
      <c r="C84" s="190">
        <v>0.98630724715099671</v>
      </c>
      <c r="D84" s="191">
        <v>0.37799040470680112</v>
      </c>
      <c r="E84" s="191">
        <v>0.1889791185030939</v>
      </c>
      <c r="F84" s="190">
        <v>0.7548896896962406</v>
      </c>
      <c r="G84" s="191">
        <v>3.1977203989413172E-2</v>
      </c>
      <c r="H84" s="190">
        <v>0.77982635616360496</v>
      </c>
    </row>
    <row r="85" spans="1:8" x14ac:dyDescent="0.25">
      <c r="A85" s="188" t="s">
        <v>571</v>
      </c>
      <c r="B85" s="189">
        <v>4</v>
      </c>
      <c r="C85" s="190">
        <v>1.267372685185185</v>
      </c>
      <c r="D85" s="191">
        <v>1.0978100667286403</v>
      </c>
      <c r="E85" s="191">
        <v>0.15210232506380267</v>
      </c>
      <c r="F85" s="190">
        <v>0.65638729940880458</v>
      </c>
      <c r="G85" s="191">
        <v>0.17504646335871923</v>
      </c>
      <c r="H85" s="190">
        <v>0.79566578025863433</v>
      </c>
    </row>
    <row r="86" spans="1:8" x14ac:dyDescent="0.25">
      <c r="A86" s="188" t="s">
        <v>572</v>
      </c>
      <c r="B86" s="189">
        <v>104</v>
      </c>
      <c r="C86" s="190">
        <v>1.1934791412291412</v>
      </c>
      <c r="D86" s="191">
        <v>0.1301799520069386</v>
      </c>
      <c r="E86" s="191">
        <v>7.2950996279250391E-2</v>
      </c>
      <c r="F86" s="190">
        <v>1.064956757408035</v>
      </c>
      <c r="G86" s="191">
        <v>6.338202976829288E-2</v>
      </c>
      <c r="H86" s="190">
        <v>1.1370236224963508</v>
      </c>
    </row>
    <row r="87" spans="1:8" x14ac:dyDescent="0.25">
      <c r="A87" s="188" t="s">
        <v>573</v>
      </c>
      <c r="B87" s="189">
        <v>51</v>
      </c>
      <c r="C87" s="190">
        <v>1.2538475308641976</v>
      </c>
      <c r="D87" s="191">
        <v>0.16969373837579765</v>
      </c>
      <c r="E87" s="191">
        <v>5.1315556318925787E-2</v>
      </c>
      <c r="F87" s="190">
        <v>1.0799852334922273</v>
      </c>
      <c r="G87" s="191">
        <v>0.10973927880433056</v>
      </c>
      <c r="H87" s="190">
        <v>1.2131111794326355</v>
      </c>
    </row>
    <row r="88" spans="1:8" x14ac:dyDescent="0.25">
      <c r="A88" s="188" t="s">
        <v>574</v>
      </c>
      <c r="B88" s="189">
        <v>14</v>
      </c>
      <c r="C88" s="190">
        <v>1.4965601851851855</v>
      </c>
      <c r="D88" s="191">
        <v>0.65345568961205835</v>
      </c>
      <c r="E88" s="191">
        <v>4.9875987976710771E-2</v>
      </c>
      <c r="F88" s="190">
        <v>0.92331018469451509</v>
      </c>
      <c r="G88" s="191">
        <v>2.2767853055325048E-2</v>
      </c>
      <c r="H88" s="190">
        <v>0.94482174740285885</v>
      </c>
    </row>
    <row r="89" spans="1:8" x14ac:dyDescent="0.25">
      <c r="A89" s="188" t="s">
        <v>575</v>
      </c>
      <c r="B89" s="189">
        <v>14</v>
      </c>
      <c r="C89" s="190">
        <v>0.83049166666666674</v>
      </c>
      <c r="D89" s="191">
        <v>7.8887558717355644E-2</v>
      </c>
      <c r="E89" s="191">
        <v>0.19823303352732152</v>
      </c>
      <c r="F89" s="190">
        <v>0.7810882719344262</v>
      </c>
      <c r="G89" s="191">
        <v>3.5305593078319146E-2</v>
      </c>
      <c r="H89" s="190">
        <v>0.80967430341683244</v>
      </c>
    </row>
    <row r="90" spans="1:8" x14ac:dyDescent="0.25">
      <c r="A90" s="188" t="s">
        <v>576</v>
      </c>
      <c r="B90" s="189">
        <v>37</v>
      </c>
      <c r="C90" s="190">
        <v>1.1904670781893003</v>
      </c>
      <c r="D90" s="191">
        <v>0.4590827466684253</v>
      </c>
      <c r="E90" s="191">
        <v>0.14131591014305081</v>
      </c>
      <c r="F90" s="190">
        <v>0.85386677521763599</v>
      </c>
      <c r="G90" s="191">
        <v>6.3094417021264601E-2</v>
      </c>
      <c r="H90" s="190">
        <v>0.91136907574283921</v>
      </c>
    </row>
    <row r="91" spans="1:8" x14ac:dyDescent="0.25">
      <c r="A91" s="188" t="s">
        <v>577</v>
      </c>
      <c r="B91" s="189">
        <v>28</v>
      </c>
      <c r="C91" s="190">
        <v>0.68071825396825392</v>
      </c>
      <c r="D91" s="191">
        <v>1.0513850034518384</v>
      </c>
      <c r="E91" s="191">
        <v>0.11544702314287625</v>
      </c>
      <c r="F91" s="190">
        <v>0.35270271054405578</v>
      </c>
      <c r="G91" s="191">
        <v>5.1464507545026093E-2</v>
      </c>
      <c r="H91" s="190">
        <v>0.37183923358650517</v>
      </c>
    </row>
    <row r="92" spans="1:8" x14ac:dyDescent="0.25">
      <c r="A92" s="188" t="s">
        <v>578</v>
      </c>
      <c r="B92" s="189">
        <v>131</v>
      </c>
      <c r="C92" s="190">
        <v>1.1449544402356899</v>
      </c>
      <c r="D92" s="191">
        <v>0.10768156964887088</v>
      </c>
      <c r="E92" s="191">
        <v>6.902385092755893E-2</v>
      </c>
      <c r="F92" s="190">
        <v>1.0406321371738951</v>
      </c>
      <c r="G92" s="191">
        <v>6.3621266531945178E-2</v>
      </c>
      <c r="H92" s="190">
        <v>1.1113367913853813</v>
      </c>
    </row>
    <row r="93" spans="1:8" x14ac:dyDescent="0.25">
      <c r="A93" s="188" t="s">
        <v>579</v>
      </c>
      <c r="B93" s="189">
        <v>82</v>
      </c>
      <c r="C93" s="190">
        <v>0.94049440586419741</v>
      </c>
      <c r="D93" s="191">
        <v>0.71233760157318537</v>
      </c>
      <c r="E93" s="191">
        <v>8.3998938195763415E-2</v>
      </c>
      <c r="F93" s="190">
        <v>0.56913359633049287</v>
      </c>
      <c r="G93" s="191">
        <v>9.6342209943487619E-2</v>
      </c>
      <c r="H93" s="190">
        <v>0.62981097777611228</v>
      </c>
    </row>
    <row r="94" spans="1:8" x14ac:dyDescent="0.25">
      <c r="A94" s="188" t="s">
        <v>580</v>
      </c>
      <c r="B94" s="189">
        <v>223</v>
      </c>
      <c r="C94" s="190">
        <v>0.53137101263112785</v>
      </c>
      <c r="D94" s="191" t="s">
        <v>636</v>
      </c>
      <c r="E94" s="191">
        <v>0.18928838382005742</v>
      </c>
      <c r="F94" s="190">
        <v>1.2004147606086993E-2</v>
      </c>
      <c r="G94" s="191">
        <v>1.8841211800575835E-2</v>
      </c>
      <c r="H94" s="190" t="s">
        <v>636</v>
      </c>
    </row>
    <row r="95" spans="1:8" x14ac:dyDescent="0.25">
      <c r="A95" s="188" t="s">
        <v>581</v>
      </c>
      <c r="B95" s="189">
        <v>12</v>
      </c>
      <c r="C95" s="190">
        <v>0.93871412037037039</v>
      </c>
      <c r="D95" s="191">
        <v>0.2082941005353855</v>
      </c>
      <c r="E95" s="191">
        <v>0.14231549640411176</v>
      </c>
      <c r="F95" s="190">
        <v>0.7964311923091989</v>
      </c>
      <c r="G95" s="191">
        <v>3.7971646603628763E-2</v>
      </c>
      <c r="H95" s="190">
        <v>0.82786665226389267</v>
      </c>
    </row>
    <row r="96" spans="1:8" x14ac:dyDescent="0.25">
      <c r="A96" s="188" t="s">
        <v>582</v>
      </c>
      <c r="B96" s="189">
        <v>22</v>
      </c>
      <c r="C96" s="190">
        <v>1.0061123456790124</v>
      </c>
      <c r="D96" s="191">
        <v>0.20753048953748554</v>
      </c>
      <c r="E96" s="191">
        <v>0.21205535598499192</v>
      </c>
      <c r="F96" s="190">
        <v>0.86471238250966309</v>
      </c>
      <c r="G96" s="191">
        <v>5.5983040196584455E-2</v>
      </c>
      <c r="H96" s="190">
        <v>0.91599242315491125</v>
      </c>
    </row>
    <row r="97" spans="1:8" x14ac:dyDescent="0.25">
      <c r="A97" s="188" t="s">
        <v>583</v>
      </c>
      <c r="B97" s="189">
        <v>28</v>
      </c>
      <c r="C97" s="190">
        <v>1.1666896433470504</v>
      </c>
      <c r="D97" s="191">
        <v>0.78480008363054843</v>
      </c>
      <c r="E97" s="191">
        <v>0.27927887180133443</v>
      </c>
      <c r="F97" s="190">
        <v>0.74519241687437165</v>
      </c>
      <c r="G97" s="191">
        <v>2.9160950255610898E-2</v>
      </c>
      <c r="H97" s="190">
        <v>0.76757565228816493</v>
      </c>
    </row>
    <row r="98" spans="1:8" x14ac:dyDescent="0.25">
      <c r="A98" s="188" t="s">
        <v>584</v>
      </c>
      <c r="B98" s="189">
        <v>20</v>
      </c>
      <c r="C98" s="190">
        <v>0.55940648148148153</v>
      </c>
      <c r="D98" s="191">
        <v>0.69348263553722533</v>
      </c>
      <c r="E98" s="191">
        <v>0.29925147868742752</v>
      </c>
      <c r="F98" s="190">
        <v>0.37646210980770206</v>
      </c>
      <c r="G98" s="191">
        <v>9.720747341444614E-3</v>
      </c>
      <c r="H98" s="190">
        <v>0.380157525058747</v>
      </c>
    </row>
    <row r="99" spans="1:8" x14ac:dyDescent="0.25">
      <c r="A99" s="188" t="s">
        <v>585</v>
      </c>
      <c r="B99" s="189">
        <v>20</v>
      </c>
      <c r="C99" s="190">
        <v>0.74742102396514165</v>
      </c>
      <c r="D99" s="191">
        <v>0.57897465658594027</v>
      </c>
      <c r="E99" s="191">
        <v>0.14520452995987823</v>
      </c>
      <c r="F99" s="190">
        <v>0.49997897331568159</v>
      </c>
      <c r="G99" s="191">
        <v>5.5058344518004896E-3</v>
      </c>
      <c r="H99" s="190">
        <v>0.50274701515224673</v>
      </c>
    </row>
    <row r="100" spans="1:8" s="180" customFormat="1" x14ac:dyDescent="0.25">
      <c r="A100" s="197" t="s">
        <v>586</v>
      </c>
      <c r="B100" s="198">
        <v>7766</v>
      </c>
      <c r="C100" s="199">
        <v>1.006633027274894</v>
      </c>
      <c r="D100" s="200">
        <v>0.74279914294523075</v>
      </c>
      <c r="E100" s="200">
        <v>0.10317534141356116</v>
      </c>
      <c r="F100" s="199">
        <v>0.60416326893320893</v>
      </c>
      <c r="G100" s="200">
        <v>5.2393384644217576E-2</v>
      </c>
      <c r="H100" s="199">
        <v>0.63756759307381328</v>
      </c>
    </row>
  </sheetData>
  <hyperlinks>
    <hyperlink ref="D2" r:id="rId1"/>
  </hyperlinks>
  <pageMargins left="0.75" right="0.75" top="1" bottom="1" header="0.5" footer="0.5"/>
  <pageSetup scale="60" orientation="landscape" horizontalDpi="4294967292" verticalDpi="429496729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N56"/>
  <sheetViews>
    <sheetView topLeftCell="A49" workbookViewId="0">
      <selection activeCell="L65" sqref="L65"/>
    </sheetView>
  </sheetViews>
  <sheetFormatPr baseColWidth="10" defaultRowHeight="15" x14ac:dyDescent="0.25"/>
  <cols>
    <col min="4" max="13" width="11.5703125" customWidth="1"/>
  </cols>
  <sheetData>
    <row r="4" spans="3:13" x14ac:dyDescent="0.25">
      <c r="C4" s="33"/>
      <c r="D4" s="289">
        <v>2014</v>
      </c>
      <c r="E4" s="289">
        <v>2015</v>
      </c>
      <c r="F4" s="289">
        <v>2016</v>
      </c>
      <c r="G4" s="289">
        <v>2017</v>
      </c>
      <c r="H4" s="289">
        <v>2018</v>
      </c>
      <c r="I4" s="289">
        <v>2019</v>
      </c>
      <c r="J4" s="289">
        <v>2020</v>
      </c>
      <c r="K4" s="289">
        <v>2021</v>
      </c>
      <c r="L4" s="289">
        <v>2022</v>
      </c>
      <c r="M4" s="289">
        <v>2023</v>
      </c>
    </row>
    <row r="5" spans="3:13" x14ac:dyDescent="0.25">
      <c r="C5" s="286" t="s">
        <v>707</v>
      </c>
      <c r="D5" s="287">
        <f>+FCLPROYECTADO!E12</f>
        <v>65483.331474999999</v>
      </c>
      <c r="E5" s="287">
        <f>+FCLPROYECTADO!F12</f>
        <v>70141.155462500014</v>
      </c>
      <c r="F5" s="287">
        <f>+FCLPROYECTADO!G12</f>
        <v>74886.660016750015</v>
      </c>
      <c r="G5" s="287">
        <f>+FCLPROYECTADO!H12</f>
        <v>79652.992828025061</v>
      </c>
      <c r="H5" s="287">
        <f>+FCLPROYECTADO!I12</f>
        <v>84351.49228234755</v>
      </c>
      <c r="I5" s="287">
        <f>+FCLPROYECTADO!J12</f>
        <v>88866.481716406328</v>
      </c>
      <c r="J5" s="287">
        <f>+FCLPROYECTADO!K12</f>
        <v>93048.938135035773</v>
      </c>
      <c r="K5" s="287">
        <f>+FCLPROYECTADO!L12</f>
        <v>96708.801844925969</v>
      </c>
      <c r="L5" s="287">
        <f>+FCLPROYECTADO!M12</f>
        <v>99605.645905082463</v>
      </c>
      <c r="M5" s="287">
        <f>+FCLPROYECTADO!N12</f>
        <v>101437.36714638735</v>
      </c>
    </row>
    <row r="6" spans="3:13" x14ac:dyDescent="0.25">
      <c r="C6" s="286" t="s">
        <v>718</v>
      </c>
      <c r="D6" s="287">
        <f>+FCLPROYECTADO!E15</f>
        <v>43218.998773500003</v>
      </c>
      <c r="E6" s="287">
        <f>+FCLPROYECTADO!F15</f>
        <v>46293.162605250007</v>
      </c>
      <c r="F6" s="287">
        <f>+FCLPROYECTADO!G15</f>
        <v>49425.195611055009</v>
      </c>
      <c r="G6" s="287">
        <f>+FCLPROYECTADO!H15</f>
        <v>52570.975266496534</v>
      </c>
      <c r="H6" s="287">
        <f>+FCLPROYECTADO!I15</f>
        <v>55671.984906349382</v>
      </c>
      <c r="I6" s="287">
        <f>+FCLPROYECTADO!J15</f>
        <v>58651.877932828174</v>
      </c>
      <c r="J6" s="287">
        <f>+FCLPROYECTADO!K15</f>
        <v>61412.299169123609</v>
      </c>
      <c r="K6" s="287">
        <f>+FCLPROYECTADO!L15</f>
        <v>63827.809217651135</v>
      </c>
      <c r="L6" s="287">
        <f>+FCLPROYECTADO!M15</f>
        <v>65739.726297354413</v>
      </c>
      <c r="M6" s="287">
        <f>+FCLPROYECTADO!N15</f>
        <v>66948.66231661565</v>
      </c>
    </row>
    <row r="7" spans="3:13" hidden="1" x14ac:dyDescent="0.25">
      <c r="C7" s="286" t="s">
        <v>478</v>
      </c>
      <c r="D7" s="288">
        <f>+VRACIONPAT!C18</f>
        <v>0.10335142923057013</v>
      </c>
      <c r="E7" s="288">
        <f>+VRACIONPAT!D18</f>
        <v>0.1004846508512071</v>
      </c>
      <c r="F7" s="288">
        <f>+VRACIONPAT!E18</f>
        <v>9.9837639744518702E-2</v>
      </c>
      <c r="G7" s="288">
        <f>+VRACIONPAT!F18</f>
        <v>9.907966357909187E-2</v>
      </c>
      <c r="H7" s="288">
        <f>+VRACIONPAT!G18</f>
        <v>9.8237441739034759E-2</v>
      </c>
      <c r="I7" s="288">
        <f>+VRACIONPAT!H18</f>
        <v>9.7384745973950512E-2</v>
      </c>
      <c r="J7" s="288">
        <f>+VRACIONPAT!I18</f>
        <v>9.6385307132758724E-2</v>
      </c>
      <c r="K7" s="288">
        <f>+VRACIONPAT!J18</f>
        <v>9.5369552531121088E-2</v>
      </c>
      <c r="L7" s="288">
        <f>+VRACIONPAT!K18</f>
        <v>9.4359623736058953E-2</v>
      </c>
      <c r="M7" s="288">
        <f>+VRACIONPAT!L18</f>
        <v>9.3270341981054314E-2</v>
      </c>
    </row>
    <row r="8" spans="3:13" x14ac:dyDescent="0.25">
      <c r="C8" s="286" t="s">
        <v>719</v>
      </c>
      <c r="D8" s="287">
        <f>+FCLPROYECTADO!E28</f>
        <v>49270.922004520085</v>
      </c>
      <c r="E8" s="287">
        <f>+FCLPROYECTADO!F28</f>
        <v>68272.877440564596</v>
      </c>
      <c r="F8" s="287">
        <f>+FCLPROYECTADO!G28</f>
        <v>71232.471382563468</v>
      </c>
      <c r="G8" s="287">
        <f>+FCLPROYECTADO!H28</f>
        <v>76835.433417706925</v>
      </c>
      <c r="H8" s="287">
        <f>+FCLPROYECTADO!I28</f>
        <v>83524.889834236252</v>
      </c>
      <c r="I8" s="287">
        <f>+FCLPROYECTADO!J28</f>
        <v>90207.133223382683</v>
      </c>
      <c r="J8" s="287">
        <f>+FCLPROYECTADO!K28</f>
        <v>93085.968148675442</v>
      </c>
      <c r="K8" s="287">
        <f>+FCLPROYECTADO!L28</f>
        <v>101460.90532028783</v>
      </c>
      <c r="L8" s="287">
        <f>+FCLPROYECTADO!M28</f>
        <v>107298.45238312044</v>
      </c>
      <c r="M8" s="287">
        <f>+FCLPROYECTADO!N28</f>
        <v>112676.08308219929</v>
      </c>
    </row>
    <row r="33" spans="4:14" x14ac:dyDescent="0.25">
      <c r="E33" s="289">
        <v>2014</v>
      </c>
      <c r="F33" s="289">
        <v>2015</v>
      </c>
      <c r="G33" s="289">
        <v>2016</v>
      </c>
      <c r="H33" s="289">
        <v>2017</v>
      </c>
      <c r="I33" s="289">
        <v>2018</v>
      </c>
      <c r="J33" s="289">
        <v>2019</v>
      </c>
      <c r="K33" s="289">
        <v>2020</v>
      </c>
      <c r="L33" s="289">
        <v>2021</v>
      </c>
      <c r="M33" s="289">
        <v>2022</v>
      </c>
      <c r="N33" s="289">
        <v>2023</v>
      </c>
    </row>
    <row r="34" spans="4:14" x14ac:dyDescent="0.25">
      <c r="D34" t="s">
        <v>1979</v>
      </c>
      <c r="E34" s="209">
        <f>+'BGPR2008-2023'!K32</f>
        <v>42852.315000000002</v>
      </c>
      <c r="F34" s="209">
        <f>+'BGPR2008-2023'!L32</f>
        <v>49059.315000000002</v>
      </c>
      <c r="G34" s="209">
        <f>+'BGPR2008-2023'!M32</f>
        <v>55266.315000000002</v>
      </c>
      <c r="H34" s="209">
        <f>+'BGPR2008-2023'!N32</f>
        <v>61473.315000000002</v>
      </c>
      <c r="I34" s="209">
        <f>+'BGPR2008-2023'!O32</f>
        <v>67680.315000000002</v>
      </c>
      <c r="J34" s="209">
        <f>+'BGPR2008-2023'!P32</f>
        <v>73887.315000000002</v>
      </c>
      <c r="K34" s="209">
        <f>+'BGPR2008-2023'!Q32</f>
        <v>80094.315000000002</v>
      </c>
      <c r="L34" s="209">
        <f>+'BGPR2008-2023'!R32</f>
        <v>86301.315000000002</v>
      </c>
      <c r="M34" s="209">
        <f>+'BGPR2008-2023'!S32</f>
        <v>92508.315000000002</v>
      </c>
      <c r="N34" s="209">
        <f>+'BGPR2008-2023'!T32</f>
        <v>98715.315000000002</v>
      </c>
    </row>
    <row r="35" spans="4:14" x14ac:dyDescent="0.25">
      <c r="D35" t="s">
        <v>1980</v>
      </c>
      <c r="E35" s="209">
        <f>+'BGPR2008-2023'!K18+'BGPR2008-2023'!K29</f>
        <v>319057.59957123292</v>
      </c>
      <c r="F35" s="209">
        <f>+'BGPR2008-2023'!L18+'BGPR2008-2023'!L29</f>
        <v>321462.09162597265</v>
      </c>
      <c r="G35" s="209">
        <f>+'BGPR2008-2023'!M18+'BGPR2008-2023'!M29</f>
        <v>355846.32800875074</v>
      </c>
      <c r="H35" s="209">
        <f>+'BGPR2008-2023'!N18+'BGPR2008-2023'!N29</f>
        <v>391430.96080962586</v>
      </c>
      <c r="I35" s="209">
        <f>+'BGPR2008-2023'!O18+'BGPR2008-2023'!O29</f>
        <v>430574.05689058849</v>
      </c>
      <c r="J35" s="209">
        <f>+'BGPR2008-2023'!P18+'BGPR2008-2023'!P29</f>
        <v>473631.46257964743</v>
      </c>
      <c r="K35" s="209">
        <f>+'BGPR2008-2023'!Q18+'BGPR2008-2023'!Q29</f>
        <v>520994.60883761215</v>
      </c>
      <c r="L35" s="209">
        <f>+'BGPR2008-2023'!R18+'BGPR2008-2023'!R29</f>
        <v>573094.0697213735</v>
      </c>
      <c r="M35" s="209">
        <f>+'BGPR2008-2023'!S18+'BGPR2008-2023'!S29</f>
        <v>630403.47669351089</v>
      </c>
      <c r="N35" s="209">
        <f>+'BGPR2008-2023'!T18+'BGPR2008-2023'!T29</f>
        <v>693443.82436286204</v>
      </c>
    </row>
    <row r="54" spans="4:14" x14ac:dyDescent="0.25">
      <c r="E54" s="289">
        <v>2014</v>
      </c>
      <c r="F54" s="289">
        <v>2015</v>
      </c>
      <c r="G54" s="289">
        <v>2016</v>
      </c>
      <c r="H54" s="289">
        <v>2017</v>
      </c>
      <c r="I54" s="289">
        <v>2018</v>
      </c>
      <c r="J54" s="289">
        <v>2019</v>
      </c>
      <c r="K54" s="289">
        <v>2020</v>
      </c>
      <c r="L54" s="289">
        <v>2021</v>
      </c>
      <c r="M54" s="289">
        <v>2022</v>
      </c>
      <c r="N54" s="289">
        <v>2023</v>
      </c>
    </row>
    <row r="55" spans="4:14" x14ac:dyDescent="0.25">
      <c r="D55" t="s">
        <v>1981</v>
      </c>
      <c r="E55" s="139">
        <f>+'ERPR2008-2023'!K14</f>
        <v>337553.69230000005</v>
      </c>
      <c r="F55" s="139">
        <f>+'ERPR2008-2023'!L14</f>
        <v>371309.06153000006</v>
      </c>
      <c r="G55" s="139">
        <f>+'ERPR2008-2023'!M14</f>
        <v>408439.96768300008</v>
      </c>
      <c r="H55" s="139">
        <f>+'ERPR2008-2023'!N14</f>
        <v>449283.96445130015</v>
      </c>
      <c r="I55" s="139">
        <f>+'ERPR2008-2023'!O14</f>
        <v>494212.36089643021</v>
      </c>
      <c r="J55" s="139">
        <f>+'ERPR2008-2023'!P14</f>
        <v>543633.5969860733</v>
      </c>
      <c r="K55" s="139">
        <f>+'ERPR2008-2023'!Q14</f>
        <v>597996.95668468066</v>
      </c>
      <c r="L55" s="139">
        <f>+'ERPR2008-2023'!R14</f>
        <v>657796.65235314879</v>
      </c>
      <c r="M55" s="139">
        <f>+'ERPR2008-2023'!S14</f>
        <v>723576.31758846377</v>
      </c>
      <c r="N55" s="139">
        <f>+'ERPR2008-2023'!T14</f>
        <v>795933.94934731023</v>
      </c>
    </row>
    <row r="56" spans="4:14" x14ac:dyDescent="0.25">
      <c r="D56" t="s">
        <v>1982</v>
      </c>
      <c r="E56" s="139">
        <f>-'ERPR2008-2023'!K17</f>
        <v>253165.26922500005</v>
      </c>
      <c r="F56" s="139">
        <f>-'ERPR2008-2023'!L17</f>
        <v>278481.79614750005</v>
      </c>
      <c r="G56" s="139">
        <f>-'ERPR2008-2023'!M17</f>
        <v>306329.97576225008</v>
      </c>
      <c r="H56" s="139">
        <f>-'ERPR2008-2023'!N17</f>
        <v>336962.9733384751</v>
      </c>
      <c r="I56" s="139">
        <f>-'ERPR2008-2023'!O17</f>
        <v>370659.27067232266</v>
      </c>
      <c r="J56" s="139">
        <f>-'ERPR2008-2023'!P17</f>
        <v>407725.19773955498</v>
      </c>
      <c r="K56" s="139">
        <f>-'ERPR2008-2023'!Q17</f>
        <v>448497.71751351049</v>
      </c>
      <c r="L56" s="139">
        <f>-'ERPR2008-2023'!R17</f>
        <v>493347.48926486156</v>
      </c>
      <c r="M56" s="139">
        <f>-'ERPR2008-2023'!S17</f>
        <v>542682.2381913478</v>
      </c>
      <c r="N56" s="139">
        <f>-'ERPR2008-2023'!T17</f>
        <v>596950.46201048268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J114"/>
  <sheetViews>
    <sheetView showGridLines="0" topLeftCell="B1" workbookViewId="0">
      <selection activeCell="J13" sqref="J13"/>
    </sheetView>
  </sheetViews>
  <sheetFormatPr baseColWidth="10" defaultRowHeight="15" x14ac:dyDescent="0.25"/>
  <cols>
    <col min="1" max="1" width="11.42578125" style="2"/>
    <col min="2" max="3" width="11.42578125" style="2" customWidth="1"/>
    <col min="4" max="4" width="40.7109375" style="2" bestFit="1" customWidth="1"/>
    <col min="5" max="6" width="13.42578125" style="2" bestFit="1" customWidth="1"/>
    <col min="7" max="10" width="16.7109375" style="2" bestFit="1" customWidth="1"/>
    <col min="11" max="16384" width="11.42578125" style="2"/>
  </cols>
  <sheetData>
    <row r="7" spans="3:10" ht="15.75" thickBot="1" x14ac:dyDescent="0.3"/>
    <row r="8" spans="3:10" ht="24" customHeight="1" thickBot="1" x14ac:dyDescent="0.3">
      <c r="D8" s="380" t="s">
        <v>714</v>
      </c>
      <c r="E8" s="381"/>
      <c r="F8" s="381"/>
      <c r="G8" s="381"/>
      <c r="H8" s="381"/>
      <c r="I8" s="381"/>
      <c r="J8" s="382"/>
    </row>
    <row r="9" spans="3:10" x14ac:dyDescent="0.25">
      <c r="D9" s="34" t="s">
        <v>209</v>
      </c>
      <c r="E9" s="59">
        <v>1000</v>
      </c>
    </row>
    <row r="10" spans="3:10" x14ac:dyDescent="0.25">
      <c r="C10" s="1"/>
      <c r="D10" s="3"/>
      <c r="E10" s="4">
        <v>2008</v>
      </c>
      <c r="F10" s="4">
        <v>2009</v>
      </c>
      <c r="G10" s="4">
        <v>2010</v>
      </c>
      <c r="H10" s="4">
        <v>2011</v>
      </c>
      <c r="I10" s="4">
        <v>2012</v>
      </c>
      <c r="J10" s="4">
        <v>2013</v>
      </c>
    </row>
    <row r="11" spans="3:10" x14ac:dyDescent="0.25">
      <c r="C11" s="1"/>
      <c r="D11" s="3"/>
      <c r="E11" s="3"/>
      <c r="F11" s="3"/>
      <c r="G11" s="3"/>
      <c r="H11" s="3"/>
      <c r="I11" s="3"/>
      <c r="J11" s="3"/>
    </row>
    <row r="12" spans="3:10" x14ac:dyDescent="0.25">
      <c r="C12" s="1"/>
      <c r="D12" s="11" t="s">
        <v>59</v>
      </c>
      <c r="E12" s="12"/>
      <c r="F12" s="12"/>
      <c r="G12" s="12"/>
      <c r="H12" s="12"/>
      <c r="I12" s="12"/>
      <c r="J12" s="12"/>
    </row>
    <row r="13" spans="3:10" x14ac:dyDescent="0.25">
      <c r="C13" s="1"/>
      <c r="D13" s="21" t="s">
        <v>60</v>
      </c>
      <c r="E13" s="22">
        <v>191413.47700000001</v>
      </c>
      <c r="F13" s="22">
        <v>222721.31599999999</v>
      </c>
      <c r="G13" s="22">
        <v>214414.239</v>
      </c>
      <c r="H13" s="22">
        <v>239826.701</v>
      </c>
      <c r="I13" s="22">
        <v>264981.21799999999</v>
      </c>
      <c r="J13" s="22">
        <v>306866.99300000002</v>
      </c>
    </row>
    <row r="14" spans="3:10" x14ac:dyDescent="0.25">
      <c r="D14" s="5" t="s">
        <v>61</v>
      </c>
      <c r="E14" s="7">
        <f>+E13</f>
        <v>191413.47700000001</v>
      </c>
      <c r="F14" s="7">
        <f t="shared" ref="F14:I14" si="0">+F13</f>
        <v>222721.31599999999</v>
      </c>
      <c r="G14" s="7">
        <f t="shared" si="0"/>
        <v>214414.239</v>
      </c>
      <c r="H14" s="7">
        <f t="shared" si="0"/>
        <v>239826.701</v>
      </c>
      <c r="I14" s="7">
        <f t="shared" si="0"/>
        <v>264981.21799999999</v>
      </c>
      <c r="J14" s="7">
        <f t="shared" ref="J14" si="1">+J13</f>
        <v>306866.99300000002</v>
      </c>
    </row>
    <row r="15" spans="3:10" x14ac:dyDescent="0.25">
      <c r="D15" s="5"/>
      <c r="E15" s="7"/>
      <c r="F15" s="7"/>
      <c r="G15" s="7"/>
      <c r="H15" s="7"/>
      <c r="I15" s="7"/>
      <c r="J15" s="7"/>
    </row>
    <row r="16" spans="3:10" x14ac:dyDescent="0.25">
      <c r="D16" s="11" t="s">
        <v>62</v>
      </c>
      <c r="E16" s="13"/>
      <c r="F16" s="13"/>
      <c r="G16" s="13"/>
      <c r="H16" s="13"/>
      <c r="I16" s="13"/>
      <c r="J16" s="13"/>
    </row>
    <row r="17" spans="4:10" x14ac:dyDescent="0.25">
      <c r="D17" s="21" t="s">
        <v>63</v>
      </c>
      <c r="E17" s="22">
        <v>-162694.41099999999</v>
      </c>
      <c r="F17" s="22">
        <v>-183376.93700000001</v>
      </c>
      <c r="G17" s="22">
        <v>-195135.8</v>
      </c>
      <c r="H17" s="22">
        <v>-204288.12100000001</v>
      </c>
      <c r="I17" s="22">
        <v>-230679.09</v>
      </c>
      <c r="J17" s="22">
        <v>-246877.611</v>
      </c>
    </row>
    <row r="18" spans="4:10" x14ac:dyDescent="0.25">
      <c r="D18" s="5" t="s">
        <v>64</v>
      </c>
      <c r="E18" s="7">
        <f>+E17</f>
        <v>-162694.41099999999</v>
      </c>
      <c r="F18" s="7">
        <f t="shared" ref="F18:I18" si="2">+F17</f>
        <v>-183376.93700000001</v>
      </c>
      <c r="G18" s="7">
        <f t="shared" si="2"/>
        <v>-195135.8</v>
      </c>
      <c r="H18" s="7">
        <f t="shared" si="2"/>
        <v>-204288.12100000001</v>
      </c>
      <c r="I18" s="7">
        <f t="shared" si="2"/>
        <v>-230679.09</v>
      </c>
      <c r="J18" s="7">
        <f t="shared" ref="J18" si="3">+J17</f>
        <v>-246877.611</v>
      </c>
    </row>
    <row r="19" spans="4:10" x14ac:dyDescent="0.25">
      <c r="D19" s="5"/>
      <c r="E19" s="7"/>
      <c r="F19" s="7"/>
      <c r="G19" s="7"/>
      <c r="H19" s="7"/>
      <c r="I19" s="7"/>
      <c r="J19" s="7"/>
    </row>
    <row r="20" spans="4:10" x14ac:dyDescent="0.25">
      <c r="D20" s="5" t="s">
        <v>65</v>
      </c>
      <c r="E20" s="7">
        <f>+E14+E18</f>
        <v>28719.066000000021</v>
      </c>
      <c r="F20" s="7">
        <f t="shared" ref="F20:I20" si="4">+F14+F18</f>
        <v>39344.378999999986</v>
      </c>
      <c r="G20" s="7">
        <f t="shared" si="4"/>
        <v>19278.439000000013</v>
      </c>
      <c r="H20" s="7">
        <f t="shared" si="4"/>
        <v>35538.579999999987</v>
      </c>
      <c r="I20" s="7">
        <f t="shared" si="4"/>
        <v>34302.127999999997</v>
      </c>
      <c r="J20" s="7">
        <f t="shared" ref="J20" si="5">+J14+J18</f>
        <v>59989.382000000012</v>
      </c>
    </row>
    <row r="21" spans="4:10" x14ac:dyDescent="0.25">
      <c r="D21" s="9"/>
      <c r="E21" s="10"/>
      <c r="F21" s="10"/>
      <c r="G21" s="10"/>
      <c r="H21" s="10"/>
      <c r="I21" s="10"/>
      <c r="J21" s="10"/>
    </row>
    <row r="22" spans="4:10" x14ac:dyDescent="0.25">
      <c r="D22" s="21" t="s">
        <v>66</v>
      </c>
      <c r="E22" s="22">
        <v>-7780.2479999999996</v>
      </c>
      <c r="F22" s="22">
        <v>-13694.688</v>
      </c>
      <c r="G22" s="22">
        <v>-9113.8700000000008</v>
      </c>
      <c r="H22" s="22">
        <v>-11978.58</v>
      </c>
      <c r="I22" s="22">
        <v>-12745.097</v>
      </c>
      <c r="J22" s="22">
        <v>-15754.243</v>
      </c>
    </row>
    <row r="23" spans="4:10" x14ac:dyDescent="0.25">
      <c r="D23" s="9"/>
      <c r="E23" s="10"/>
      <c r="F23" s="10"/>
      <c r="G23" s="10"/>
      <c r="H23" s="10"/>
      <c r="I23" s="10"/>
      <c r="J23" s="10"/>
    </row>
    <row r="24" spans="4:10" x14ac:dyDescent="0.25">
      <c r="D24" s="5" t="s">
        <v>67</v>
      </c>
      <c r="E24" s="7">
        <f>+E20+E22</f>
        <v>20938.818000000021</v>
      </c>
      <c r="F24" s="7">
        <f t="shared" ref="F24:J24" si="6">+F20+F22</f>
        <v>25649.690999999984</v>
      </c>
      <c r="G24" s="7">
        <f t="shared" si="6"/>
        <v>10164.569000000012</v>
      </c>
      <c r="H24" s="7">
        <f t="shared" si="6"/>
        <v>23559.999999999985</v>
      </c>
      <c r="I24" s="7">
        <f t="shared" si="6"/>
        <v>21557.030999999995</v>
      </c>
      <c r="J24" s="7">
        <f t="shared" si="6"/>
        <v>44235.13900000001</v>
      </c>
    </row>
    <row r="25" spans="4:10" x14ac:dyDescent="0.25">
      <c r="D25" s="5"/>
      <c r="E25" s="7"/>
      <c r="F25" s="7"/>
      <c r="G25" s="7"/>
      <c r="H25" s="7"/>
      <c r="I25" s="7"/>
      <c r="J25" s="7"/>
    </row>
    <row r="26" spans="4:10" x14ac:dyDescent="0.25">
      <c r="D26" s="5" t="s">
        <v>68</v>
      </c>
      <c r="E26" s="10"/>
      <c r="F26" s="10"/>
      <c r="G26" s="10"/>
      <c r="H26" s="10"/>
      <c r="I26" s="10"/>
      <c r="J26" s="10"/>
    </row>
    <row r="27" spans="4:10" x14ac:dyDescent="0.25">
      <c r="D27" s="21" t="s">
        <v>69</v>
      </c>
      <c r="E27" s="22">
        <v>8721.5460000000003</v>
      </c>
      <c r="F27" s="22">
        <v>16878.544999999998</v>
      </c>
      <c r="G27" s="22">
        <v>20982.376</v>
      </c>
      <c r="H27" s="22">
        <v>33788.159</v>
      </c>
      <c r="I27" s="22">
        <v>31851.146000000001</v>
      </c>
      <c r="J27" s="22">
        <v>37393.591999999997</v>
      </c>
    </row>
    <row r="28" spans="4:10" x14ac:dyDescent="0.25">
      <c r="D28" s="21" t="s">
        <v>70</v>
      </c>
      <c r="E28" s="22">
        <v>-895.60699999999997</v>
      </c>
      <c r="F28" s="22">
        <v>-4113.2629999999999</v>
      </c>
      <c r="G28" s="22">
        <v>-795.66</v>
      </c>
      <c r="H28" s="22">
        <v>-3034.922</v>
      </c>
      <c r="I28" s="22">
        <v>-5513.6229999999996</v>
      </c>
      <c r="J28" s="22">
        <v>-2819.1680000000001</v>
      </c>
    </row>
    <row r="29" spans="4:10" x14ac:dyDescent="0.25">
      <c r="D29" s="11" t="s">
        <v>71</v>
      </c>
      <c r="E29" s="14">
        <f>SUM(E27:E28)</f>
        <v>7825.9390000000003</v>
      </c>
      <c r="F29" s="14">
        <f t="shared" ref="F29:J29" si="7">SUM(F27:F28)</f>
        <v>12765.281999999999</v>
      </c>
      <c r="G29" s="14">
        <f t="shared" si="7"/>
        <v>20186.716</v>
      </c>
      <c r="H29" s="14">
        <f t="shared" si="7"/>
        <v>30753.237000000001</v>
      </c>
      <c r="I29" s="14">
        <f t="shared" si="7"/>
        <v>26337.523000000001</v>
      </c>
      <c r="J29" s="14">
        <f t="shared" si="7"/>
        <v>34574.423999999999</v>
      </c>
    </row>
    <row r="30" spans="4:10" x14ac:dyDescent="0.25">
      <c r="D30" s="11"/>
      <c r="E30" s="14"/>
      <c r="F30" s="14"/>
      <c r="G30" s="14"/>
      <c r="H30" s="14"/>
      <c r="I30" s="14"/>
      <c r="J30" s="14"/>
    </row>
    <row r="31" spans="4:10" x14ac:dyDescent="0.25">
      <c r="D31" s="11" t="s">
        <v>79</v>
      </c>
      <c r="E31" s="14">
        <f>+E24+E29</f>
        <v>28764.75700000002</v>
      </c>
      <c r="F31" s="14">
        <f t="shared" ref="F31:I31" si="8">+F24+F29</f>
        <v>38414.972999999984</v>
      </c>
      <c r="G31" s="14">
        <f t="shared" si="8"/>
        <v>30351.285000000011</v>
      </c>
      <c r="H31" s="14">
        <f t="shared" si="8"/>
        <v>54313.236999999986</v>
      </c>
      <c r="I31" s="14">
        <f t="shared" si="8"/>
        <v>47894.553999999996</v>
      </c>
      <c r="J31" s="14">
        <f t="shared" ref="J31" si="9">+J24+J29</f>
        <v>78809.563000000009</v>
      </c>
    </row>
    <row r="32" spans="4:10" x14ac:dyDescent="0.25">
      <c r="D32" s="51"/>
      <c r="E32" s="14"/>
      <c r="F32" s="14"/>
      <c r="G32" s="14"/>
      <c r="H32" s="14"/>
      <c r="I32" s="14"/>
      <c r="J32" s="14"/>
    </row>
    <row r="33" spans="4:10" x14ac:dyDescent="0.25">
      <c r="D33" s="51" t="s">
        <v>72</v>
      </c>
      <c r="E33" s="13"/>
      <c r="F33" s="13"/>
      <c r="G33" s="13"/>
      <c r="H33" s="13"/>
      <c r="I33" s="13"/>
      <c r="J33" s="13"/>
    </row>
    <row r="34" spans="4:10" x14ac:dyDescent="0.25">
      <c r="D34" s="21" t="s">
        <v>73</v>
      </c>
      <c r="E34" s="22">
        <v>1565.0889999999999</v>
      </c>
      <c r="F34" s="22">
        <v>7978.4639999999999</v>
      </c>
      <c r="G34" s="22">
        <v>4462.2950000000001</v>
      </c>
      <c r="H34" s="22">
        <v>2979.1790000000001</v>
      </c>
      <c r="I34" s="22">
        <v>8370.9549999999999</v>
      </c>
      <c r="J34" s="22">
        <v>2680.241</v>
      </c>
    </row>
    <row r="35" spans="4:10" x14ac:dyDescent="0.25">
      <c r="D35" s="21" t="s">
        <v>74</v>
      </c>
      <c r="E35" s="22">
        <v>-7975.8959999999997</v>
      </c>
      <c r="F35" s="22">
        <v>-9841.4979999999996</v>
      </c>
      <c r="G35" s="22">
        <v>-9047.1479999999992</v>
      </c>
      <c r="H35" s="22">
        <v>-9638.1409999999996</v>
      </c>
      <c r="I35" s="22">
        <v>-16239.825000000001</v>
      </c>
      <c r="J35" s="22">
        <v>-6731.7640000000001</v>
      </c>
    </row>
    <row r="36" spans="4:10" x14ac:dyDescent="0.25">
      <c r="D36" s="51" t="s">
        <v>75</v>
      </c>
      <c r="E36" s="14">
        <f>SUM(E34:E35)</f>
        <v>-6410.8069999999998</v>
      </c>
      <c r="F36" s="14">
        <f t="shared" ref="F36:J36" si="10">SUM(F34:F35)</f>
        <v>-1863.0339999999997</v>
      </c>
      <c r="G36" s="14">
        <f t="shared" si="10"/>
        <v>-4584.8529999999992</v>
      </c>
      <c r="H36" s="14">
        <f t="shared" si="10"/>
        <v>-6658.9619999999995</v>
      </c>
      <c r="I36" s="14">
        <f t="shared" si="10"/>
        <v>-7868.8700000000008</v>
      </c>
      <c r="J36" s="14">
        <f t="shared" si="10"/>
        <v>-4051.5230000000001</v>
      </c>
    </row>
    <row r="37" spans="4:10" s="13" customFormat="1" x14ac:dyDescent="0.25">
      <c r="D37" s="9"/>
      <c r="E37" s="10"/>
      <c r="F37" s="10"/>
      <c r="G37" s="10"/>
      <c r="H37" s="10"/>
      <c r="I37" s="10"/>
      <c r="J37" s="10"/>
    </row>
    <row r="38" spans="4:10" x14ac:dyDescent="0.25">
      <c r="D38" s="51" t="s">
        <v>76</v>
      </c>
      <c r="E38" s="14">
        <f t="shared" ref="E38:G38" si="11">+E31+E36</f>
        <v>22353.950000000019</v>
      </c>
      <c r="F38" s="14">
        <f t="shared" si="11"/>
        <v>36551.938999999984</v>
      </c>
      <c r="G38" s="14">
        <f t="shared" si="11"/>
        <v>25766.432000000012</v>
      </c>
      <c r="H38" s="14">
        <f>+H31+H36</f>
        <v>47654.274999999987</v>
      </c>
      <c r="I38" s="14">
        <f>+I31+I36</f>
        <v>40025.683999999994</v>
      </c>
      <c r="J38" s="14">
        <f>+J31+J36</f>
        <v>74758.040000000008</v>
      </c>
    </row>
    <row r="39" spans="4:10" s="13" customFormat="1" x14ac:dyDescent="0.25">
      <c r="D39" s="9"/>
      <c r="E39" s="10"/>
      <c r="F39" s="10"/>
      <c r="G39" s="10"/>
      <c r="H39" s="10"/>
      <c r="I39" s="10"/>
      <c r="J39" s="10"/>
    </row>
    <row r="40" spans="4:10" x14ac:dyDescent="0.25">
      <c r="D40" s="21" t="s">
        <v>77</v>
      </c>
      <c r="E40" s="22">
        <v>-3458.587</v>
      </c>
      <c r="F40" s="22">
        <v>-4903.01</v>
      </c>
      <c r="G40" s="22">
        <v>-900.26</v>
      </c>
      <c r="H40" s="22">
        <v>-6060.4970000000003</v>
      </c>
      <c r="I40" s="22">
        <v>-8274.8089999999993</v>
      </c>
      <c r="J40" s="22">
        <v>-18954.278999999999</v>
      </c>
    </row>
    <row r="41" spans="4:10" x14ac:dyDescent="0.25">
      <c r="D41" s="9"/>
      <c r="E41" s="10"/>
      <c r="F41" s="10"/>
      <c r="G41" s="10"/>
      <c r="H41" s="10"/>
      <c r="I41" s="10"/>
      <c r="J41" s="10"/>
    </row>
    <row r="42" spans="4:10" x14ac:dyDescent="0.25">
      <c r="D42" s="51" t="s">
        <v>78</v>
      </c>
      <c r="E42" s="14">
        <f>+E38+E40</f>
        <v>18895.363000000019</v>
      </c>
      <c r="F42" s="14">
        <f t="shared" ref="F42:I42" si="12">+F38+F40</f>
        <v>31648.928999999982</v>
      </c>
      <c r="G42" s="14">
        <f t="shared" si="12"/>
        <v>24866.172000000013</v>
      </c>
      <c r="H42" s="14">
        <f>+H38+H40</f>
        <v>41593.777999999984</v>
      </c>
      <c r="I42" s="14">
        <f t="shared" si="12"/>
        <v>31750.874999999993</v>
      </c>
      <c r="J42" s="14">
        <f t="shared" ref="J42" si="13">+J38+J40</f>
        <v>55803.761000000013</v>
      </c>
    </row>
    <row r="43" spans="4:10" x14ac:dyDescent="0.25">
      <c r="D43" s="51"/>
      <c r="E43" s="9"/>
      <c r="F43" s="9"/>
      <c r="G43" s="9"/>
      <c r="H43" s="9"/>
      <c r="I43" s="9"/>
      <c r="J43" s="9"/>
    </row>
    <row r="44" spans="4:10" x14ac:dyDescent="0.25">
      <c r="D44" s="51" t="s">
        <v>293</v>
      </c>
      <c r="E44" s="9"/>
      <c r="F44" s="9"/>
      <c r="G44" s="9">
        <v>46.542999999999999</v>
      </c>
      <c r="H44" s="9">
        <v>90.53</v>
      </c>
      <c r="I44" s="9">
        <v>55.28</v>
      </c>
      <c r="J44" s="9">
        <v>97.16</v>
      </c>
    </row>
    <row r="45" spans="4:10" x14ac:dyDescent="0.25">
      <c r="D45" s="51"/>
      <c r="E45" s="9"/>
      <c r="F45" s="9"/>
      <c r="G45" s="9"/>
      <c r="H45" s="9"/>
      <c r="I45" s="9"/>
      <c r="J45" s="9"/>
    </row>
    <row r="46" spans="4:10" x14ac:dyDescent="0.25">
      <c r="D46" s="51" t="s">
        <v>294</v>
      </c>
      <c r="E46" s="10" t="e">
        <f t="shared" ref="E46:H46" si="14">+E42/E44</f>
        <v>#DIV/0!</v>
      </c>
      <c r="F46" s="10" t="e">
        <f t="shared" si="14"/>
        <v>#DIV/0!</v>
      </c>
      <c r="G46" s="342">
        <f t="shared" si="14"/>
        <v>534.26233805298352</v>
      </c>
      <c r="H46" s="342">
        <f t="shared" si="14"/>
        <v>459.44745388269064</v>
      </c>
      <c r="I46" s="342">
        <f>+I42/I44</f>
        <v>574.36459840810403</v>
      </c>
      <c r="J46" s="342">
        <f>+J42/J44</f>
        <v>574.34912515438464</v>
      </c>
    </row>
    <row r="47" spans="4:10" x14ac:dyDescent="0.25">
      <c r="D47" s="51"/>
      <c r="E47" s="10"/>
      <c r="F47" s="10"/>
      <c r="G47" s="10"/>
      <c r="H47" s="10"/>
      <c r="I47" s="10"/>
      <c r="J47" s="10"/>
    </row>
    <row r="48" spans="4:10" s="59" customFormat="1" x14ac:dyDescent="0.25">
      <c r="D48" s="61" t="s">
        <v>208</v>
      </c>
      <c r="E48" s="62">
        <f>+E42-'BG2008-2013'!E90</f>
        <v>0</v>
      </c>
      <c r="F48" s="62">
        <f>+F42-'BG2008-2013'!F90</f>
        <v>0</v>
      </c>
      <c r="G48" s="62">
        <f>+G42-'BG2008-2013'!G90</f>
        <v>0</v>
      </c>
      <c r="H48" s="62">
        <f>+H42-'BG2008-2013'!H90</f>
        <v>0</v>
      </c>
      <c r="I48" s="62">
        <f>+I42-'BG2008-2013'!I90</f>
        <v>0</v>
      </c>
      <c r="J48" s="62"/>
    </row>
    <row r="49" spans="4:10" x14ac:dyDescent="0.25">
      <c r="D49" s="51"/>
      <c r="E49" s="14"/>
      <c r="F49" s="14"/>
      <c r="G49" s="14"/>
      <c r="H49" s="14"/>
      <c r="I49" s="14"/>
      <c r="J49" s="14"/>
    </row>
    <row r="50" spans="4:10" x14ac:dyDescent="0.25">
      <c r="D50" s="13"/>
      <c r="E50" s="13"/>
      <c r="F50" s="13"/>
      <c r="G50" s="13"/>
      <c r="H50" s="13"/>
      <c r="I50" s="13"/>
      <c r="J50" s="13"/>
    </row>
    <row r="51" spans="4:10" x14ac:dyDescent="0.25">
      <c r="D51" s="9"/>
      <c r="E51" s="10"/>
      <c r="F51" s="10"/>
      <c r="G51" s="10"/>
      <c r="H51" s="10"/>
      <c r="I51" s="10"/>
      <c r="J51" s="10"/>
    </row>
    <row r="52" spans="4:10" x14ac:dyDescent="0.25">
      <c r="D52" s="9"/>
      <c r="E52" s="10"/>
      <c r="F52" s="10"/>
      <c r="G52" s="10"/>
      <c r="H52" s="10"/>
      <c r="I52" s="10"/>
      <c r="J52" s="10"/>
    </row>
    <row r="53" spans="4:10" x14ac:dyDescent="0.25">
      <c r="D53" s="13"/>
      <c r="E53" s="13"/>
      <c r="F53" s="13"/>
      <c r="G53" s="13"/>
      <c r="H53" s="13"/>
      <c r="I53" s="13"/>
      <c r="J53" s="13"/>
    </row>
    <row r="54" spans="4:10" x14ac:dyDescent="0.25">
      <c r="D54" s="11"/>
      <c r="E54" s="14"/>
      <c r="F54" s="14"/>
      <c r="G54" s="14"/>
      <c r="H54" s="14"/>
      <c r="I54" s="14"/>
      <c r="J54" s="14"/>
    </row>
    <row r="55" spans="4:10" x14ac:dyDescent="0.25">
      <c r="D55" s="13"/>
      <c r="E55" s="13"/>
      <c r="F55" s="13"/>
      <c r="G55" s="13"/>
      <c r="H55" s="13"/>
      <c r="I55" s="13"/>
      <c r="J55" s="13"/>
    </row>
    <row r="56" spans="4:10" x14ac:dyDescent="0.25">
      <c r="D56" s="11"/>
      <c r="E56" s="13"/>
      <c r="F56" s="13"/>
      <c r="G56" s="13"/>
      <c r="H56" s="13"/>
      <c r="I56" s="13"/>
      <c r="J56" s="13"/>
    </row>
    <row r="57" spans="4:10" x14ac:dyDescent="0.25">
      <c r="D57" s="13"/>
      <c r="E57" s="13"/>
      <c r="F57" s="13"/>
      <c r="G57" s="13"/>
      <c r="H57" s="13"/>
      <c r="I57" s="13"/>
      <c r="J57" s="13"/>
    </row>
    <row r="58" spans="4:10" x14ac:dyDescent="0.25">
      <c r="D58" s="11"/>
      <c r="E58" s="13"/>
      <c r="F58" s="13"/>
      <c r="G58" s="13"/>
      <c r="H58" s="13"/>
      <c r="I58" s="13"/>
      <c r="J58" s="13"/>
    </row>
    <row r="59" spans="4:10" x14ac:dyDescent="0.25">
      <c r="D59" s="13"/>
      <c r="E59" s="13"/>
      <c r="F59" s="13"/>
      <c r="G59" s="13"/>
      <c r="H59" s="13"/>
      <c r="I59" s="13"/>
      <c r="J59" s="13"/>
    </row>
    <row r="60" spans="4:10" x14ac:dyDescent="0.25">
      <c r="D60" s="9"/>
      <c r="E60" s="10"/>
      <c r="F60" s="10"/>
      <c r="G60" s="10"/>
      <c r="H60" s="10"/>
      <c r="I60" s="10"/>
      <c r="J60" s="10"/>
    </row>
    <row r="61" spans="4:10" x14ac:dyDescent="0.25">
      <c r="D61" s="9"/>
      <c r="E61" s="10"/>
      <c r="F61" s="10"/>
      <c r="G61" s="10"/>
      <c r="H61" s="10"/>
      <c r="I61" s="10"/>
      <c r="J61" s="10"/>
    </row>
    <row r="62" spans="4:10" x14ac:dyDescent="0.25">
      <c r="D62" s="9"/>
      <c r="E62" s="10"/>
      <c r="F62" s="10"/>
      <c r="G62" s="10"/>
      <c r="H62" s="10"/>
      <c r="I62" s="10"/>
      <c r="J62" s="10"/>
    </row>
    <row r="63" spans="4:10" x14ac:dyDescent="0.25">
      <c r="D63" s="9"/>
      <c r="E63" s="10"/>
      <c r="F63" s="10"/>
      <c r="G63" s="10"/>
      <c r="H63" s="10"/>
      <c r="I63" s="10"/>
      <c r="J63" s="10"/>
    </row>
    <row r="64" spans="4:10" x14ac:dyDescent="0.25">
      <c r="D64" s="9"/>
      <c r="E64" s="10"/>
      <c r="F64" s="10"/>
      <c r="G64" s="10"/>
      <c r="H64" s="10"/>
      <c r="I64" s="10"/>
      <c r="J64" s="10"/>
    </row>
    <row r="65" spans="4:10" x14ac:dyDescent="0.25">
      <c r="D65" s="9"/>
      <c r="E65" s="10"/>
      <c r="F65" s="10"/>
      <c r="G65" s="10"/>
      <c r="H65" s="10"/>
      <c r="I65" s="10"/>
      <c r="J65" s="10"/>
    </row>
    <row r="66" spans="4:10" x14ac:dyDescent="0.25">
      <c r="D66" s="9"/>
      <c r="E66" s="10"/>
      <c r="F66" s="10"/>
      <c r="G66" s="10"/>
      <c r="H66" s="10"/>
      <c r="I66" s="10"/>
      <c r="J66" s="10"/>
    </row>
    <row r="67" spans="4:10" x14ac:dyDescent="0.25">
      <c r="D67" s="9"/>
      <c r="E67" s="10"/>
      <c r="F67" s="10"/>
      <c r="G67" s="10"/>
      <c r="H67" s="10"/>
      <c r="I67" s="10"/>
      <c r="J67" s="10"/>
    </row>
    <row r="68" spans="4:10" x14ac:dyDescent="0.25">
      <c r="D68" s="9"/>
      <c r="E68" s="10"/>
      <c r="F68" s="10"/>
      <c r="G68" s="10"/>
      <c r="H68" s="10"/>
      <c r="I68" s="10"/>
      <c r="J68" s="10"/>
    </row>
    <row r="69" spans="4:10" x14ac:dyDescent="0.25">
      <c r="D69" s="9"/>
      <c r="E69" s="10"/>
      <c r="F69" s="10"/>
      <c r="G69" s="10"/>
      <c r="H69" s="10"/>
      <c r="I69" s="10"/>
      <c r="J69" s="10"/>
    </row>
    <row r="70" spans="4:10" x14ac:dyDescent="0.25">
      <c r="D70" s="13"/>
      <c r="E70" s="13"/>
      <c r="F70" s="13"/>
      <c r="G70" s="13"/>
      <c r="H70" s="13"/>
      <c r="I70" s="13"/>
      <c r="J70" s="13"/>
    </row>
    <row r="71" spans="4:10" x14ac:dyDescent="0.25">
      <c r="D71" s="11"/>
      <c r="E71" s="14"/>
      <c r="F71" s="14"/>
      <c r="G71" s="14"/>
      <c r="H71" s="14"/>
      <c r="I71" s="14"/>
      <c r="J71" s="14"/>
    </row>
    <row r="72" spans="4:10" x14ac:dyDescent="0.25">
      <c r="D72" s="13"/>
      <c r="E72" s="13"/>
      <c r="F72" s="13"/>
      <c r="G72" s="13"/>
      <c r="H72" s="13"/>
      <c r="I72" s="13"/>
      <c r="J72" s="13"/>
    </row>
    <row r="73" spans="4:10" x14ac:dyDescent="0.25">
      <c r="D73" s="11"/>
      <c r="E73" s="13"/>
      <c r="F73" s="13"/>
      <c r="G73" s="13"/>
      <c r="H73" s="13"/>
      <c r="I73" s="13"/>
      <c r="J73" s="13"/>
    </row>
    <row r="74" spans="4:10" x14ac:dyDescent="0.25">
      <c r="D74" s="13"/>
      <c r="E74" s="13"/>
      <c r="F74" s="13"/>
      <c r="G74" s="13"/>
      <c r="H74" s="13"/>
      <c r="I74" s="13"/>
      <c r="J74" s="13"/>
    </row>
    <row r="75" spans="4:10" x14ac:dyDescent="0.25">
      <c r="D75" s="9"/>
      <c r="E75" s="10"/>
      <c r="F75" s="10"/>
      <c r="G75" s="10"/>
      <c r="H75" s="10"/>
      <c r="I75" s="10"/>
      <c r="J75" s="10"/>
    </row>
    <row r="76" spans="4:10" x14ac:dyDescent="0.25">
      <c r="D76" s="9"/>
      <c r="E76" s="10"/>
      <c r="F76" s="10"/>
      <c r="G76" s="10"/>
      <c r="H76" s="10"/>
      <c r="I76" s="10"/>
      <c r="J76" s="10"/>
    </row>
    <row r="77" spans="4:10" x14ac:dyDescent="0.25">
      <c r="D77" s="9"/>
      <c r="E77" s="10"/>
      <c r="F77" s="10"/>
      <c r="G77" s="10"/>
      <c r="H77" s="10"/>
      <c r="I77" s="10"/>
      <c r="J77" s="10"/>
    </row>
    <row r="78" spans="4:10" x14ac:dyDescent="0.25">
      <c r="D78" s="9"/>
      <c r="E78" s="10"/>
      <c r="F78" s="10"/>
      <c r="G78" s="10"/>
      <c r="H78" s="10"/>
      <c r="I78" s="10"/>
      <c r="J78" s="10"/>
    </row>
    <row r="79" spans="4:10" x14ac:dyDescent="0.25">
      <c r="D79" s="9"/>
      <c r="E79" s="10"/>
      <c r="F79" s="10"/>
      <c r="G79" s="10"/>
      <c r="H79" s="10"/>
      <c r="I79" s="10"/>
      <c r="J79" s="10"/>
    </row>
    <row r="80" spans="4:10" x14ac:dyDescent="0.25">
      <c r="D80" s="9"/>
      <c r="E80" s="10"/>
      <c r="F80" s="10"/>
      <c r="G80" s="10"/>
      <c r="H80" s="10"/>
      <c r="I80" s="10"/>
      <c r="J80" s="10"/>
    </row>
    <row r="81" spans="4:10" x14ac:dyDescent="0.25">
      <c r="D81" s="9"/>
      <c r="E81" s="10"/>
      <c r="F81" s="10"/>
      <c r="G81" s="10"/>
      <c r="H81" s="10"/>
      <c r="I81" s="10"/>
      <c r="J81" s="10"/>
    </row>
    <row r="82" spans="4:10" x14ac:dyDescent="0.25">
      <c r="D82" s="13"/>
      <c r="E82" s="13"/>
      <c r="F82" s="13"/>
      <c r="G82" s="13"/>
      <c r="H82" s="13"/>
      <c r="I82" s="13"/>
      <c r="J82" s="13"/>
    </row>
    <row r="83" spans="4:10" x14ac:dyDescent="0.25">
      <c r="D83" s="11"/>
      <c r="E83" s="14"/>
      <c r="F83" s="14"/>
      <c r="G83" s="14"/>
      <c r="H83" s="14"/>
      <c r="I83" s="14"/>
      <c r="J83" s="14"/>
    </row>
    <row r="84" spans="4:10" x14ac:dyDescent="0.25">
      <c r="D84" s="13"/>
      <c r="E84" s="13"/>
      <c r="F84" s="13"/>
      <c r="G84" s="13"/>
      <c r="H84" s="13"/>
      <c r="I84" s="13"/>
      <c r="J84" s="13"/>
    </row>
    <row r="85" spans="4:10" x14ac:dyDescent="0.25">
      <c r="D85" s="11"/>
      <c r="E85" s="14"/>
      <c r="F85" s="14"/>
      <c r="G85" s="14"/>
      <c r="H85" s="14"/>
      <c r="I85" s="14"/>
      <c r="J85" s="14"/>
    </row>
    <row r="86" spans="4:10" x14ac:dyDescent="0.25">
      <c r="D86" s="13"/>
      <c r="E86" s="13"/>
      <c r="F86" s="13"/>
      <c r="G86" s="13"/>
      <c r="H86" s="13"/>
      <c r="I86" s="13"/>
      <c r="J86" s="13"/>
    </row>
    <row r="87" spans="4:10" x14ac:dyDescent="0.25">
      <c r="D87" s="11"/>
      <c r="E87" s="13"/>
      <c r="F87" s="13"/>
      <c r="G87" s="13"/>
      <c r="H87" s="13"/>
      <c r="I87" s="13"/>
      <c r="J87" s="13"/>
    </row>
    <row r="88" spans="4:10" x14ac:dyDescent="0.25">
      <c r="D88" s="13"/>
      <c r="E88" s="13"/>
      <c r="F88" s="13"/>
      <c r="G88" s="13"/>
      <c r="H88" s="13"/>
      <c r="I88" s="13"/>
      <c r="J88" s="13"/>
    </row>
    <row r="89" spans="4:10" x14ac:dyDescent="0.25">
      <c r="D89" s="9"/>
      <c r="E89" s="10"/>
      <c r="F89" s="10"/>
      <c r="G89" s="10"/>
      <c r="H89" s="10"/>
      <c r="I89" s="10"/>
      <c r="J89" s="10"/>
    </row>
    <row r="90" spans="4:10" x14ac:dyDescent="0.25">
      <c r="D90" s="9"/>
      <c r="E90" s="10"/>
      <c r="F90" s="10"/>
      <c r="G90" s="10"/>
      <c r="H90" s="10"/>
      <c r="I90" s="10"/>
      <c r="J90" s="10"/>
    </row>
    <row r="91" spans="4:10" x14ac:dyDescent="0.25">
      <c r="D91" s="9"/>
      <c r="E91" s="10"/>
      <c r="F91" s="10"/>
      <c r="G91" s="10"/>
      <c r="H91" s="10"/>
      <c r="I91" s="10"/>
      <c r="J91" s="10"/>
    </row>
    <row r="92" spans="4:10" x14ac:dyDescent="0.25">
      <c r="D92" s="13"/>
      <c r="E92" s="13"/>
      <c r="F92" s="13"/>
      <c r="G92" s="13"/>
      <c r="H92" s="13"/>
      <c r="I92" s="13"/>
      <c r="J92" s="13"/>
    </row>
    <row r="93" spans="4:10" x14ac:dyDescent="0.25">
      <c r="D93" s="11"/>
      <c r="E93" s="14"/>
      <c r="F93" s="14"/>
      <c r="G93" s="14"/>
      <c r="H93" s="14"/>
      <c r="I93" s="14"/>
      <c r="J93" s="14"/>
    </row>
    <row r="94" spans="4:10" x14ac:dyDescent="0.25">
      <c r="D94" s="13"/>
      <c r="E94" s="13"/>
      <c r="F94" s="13"/>
      <c r="G94" s="13"/>
      <c r="H94" s="13"/>
      <c r="I94" s="13"/>
      <c r="J94" s="13"/>
    </row>
    <row r="95" spans="4:10" x14ac:dyDescent="0.25">
      <c r="D95" s="9"/>
      <c r="E95" s="10"/>
      <c r="F95" s="10"/>
      <c r="G95" s="10"/>
      <c r="H95" s="10"/>
      <c r="I95" s="10"/>
      <c r="J95" s="10"/>
    </row>
    <row r="96" spans="4:10" x14ac:dyDescent="0.25">
      <c r="D96" s="9"/>
      <c r="E96" s="10"/>
      <c r="F96" s="10"/>
      <c r="G96" s="10"/>
      <c r="H96" s="10"/>
      <c r="I96" s="10"/>
      <c r="J96" s="10"/>
    </row>
    <row r="97" spans="4:10" x14ac:dyDescent="0.25">
      <c r="D97" s="9"/>
      <c r="E97" s="10"/>
      <c r="F97" s="10"/>
      <c r="G97" s="10"/>
      <c r="H97" s="10"/>
      <c r="I97" s="10"/>
      <c r="J97" s="10"/>
    </row>
    <row r="98" spans="4:10" x14ac:dyDescent="0.25">
      <c r="D98" s="9"/>
      <c r="E98" s="10"/>
      <c r="F98" s="10"/>
      <c r="G98" s="10"/>
      <c r="H98" s="10"/>
      <c r="I98" s="10"/>
      <c r="J98" s="10"/>
    </row>
    <row r="99" spans="4:10" x14ac:dyDescent="0.25">
      <c r="D99" s="9"/>
      <c r="E99" s="10"/>
      <c r="F99" s="10"/>
      <c r="G99" s="10"/>
      <c r="H99" s="10"/>
      <c r="I99" s="10"/>
      <c r="J99" s="10"/>
    </row>
    <row r="100" spans="4:10" x14ac:dyDescent="0.25">
      <c r="D100" s="9"/>
      <c r="E100" s="10"/>
      <c r="F100" s="10"/>
      <c r="G100" s="10"/>
      <c r="H100" s="10"/>
      <c r="I100" s="10"/>
      <c r="J100" s="10"/>
    </row>
    <row r="101" spans="4:10" x14ac:dyDescent="0.25">
      <c r="D101" s="9"/>
      <c r="E101" s="10"/>
      <c r="F101" s="10"/>
      <c r="G101" s="10"/>
      <c r="H101" s="10"/>
      <c r="I101" s="10"/>
      <c r="J101" s="10"/>
    </row>
    <row r="102" spans="4:10" x14ac:dyDescent="0.25">
      <c r="D102" s="9"/>
      <c r="E102" s="10"/>
      <c r="F102" s="10"/>
      <c r="G102" s="10"/>
      <c r="H102" s="10"/>
      <c r="I102" s="10"/>
      <c r="J102" s="10"/>
    </row>
    <row r="103" spans="4:10" x14ac:dyDescent="0.25">
      <c r="D103" s="9"/>
      <c r="E103" s="10"/>
      <c r="F103" s="10"/>
      <c r="G103" s="10"/>
      <c r="H103" s="10"/>
      <c r="I103" s="10"/>
      <c r="J103" s="10"/>
    </row>
    <row r="104" spans="4:10" x14ac:dyDescent="0.25">
      <c r="D104" s="9"/>
      <c r="E104" s="10"/>
      <c r="F104" s="10"/>
      <c r="G104" s="10"/>
      <c r="H104" s="10"/>
      <c r="I104" s="10"/>
      <c r="J104" s="10"/>
    </row>
    <row r="105" spans="4:10" x14ac:dyDescent="0.25">
      <c r="D105" s="13"/>
      <c r="E105" s="13"/>
      <c r="F105" s="13"/>
      <c r="G105" s="13"/>
      <c r="H105" s="13"/>
      <c r="I105" s="13"/>
      <c r="J105" s="13"/>
    </row>
    <row r="106" spans="4:10" x14ac:dyDescent="0.25">
      <c r="D106" s="11"/>
      <c r="E106" s="14"/>
      <c r="F106" s="14"/>
      <c r="G106" s="14"/>
      <c r="H106" s="14"/>
      <c r="I106" s="14"/>
      <c r="J106" s="14"/>
    </row>
    <row r="107" spans="4:10" x14ac:dyDescent="0.25">
      <c r="D107" s="13"/>
      <c r="E107" s="13"/>
      <c r="F107" s="13"/>
      <c r="G107" s="13"/>
      <c r="H107" s="13"/>
      <c r="I107" s="13"/>
      <c r="J107" s="13"/>
    </row>
    <row r="108" spans="4:10" x14ac:dyDescent="0.25">
      <c r="D108" s="11"/>
      <c r="E108" s="14"/>
      <c r="F108" s="14"/>
      <c r="G108" s="14"/>
      <c r="H108" s="14"/>
      <c r="I108" s="14"/>
      <c r="J108" s="14"/>
    </row>
    <row r="109" spans="4:10" x14ac:dyDescent="0.25">
      <c r="D109" s="13"/>
      <c r="E109" s="15"/>
      <c r="F109" s="15"/>
      <c r="G109" s="15"/>
      <c r="H109" s="15"/>
      <c r="I109" s="15"/>
      <c r="J109" s="15"/>
    </row>
    <row r="110" spans="4:10" x14ac:dyDescent="0.25">
      <c r="D110" s="9"/>
      <c r="E110" s="10"/>
      <c r="F110" s="10"/>
      <c r="G110" s="10"/>
      <c r="H110" s="10"/>
      <c r="I110" s="10"/>
      <c r="J110" s="10"/>
    </row>
    <row r="111" spans="4:10" x14ac:dyDescent="0.25">
      <c r="D111" s="9"/>
      <c r="E111" s="10"/>
      <c r="F111" s="10"/>
      <c r="G111" s="10"/>
      <c r="H111" s="10"/>
      <c r="I111" s="10"/>
      <c r="J111" s="10"/>
    </row>
    <row r="112" spans="4:10" x14ac:dyDescent="0.25">
      <c r="D112" s="13"/>
      <c r="E112" s="13"/>
      <c r="F112" s="13"/>
      <c r="G112" s="13"/>
      <c r="H112" s="13"/>
      <c r="I112" s="13"/>
      <c r="J112" s="13"/>
    </row>
    <row r="113" spans="4:10" x14ac:dyDescent="0.25">
      <c r="D113" s="11"/>
      <c r="E113" s="14"/>
      <c r="F113" s="14"/>
      <c r="G113" s="14"/>
      <c r="H113" s="14"/>
      <c r="I113" s="14"/>
      <c r="J113" s="14"/>
    </row>
    <row r="114" spans="4:10" x14ac:dyDescent="0.25">
      <c r="D114" s="13"/>
      <c r="E114" s="13"/>
      <c r="F114" s="13"/>
      <c r="G114" s="13"/>
      <c r="H114" s="13"/>
      <c r="I114" s="13"/>
      <c r="J114" s="13"/>
    </row>
  </sheetData>
  <mergeCells count="1">
    <mergeCell ref="D8:J8"/>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1"/>
  <sheetViews>
    <sheetView workbookViewId="0">
      <selection activeCell="A3" sqref="A3"/>
    </sheetView>
  </sheetViews>
  <sheetFormatPr baseColWidth="10" defaultColWidth="0" defaultRowHeight="15" zeroHeight="1" x14ac:dyDescent="0.25"/>
  <cols>
    <col min="1" max="1" width="8.140625" customWidth="1"/>
    <col min="2" max="2" width="11.42578125" customWidth="1"/>
    <col min="3" max="3" width="56" customWidth="1"/>
    <col min="4" max="4" width="16.28515625" customWidth="1"/>
    <col min="5" max="5" width="12.85546875" customWidth="1"/>
    <col min="6" max="6" width="16.28515625" customWidth="1"/>
    <col min="7" max="7" width="17.42578125" customWidth="1"/>
    <col min="8" max="8" width="19.140625" bestFit="1" customWidth="1"/>
    <col min="9" max="9" width="16.5703125" customWidth="1"/>
    <col min="10" max="10" width="17.85546875" bestFit="1" customWidth="1"/>
    <col min="11" max="11" width="16.85546875" customWidth="1"/>
    <col min="12" max="12" width="19.28515625" bestFit="1" customWidth="1"/>
    <col min="13" max="13" width="15.140625" bestFit="1" customWidth="1"/>
    <col min="14" max="14" width="16.28515625" bestFit="1" customWidth="1"/>
    <col min="15" max="15" width="16.85546875" bestFit="1" customWidth="1"/>
    <col min="16" max="16" width="17.5703125" customWidth="1"/>
    <col min="17" max="18" width="11.42578125" style="153" hidden="1" customWidth="1"/>
    <col min="19" max="21" width="0" style="153" hidden="1" customWidth="1"/>
    <col min="22" max="16384" width="11.42578125" style="153" hidden="1"/>
  </cols>
  <sheetData>
    <row r="1" spans="1:17" x14ac:dyDescent="0.25">
      <c r="A1" s="153"/>
      <c r="B1" s="153"/>
      <c r="C1" s="153"/>
      <c r="D1" s="153"/>
      <c r="E1" s="153"/>
      <c r="F1" s="293"/>
      <c r="G1" s="153"/>
      <c r="H1" s="153"/>
      <c r="I1" s="153"/>
      <c r="J1" s="153"/>
      <c r="K1" s="153"/>
      <c r="L1" s="153"/>
      <c r="M1" s="153"/>
      <c r="N1" s="153"/>
      <c r="O1" s="153"/>
      <c r="P1" s="153"/>
    </row>
    <row r="2" spans="1:17" ht="18.75" x14ac:dyDescent="0.3">
      <c r="A2" s="294" t="s">
        <v>738</v>
      </c>
      <c r="B2" s="153"/>
      <c r="C2" s="153"/>
      <c r="D2" s="153"/>
      <c r="E2" s="153"/>
      <c r="F2" s="293"/>
      <c r="G2" s="295"/>
      <c r="H2" s="153"/>
      <c r="I2" s="153"/>
      <c r="J2" s="153"/>
      <c r="K2" s="153"/>
      <c r="L2" s="153"/>
      <c r="M2" s="153"/>
      <c r="N2" s="153"/>
      <c r="O2" s="153"/>
      <c r="P2" s="153"/>
    </row>
    <row r="3" spans="1:17" x14ac:dyDescent="0.25">
      <c r="A3" s="296" t="s">
        <v>739</v>
      </c>
      <c r="B3" s="153"/>
      <c r="C3" s="153"/>
      <c r="D3" s="153"/>
      <c r="E3" s="153"/>
      <c r="F3" s="293"/>
      <c r="G3" s="295"/>
      <c r="H3" s="153"/>
      <c r="I3" s="153"/>
      <c r="J3" s="153"/>
      <c r="K3" s="153"/>
      <c r="L3" s="153"/>
      <c r="M3" s="153"/>
      <c r="N3" s="153"/>
      <c r="O3" s="153"/>
      <c r="P3" s="153"/>
    </row>
    <row r="4" spans="1:17" x14ac:dyDescent="0.25">
      <c r="A4" s="296"/>
      <c r="B4" s="153"/>
      <c r="C4" s="153"/>
      <c r="D4" s="153"/>
      <c r="E4" s="153"/>
      <c r="F4" s="293"/>
      <c r="G4" s="295"/>
      <c r="H4" s="153"/>
      <c r="I4" s="153"/>
      <c r="J4" s="153"/>
      <c r="K4" s="153"/>
      <c r="L4" s="153"/>
      <c r="M4" s="153"/>
      <c r="N4" s="153"/>
      <c r="O4" s="153"/>
      <c r="P4" s="153"/>
    </row>
    <row r="5" spans="1:17" x14ac:dyDescent="0.25">
      <c r="A5" s="297" t="s">
        <v>740</v>
      </c>
      <c r="B5" s="153"/>
      <c r="C5" s="153"/>
      <c r="D5" s="153"/>
      <c r="E5" s="153"/>
      <c r="F5" s="293"/>
      <c r="G5" s="295"/>
      <c r="H5" s="153"/>
      <c r="I5" s="153"/>
      <c r="J5" s="153"/>
      <c r="K5" s="153"/>
      <c r="L5" s="153"/>
      <c r="M5" s="153"/>
      <c r="N5" s="153"/>
      <c r="O5" s="153"/>
      <c r="P5" s="153"/>
    </row>
    <row r="6" spans="1:17" x14ac:dyDescent="0.25">
      <c r="A6" s="296"/>
      <c r="B6" s="153"/>
      <c r="C6" s="153"/>
      <c r="D6" s="153"/>
      <c r="E6" s="153"/>
      <c r="F6" s="293"/>
      <c r="G6" s="295"/>
      <c r="H6" s="153"/>
      <c r="I6" s="153"/>
      <c r="J6" s="153"/>
      <c r="K6" s="153"/>
      <c r="L6" s="153"/>
      <c r="M6" s="153"/>
      <c r="N6" s="153"/>
      <c r="O6" s="153"/>
      <c r="P6" s="153"/>
    </row>
    <row r="7" spans="1:17" s="299" customFormat="1" ht="30" x14ac:dyDescent="0.25">
      <c r="A7" s="298" t="s">
        <v>741</v>
      </c>
      <c r="B7" s="298" t="s">
        <v>742</v>
      </c>
      <c r="C7" s="298" t="s">
        <v>743</v>
      </c>
      <c r="D7" s="298" t="s">
        <v>744</v>
      </c>
      <c r="E7" s="298" t="s">
        <v>745</v>
      </c>
      <c r="F7" s="298" t="s">
        <v>746</v>
      </c>
      <c r="G7" s="298" t="s">
        <v>747</v>
      </c>
      <c r="H7" s="298" t="s">
        <v>748</v>
      </c>
      <c r="I7" s="298" t="s">
        <v>749</v>
      </c>
      <c r="J7" s="298" t="s">
        <v>750</v>
      </c>
      <c r="K7" s="298" t="s">
        <v>751</v>
      </c>
      <c r="L7" s="298" t="s">
        <v>752</v>
      </c>
      <c r="M7" s="298" t="s">
        <v>753</v>
      </c>
      <c r="N7" s="298" t="s">
        <v>754</v>
      </c>
      <c r="O7" s="298" t="s">
        <v>755</v>
      </c>
      <c r="P7" s="298" t="s">
        <v>756</v>
      </c>
    </row>
    <row r="8" spans="1:17" s="304" customFormat="1" x14ac:dyDescent="0.25">
      <c r="A8" s="300">
        <v>1</v>
      </c>
      <c r="B8" s="300">
        <v>899999068</v>
      </c>
      <c r="C8" s="300" t="s">
        <v>757</v>
      </c>
      <c r="D8" s="300" t="s">
        <v>758</v>
      </c>
      <c r="E8" s="300" t="s">
        <v>759</v>
      </c>
      <c r="F8" s="301" t="s">
        <v>760</v>
      </c>
      <c r="G8" s="302">
        <v>61146774784</v>
      </c>
      <c r="H8" s="302">
        <v>13352986716</v>
      </c>
      <c r="I8" s="302">
        <v>114041227814</v>
      </c>
      <c r="J8" s="302">
        <v>42246702374</v>
      </c>
      <c r="K8" s="302">
        <v>71794525440</v>
      </c>
      <c r="L8" s="302">
        <v>58333461618</v>
      </c>
      <c r="M8" s="302">
        <v>14972950299</v>
      </c>
      <c r="N8" s="302">
        <v>100647980204</v>
      </c>
      <c r="O8" s="302">
        <v>35389468362</v>
      </c>
      <c r="P8" s="302">
        <v>65258511842</v>
      </c>
      <c r="Q8" s="303"/>
    </row>
    <row r="9" spans="1:17" s="304" customFormat="1" x14ac:dyDescent="0.25">
      <c r="A9" s="300">
        <v>2</v>
      </c>
      <c r="B9" s="300">
        <v>830095213</v>
      </c>
      <c r="C9" s="300" t="s">
        <v>761</v>
      </c>
      <c r="D9" s="300" t="s">
        <v>758</v>
      </c>
      <c r="E9" s="300" t="s">
        <v>759</v>
      </c>
      <c r="F9" s="301" t="s">
        <v>760</v>
      </c>
      <c r="G9" s="302">
        <v>12053927600</v>
      </c>
      <c r="H9" s="302">
        <v>166072779</v>
      </c>
      <c r="I9" s="302">
        <v>3469340369</v>
      </c>
      <c r="J9" s="302">
        <v>1569676939</v>
      </c>
      <c r="K9" s="302">
        <v>1899663430</v>
      </c>
      <c r="L9" s="302">
        <v>10549002879</v>
      </c>
      <c r="M9" s="302">
        <v>128898826</v>
      </c>
      <c r="N9" s="302">
        <v>3546847628</v>
      </c>
      <c r="O9" s="302">
        <v>1907937804</v>
      </c>
      <c r="P9" s="302">
        <v>1638909824</v>
      </c>
      <c r="Q9" s="303"/>
    </row>
    <row r="10" spans="1:17" s="304" customFormat="1" x14ac:dyDescent="0.25">
      <c r="A10" s="300">
        <v>3</v>
      </c>
      <c r="B10" s="300">
        <v>890900608</v>
      </c>
      <c r="C10" s="300" t="s">
        <v>762</v>
      </c>
      <c r="D10" s="300" t="s">
        <v>763</v>
      </c>
      <c r="E10" s="300" t="s">
        <v>759</v>
      </c>
      <c r="F10" s="301" t="s">
        <v>764</v>
      </c>
      <c r="G10" s="302">
        <v>9456591559</v>
      </c>
      <c r="H10" s="302">
        <v>438407439</v>
      </c>
      <c r="I10" s="302">
        <v>10425452608</v>
      </c>
      <c r="J10" s="302">
        <v>2562077939</v>
      </c>
      <c r="K10" s="302">
        <v>7863374669</v>
      </c>
      <c r="L10" s="302">
        <v>9164863632</v>
      </c>
      <c r="M10" s="302">
        <v>475305197</v>
      </c>
      <c r="N10" s="302">
        <v>10031666957</v>
      </c>
      <c r="O10" s="302">
        <v>2436431753</v>
      </c>
      <c r="P10" s="302">
        <v>7595235204</v>
      </c>
      <c r="Q10" s="303"/>
    </row>
    <row r="11" spans="1:17" s="304" customFormat="1" x14ac:dyDescent="0.25">
      <c r="A11" s="300">
        <v>4</v>
      </c>
      <c r="B11" s="300">
        <v>800153993</v>
      </c>
      <c r="C11" s="300" t="s">
        <v>765</v>
      </c>
      <c r="D11" s="300" t="s">
        <v>758</v>
      </c>
      <c r="E11" s="300" t="s">
        <v>759</v>
      </c>
      <c r="F11" s="301" t="s">
        <v>766</v>
      </c>
      <c r="G11" s="302">
        <v>8378464593</v>
      </c>
      <c r="H11" s="302">
        <v>2047812642</v>
      </c>
      <c r="I11" s="302">
        <v>11828927139</v>
      </c>
      <c r="J11" s="302">
        <v>4756143625</v>
      </c>
      <c r="K11" s="302">
        <v>7072783514</v>
      </c>
      <c r="L11" s="302">
        <v>7747563524</v>
      </c>
      <c r="M11" s="302">
        <v>2384002537</v>
      </c>
      <c r="N11" s="302">
        <v>10895673491</v>
      </c>
      <c r="O11" s="302">
        <v>4723245486</v>
      </c>
      <c r="P11" s="302">
        <v>6172428005</v>
      </c>
      <c r="Q11" s="303"/>
    </row>
    <row r="12" spans="1:17" s="304" customFormat="1" x14ac:dyDescent="0.25">
      <c r="A12" s="300">
        <v>5</v>
      </c>
      <c r="B12" s="300">
        <v>900112515</v>
      </c>
      <c r="C12" s="300" t="s">
        <v>767</v>
      </c>
      <c r="D12" s="300" t="s">
        <v>768</v>
      </c>
      <c r="E12" s="300" t="s">
        <v>769</v>
      </c>
      <c r="F12" s="301" t="s">
        <v>760</v>
      </c>
      <c r="G12" s="302">
        <v>7150174344</v>
      </c>
      <c r="H12" s="302">
        <v>-239384245</v>
      </c>
      <c r="I12" s="302">
        <v>14901444168</v>
      </c>
      <c r="J12" s="302">
        <v>10336620590</v>
      </c>
      <c r="K12" s="302">
        <v>4564823578</v>
      </c>
      <c r="L12" s="302">
        <v>7629682634</v>
      </c>
      <c r="M12" s="302">
        <v>-150028080</v>
      </c>
      <c r="N12" s="302">
        <v>10896685871</v>
      </c>
      <c r="O12" s="302">
        <v>8488214379</v>
      </c>
      <c r="P12" s="302">
        <v>2408471492</v>
      </c>
      <c r="Q12" s="303"/>
    </row>
    <row r="13" spans="1:17" s="304" customFormat="1" x14ac:dyDescent="0.25">
      <c r="A13" s="300">
        <v>6</v>
      </c>
      <c r="B13" s="300">
        <v>830126302</v>
      </c>
      <c r="C13" s="300" t="s">
        <v>770</v>
      </c>
      <c r="D13" s="300" t="s">
        <v>758</v>
      </c>
      <c r="E13" s="300" t="s">
        <v>771</v>
      </c>
      <c r="F13" s="301" t="s">
        <v>760</v>
      </c>
      <c r="G13" s="302">
        <v>7012229646</v>
      </c>
      <c r="H13" s="302">
        <v>1370011206</v>
      </c>
      <c r="I13" s="302">
        <v>6392148762</v>
      </c>
      <c r="J13" s="302">
        <v>1984415336</v>
      </c>
      <c r="K13" s="302">
        <v>4407733426</v>
      </c>
      <c r="L13" s="302">
        <v>6343610269</v>
      </c>
      <c r="M13" s="302">
        <v>1393210569</v>
      </c>
      <c r="N13" s="302">
        <v>5404250136</v>
      </c>
      <c r="O13" s="302">
        <v>2092161788</v>
      </c>
      <c r="P13" s="302">
        <v>3312088348</v>
      </c>
      <c r="Q13" s="303"/>
    </row>
    <row r="14" spans="1:17" s="304" customFormat="1" x14ac:dyDescent="0.25">
      <c r="A14" s="300">
        <v>7</v>
      </c>
      <c r="B14" s="300">
        <v>860002554</v>
      </c>
      <c r="C14" s="300" t="s">
        <v>772</v>
      </c>
      <c r="D14" s="300" t="s">
        <v>758</v>
      </c>
      <c r="E14" s="300" t="s">
        <v>773</v>
      </c>
      <c r="F14" s="301" t="s">
        <v>760</v>
      </c>
      <c r="G14" s="302">
        <v>6026598227</v>
      </c>
      <c r="H14" s="302">
        <v>86174155</v>
      </c>
      <c r="I14" s="302">
        <v>1094983930</v>
      </c>
      <c r="J14" s="302">
        <v>654248778</v>
      </c>
      <c r="K14" s="302">
        <v>440735152</v>
      </c>
      <c r="L14" s="302">
        <v>6029912423</v>
      </c>
      <c r="M14" s="302">
        <v>45227175</v>
      </c>
      <c r="N14" s="302">
        <v>1163000911</v>
      </c>
      <c r="O14" s="302">
        <v>730812571</v>
      </c>
      <c r="P14" s="302">
        <v>432188340</v>
      </c>
      <c r="Q14" s="303"/>
    </row>
    <row r="15" spans="1:17" s="304" customFormat="1" x14ac:dyDescent="0.25">
      <c r="A15" s="300">
        <v>8</v>
      </c>
      <c r="B15" s="300">
        <v>890904996</v>
      </c>
      <c r="C15" s="300" t="s">
        <v>774</v>
      </c>
      <c r="D15" s="300" t="s">
        <v>763</v>
      </c>
      <c r="E15" s="300" t="s">
        <v>759</v>
      </c>
      <c r="F15" s="301" t="s">
        <v>766</v>
      </c>
      <c r="G15" s="302">
        <v>5486146634</v>
      </c>
      <c r="H15" s="302">
        <v>1644134815</v>
      </c>
      <c r="I15" s="302">
        <v>31885727721</v>
      </c>
      <c r="J15" s="302">
        <v>9625762779</v>
      </c>
      <c r="K15" s="302">
        <v>22259964942</v>
      </c>
      <c r="L15" s="302">
        <v>5427797979</v>
      </c>
      <c r="M15" s="302">
        <v>1753740070</v>
      </c>
      <c r="N15" s="302">
        <v>29871474272</v>
      </c>
      <c r="O15" s="302">
        <v>8610631866</v>
      </c>
      <c r="P15" s="302">
        <v>21260842406</v>
      </c>
      <c r="Q15" s="303"/>
    </row>
    <row r="16" spans="1:17" s="304" customFormat="1" x14ac:dyDescent="0.25">
      <c r="A16" s="300">
        <v>9</v>
      </c>
      <c r="B16" s="300">
        <v>830053800</v>
      </c>
      <c r="C16" s="300" t="s">
        <v>775</v>
      </c>
      <c r="D16" s="300" t="s">
        <v>758</v>
      </c>
      <c r="E16" s="300" t="s">
        <v>776</v>
      </c>
      <c r="F16" s="301" t="s">
        <v>764</v>
      </c>
      <c r="G16" s="302">
        <v>5159859707</v>
      </c>
      <c r="H16" s="302">
        <v>255346839</v>
      </c>
      <c r="I16" s="302">
        <v>3091538103</v>
      </c>
      <c r="J16" s="302">
        <v>808330303</v>
      </c>
      <c r="K16" s="302">
        <v>2283207800</v>
      </c>
      <c r="L16" s="302">
        <v>4675744651</v>
      </c>
      <c r="M16" s="302">
        <v>162642261</v>
      </c>
      <c r="N16" s="302">
        <v>3006349645</v>
      </c>
      <c r="O16" s="302">
        <v>988598183</v>
      </c>
      <c r="P16" s="302">
        <v>2017751462</v>
      </c>
      <c r="Q16" s="303"/>
    </row>
    <row r="17" spans="1:17" s="304" customFormat="1" x14ac:dyDescent="0.25">
      <c r="A17" s="300">
        <v>10</v>
      </c>
      <c r="B17" s="300">
        <v>890100577</v>
      </c>
      <c r="C17" s="300" t="s">
        <v>777</v>
      </c>
      <c r="D17" s="300" t="s">
        <v>768</v>
      </c>
      <c r="E17" s="300" t="s">
        <v>759</v>
      </c>
      <c r="F17" s="301" t="s">
        <v>766</v>
      </c>
      <c r="G17" s="302">
        <v>4954177489</v>
      </c>
      <c r="H17" s="302">
        <v>239709969</v>
      </c>
      <c r="I17" s="302">
        <v>5798319348</v>
      </c>
      <c r="J17" s="302">
        <v>4514185579</v>
      </c>
      <c r="K17" s="302">
        <v>1284133769</v>
      </c>
      <c r="L17" s="302">
        <v>4409928360</v>
      </c>
      <c r="M17" s="302">
        <v>385344915</v>
      </c>
      <c r="N17" s="302">
        <v>4880387958</v>
      </c>
      <c r="O17" s="302">
        <v>3799422140</v>
      </c>
      <c r="P17" s="302">
        <v>1080965820</v>
      </c>
      <c r="Q17" s="303"/>
    </row>
    <row r="18" spans="1:17" s="304" customFormat="1" x14ac:dyDescent="0.25">
      <c r="A18" s="300">
        <v>11</v>
      </c>
      <c r="B18" s="300">
        <v>860005224</v>
      </c>
      <c r="C18" s="300" t="s">
        <v>778</v>
      </c>
      <c r="D18" s="300" t="s">
        <v>758</v>
      </c>
      <c r="E18" s="300" t="s">
        <v>759</v>
      </c>
      <c r="F18" s="301" t="s">
        <v>779</v>
      </c>
      <c r="G18" s="302">
        <v>4277619940.0000005</v>
      </c>
      <c r="H18" s="302">
        <v>1610392310</v>
      </c>
      <c r="I18" s="302">
        <v>8883932890</v>
      </c>
      <c r="J18" s="302">
        <v>3311331920</v>
      </c>
      <c r="K18" s="302">
        <v>5572600970</v>
      </c>
      <c r="L18" s="302">
        <v>4116107880</v>
      </c>
      <c r="M18" s="302">
        <v>1225759780</v>
      </c>
      <c r="N18" s="302">
        <v>8634523997</v>
      </c>
      <c r="O18" s="302">
        <v>3413549938</v>
      </c>
      <c r="P18" s="302">
        <v>5220974059</v>
      </c>
      <c r="Q18" s="303"/>
    </row>
    <row r="19" spans="1:17" s="304" customFormat="1" x14ac:dyDescent="0.25">
      <c r="A19" s="300">
        <v>12</v>
      </c>
      <c r="B19" s="300">
        <v>830122566</v>
      </c>
      <c r="C19" s="300" t="s">
        <v>780</v>
      </c>
      <c r="D19" s="300" t="s">
        <v>758</v>
      </c>
      <c r="E19" s="300" t="s">
        <v>781</v>
      </c>
      <c r="F19" s="301" t="s">
        <v>766</v>
      </c>
      <c r="G19" s="302">
        <v>4200775122</v>
      </c>
      <c r="H19" s="302">
        <v>-262012731</v>
      </c>
      <c r="I19" s="302">
        <v>6494655141</v>
      </c>
      <c r="J19" s="302">
        <v>5363456127</v>
      </c>
      <c r="K19" s="302">
        <v>1131199014</v>
      </c>
      <c r="L19" s="302">
        <v>3998867817</v>
      </c>
      <c r="M19" s="302">
        <v>-280568105</v>
      </c>
      <c r="N19" s="302">
        <v>6753618315</v>
      </c>
      <c r="O19" s="302">
        <v>5143296714</v>
      </c>
      <c r="P19" s="302">
        <v>1610321601</v>
      </c>
      <c r="Q19" s="303"/>
    </row>
    <row r="20" spans="1:17" s="304" customFormat="1" x14ac:dyDescent="0.25">
      <c r="A20" s="300">
        <v>13</v>
      </c>
      <c r="B20" s="300">
        <v>860005223</v>
      </c>
      <c r="C20" s="300" t="s">
        <v>782</v>
      </c>
      <c r="D20" s="300" t="s">
        <v>758</v>
      </c>
      <c r="E20" s="300" t="s">
        <v>759</v>
      </c>
      <c r="F20" s="301" t="s">
        <v>760</v>
      </c>
      <c r="G20" s="302">
        <v>3978138889</v>
      </c>
      <c r="H20" s="302">
        <v>216787359</v>
      </c>
      <c r="I20" s="302">
        <v>1557591849</v>
      </c>
      <c r="J20" s="302">
        <v>1127988900</v>
      </c>
      <c r="K20" s="302">
        <v>429602949</v>
      </c>
      <c r="L20" s="302">
        <v>4190064820</v>
      </c>
      <c r="M20" s="302">
        <v>222619370</v>
      </c>
      <c r="N20" s="302">
        <v>1648120950</v>
      </c>
      <c r="O20" s="302">
        <v>1150195500</v>
      </c>
      <c r="P20" s="302">
        <v>497925450</v>
      </c>
      <c r="Q20" s="303"/>
    </row>
    <row r="21" spans="1:17" s="304" customFormat="1" x14ac:dyDescent="0.25">
      <c r="A21" s="300">
        <v>14</v>
      </c>
      <c r="B21" s="300">
        <v>900155107</v>
      </c>
      <c r="C21" s="300" t="s">
        <v>783</v>
      </c>
      <c r="D21" s="300" t="s">
        <v>758</v>
      </c>
      <c r="E21" s="300" t="s">
        <v>784</v>
      </c>
      <c r="F21" s="301" t="s">
        <v>764</v>
      </c>
      <c r="G21" s="302">
        <v>3837628594</v>
      </c>
      <c r="H21" s="302">
        <v>-291959078</v>
      </c>
      <c r="I21" s="302">
        <v>6162225750</v>
      </c>
      <c r="J21" s="302">
        <v>1355262449</v>
      </c>
      <c r="K21" s="302">
        <v>4806963301</v>
      </c>
      <c r="L21" s="302">
        <v>158971547</v>
      </c>
      <c r="M21" s="302">
        <v>27331540</v>
      </c>
      <c r="N21" s="302">
        <v>5010073462</v>
      </c>
      <c r="O21" s="302">
        <v>73455905</v>
      </c>
      <c r="P21" s="302">
        <v>4936617557</v>
      </c>
      <c r="Q21" s="303"/>
    </row>
    <row r="22" spans="1:17" s="304" customFormat="1" x14ac:dyDescent="0.25">
      <c r="A22" s="300">
        <v>15</v>
      </c>
      <c r="B22" s="300">
        <v>890107487</v>
      </c>
      <c r="C22" s="300" t="s">
        <v>785</v>
      </c>
      <c r="D22" s="300" t="s">
        <v>768</v>
      </c>
      <c r="E22" s="300" t="s">
        <v>786</v>
      </c>
      <c r="F22" s="300" t="s">
        <v>764</v>
      </c>
      <c r="G22" s="302">
        <v>3821868436</v>
      </c>
      <c r="H22" s="302">
        <v>93100727</v>
      </c>
      <c r="I22" s="302">
        <v>2284310686</v>
      </c>
      <c r="J22" s="302">
        <v>1167862568</v>
      </c>
      <c r="K22" s="302">
        <v>1116448118</v>
      </c>
      <c r="L22" s="302">
        <v>3483810936</v>
      </c>
      <c r="M22" s="302">
        <v>100284043</v>
      </c>
      <c r="N22" s="302">
        <v>1928094496</v>
      </c>
      <c r="O22" s="302">
        <v>1009329970</v>
      </c>
      <c r="P22" s="302">
        <v>918764526</v>
      </c>
      <c r="Q22" s="303"/>
    </row>
    <row r="23" spans="1:17" s="304" customFormat="1" x14ac:dyDescent="0.25">
      <c r="A23" s="300">
        <v>16</v>
      </c>
      <c r="B23" s="300">
        <v>800021308</v>
      </c>
      <c r="C23" s="300" t="s">
        <v>787</v>
      </c>
      <c r="D23" s="300" t="s">
        <v>758</v>
      </c>
      <c r="E23" s="300" t="s">
        <v>788</v>
      </c>
      <c r="F23" s="300" t="s">
        <v>760</v>
      </c>
      <c r="G23" s="302">
        <v>3803105426</v>
      </c>
      <c r="H23" s="302">
        <v>409482756</v>
      </c>
      <c r="I23" s="302">
        <v>6049669727</v>
      </c>
      <c r="J23" s="302">
        <v>736867727</v>
      </c>
      <c r="K23" s="302">
        <v>5312802000</v>
      </c>
      <c r="L23" s="302">
        <v>4620880321</v>
      </c>
      <c r="M23" s="302">
        <v>602650562</v>
      </c>
      <c r="N23" s="302">
        <v>5559123504</v>
      </c>
      <c r="O23" s="302">
        <v>891254057</v>
      </c>
      <c r="P23" s="302">
        <v>4667869447</v>
      </c>
      <c r="Q23" s="303"/>
    </row>
    <row r="24" spans="1:17" s="304" customFormat="1" x14ac:dyDescent="0.25">
      <c r="A24" s="300">
        <v>17</v>
      </c>
      <c r="B24" s="305">
        <v>900156264</v>
      </c>
      <c r="C24" s="306" t="s">
        <v>789</v>
      </c>
      <c r="D24" s="300" t="s">
        <v>758</v>
      </c>
      <c r="E24" s="300" t="s">
        <v>759</v>
      </c>
      <c r="F24" s="300" t="s">
        <v>766</v>
      </c>
      <c r="G24" s="302">
        <v>3263882886</v>
      </c>
      <c r="H24" s="302">
        <v>15107473</v>
      </c>
      <c r="I24" s="302">
        <v>1166088907</v>
      </c>
      <c r="J24" s="302">
        <v>1030158142</v>
      </c>
      <c r="K24" s="302">
        <v>135930765</v>
      </c>
      <c r="L24" s="302">
        <v>2897222022</v>
      </c>
      <c r="M24" s="302">
        <v>17973852</v>
      </c>
      <c r="N24" s="302">
        <v>1064960137</v>
      </c>
      <c r="O24" s="302">
        <v>947675965</v>
      </c>
      <c r="P24" s="302">
        <v>117284172</v>
      </c>
      <c r="Q24" s="303"/>
    </row>
    <row r="25" spans="1:17" s="304" customFormat="1" x14ac:dyDescent="0.25">
      <c r="A25" s="300">
        <v>18</v>
      </c>
      <c r="B25" s="300">
        <v>830037248</v>
      </c>
      <c r="C25" s="300" t="s">
        <v>790</v>
      </c>
      <c r="D25" s="300" t="s">
        <v>758</v>
      </c>
      <c r="E25" s="300" t="s">
        <v>759</v>
      </c>
      <c r="F25" s="301" t="s">
        <v>766</v>
      </c>
      <c r="G25" s="302">
        <v>3258923895.5149999</v>
      </c>
      <c r="H25" s="302">
        <v>535910519.19300002</v>
      </c>
      <c r="I25" s="302">
        <v>5527961451.1890001</v>
      </c>
      <c r="J25" s="302">
        <v>2379529635.1789999</v>
      </c>
      <c r="K25" s="302">
        <v>3148431816.0100002</v>
      </c>
      <c r="L25" s="302">
        <v>3192987339.1919999</v>
      </c>
      <c r="M25" s="302">
        <v>510992818.17199999</v>
      </c>
      <c r="N25" s="302">
        <v>5354308611.7270002</v>
      </c>
      <c r="O25" s="302">
        <v>2233194423.9029999</v>
      </c>
      <c r="P25" s="302">
        <v>3121114187.8239999</v>
      </c>
      <c r="Q25" s="303"/>
    </row>
    <row r="26" spans="1:17" s="304" customFormat="1" x14ac:dyDescent="0.25">
      <c r="A26" s="300">
        <v>19</v>
      </c>
      <c r="B26" s="300">
        <v>890900943</v>
      </c>
      <c r="C26" s="300" t="s">
        <v>791</v>
      </c>
      <c r="D26" s="300" t="s">
        <v>758</v>
      </c>
      <c r="E26" s="300" t="s">
        <v>776</v>
      </c>
      <c r="F26" s="301" t="s">
        <v>764</v>
      </c>
      <c r="G26" s="302">
        <v>3070803376</v>
      </c>
      <c r="H26" s="302">
        <v>87694290</v>
      </c>
      <c r="I26" s="302">
        <v>2113470082</v>
      </c>
      <c r="J26" s="302">
        <v>970671189</v>
      </c>
      <c r="K26" s="302">
        <v>1142798893</v>
      </c>
      <c r="L26" s="302">
        <v>2754673454</v>
      </c>
      <c r="M26" s="302">
        <v>81960183</v>
      </c>
      <c r="N26" s="302">
        <v>2050170776</v>
      </c>
      <c r="O26" s="302">
        <v>893337915</v>
      </c>
      <c r="P26" s="302">
        <v>1156832861</v>
      </c>
      <c r="Q26" s="303"/>
    </row>
    <row r="27" spans="1:17" s="304" customFormat="1" x14ac:dyDescent="0.25">
      <c r="A27" s="300">
        <v>20</v>
      </c>
      <c r="B27" s="300">
        <v>860072134</v>
      </c>
      <c r="C27" s="300" t="s">
        <v>792</v>
      </c>
      <c r="D27" s="300" t="s">
        <v>758</v>
      </c>
      <c r="E27" s="300" t="s">
        <v>771</v>
      </c>
      <c r="F27" s="301" t="s">
        <v>760</v>
      </c>
      <c r="G27" s="302">
        <v>2996244761</v>
      </c>
      <c r="H27" s="302">
        <v>182155454</v>
      </c>
      <c r="I27" s="302">
        <v>3317867532</v>
      </c>
      <c r="J27" s="302">
        <v>1017824891</v>
      </c>
      <c r="K27" s="302">
        <v>2300042641</v>
      </c>
      <c r="L27" s="302">
        <v>3700722783</v>
      </c>
      <c r="M27" s="302">
        <v>418218596</v>
      </c>
      <c r="N27" s="302">
        <v>2217897211</v>
      </c>
      <c r="O27" s="302">
        <v>690451796</v>
      </c>
      <c r="P27" s="302">
        <v>1527445415</v>
      </c>
      <c r="Q27" s="303"/>
    </row>
    <row r="28" spans="1:17" s="304" customFormat="1" x14ac:dyDescent="0.25">
      <c r="A28" s="300">
        <v>21</v>
      </c>
      <c r="B28" s="300">
        <v>860069804</v>
      </c>
      <c r="C28" s="300" t="s">
        <v>793</v>
      </c>
      <c r="D28" s="300" t="s">
        <v>758</v>
      </c>
      <c r="E28" s="300" t="s">
        <v>788</v>
      </c>
      <c r="F28" s="301" t="s">
        <v>760</v>
      </c>
      <c r="G28" s="302">
        <v>2984308477</v>
      </c>
      <c r="H28" s="302">
        <v>352275877</v>
      </c>
      <c r="I28" s="302">
        <v>4045792747</v>
      </c>
      <c r="J28" s="302">
        <v>1041036979</v>
      </c>
      <c r="K28" s="302">
        <v>3004755768</v>
      </c>
      <c r="L28" s="302">
        <v>3438468669</v>
      </c>
      <c r="M28" s="302">
        <v>662309565</v>
      </c>
      <c r="N28" s="302">
        <v>3742932879</v>
      </c>
      <c r="O28" s="302">
        <v>1141272406</v>
      </c>
      <c r="P28" s="302">
        <v>2601660473</v>
      </c>
      <c r="Q28" s="303"/>
    </row>
    <row r="29" spans="1:17" s="304" customFormat="1" x14ac:dyDescent="0.25">
      <c r="A29" s="300">
        <v>22</v>
      </c>
      <c r="B29" s="300">
        <v>860041312</v>
      </c>
      <c r="C29" s="300" t="s">
        <v>794</v>
      </c>
      <c r="D29" s="300" t="s">
        <v>768</v>
      </c>
      <c r="E29" s="300" t="s">
        <v>773</v>
      </c>
      <c r="F29" s="301" t="s">
        <v>760</v>
      </c>
      <c r="G29" s="302">
        <v>2837880702</v>
      </c>
      <c r="H29" s="302">
        <v>-62542566</v>
      </c>
      <c r="I29" s="302">
        <v>2593337397</v>
      </c>
      <c r="J29" s="302">
        <v>1876987363</v>
      </c>
      <c r="K29" s="302">
        <v>716350034</v>
      </c>
      <c r="L29" s="302">
        <v>2187194747</v>
      </c>
      <c r="M29" s="302">
        <v>-45619522</v>
      </c>
      <c r="N29" s="302">
        <v>2743361340</v>
      </c>
      <c r="O29" s="302">
        <v>1953652632</v>
      </c>
      <c r="P29" s="302">
        <v>789708708</v>
      </c>
      <c r="Q29" s="303"/>
    </row>
    <row r="30" spans="1:17" s="304" customFormat="1" x14ac:dyDescent="0.25">
      <c r="A30" s="300">
        <v>23</v>
      </c>
      <c r="B30" s="305">
        <v>800250119</v>
      </c>
      <c r="C30" s="306" t="s">
        <v>795</v>
      </c>
      <c r="D30" s="300" t="s">
        <v>758</v>
      </c>
      <c r="E30" s="300" t="s">
        <v>759</v>
      </c>
      <c r="F30" s="300" t="s">
        <v>766</v>
      </c>
      <c r="G30" s="302">
        <v>2828386017</v>
      </c>
      <c r="H30" s="302">
        <v>-498933766</v>
      </c>
      <c r="I30" s="302">
        <v>1185447766</v>
      </c>
      <c r="J30" s="302">
        <v>1378989608</v>
      </c>
      <c r="K30" s="302">
        <v>-193541842</v>
      </c>
      <c r="L30" s="302">
        <v>2765710765</v>
      </c>
      <c r="M30" s="302">
        <v>-11791738</v>
      </c>
      <c r="N30" s="302">
        <v>1353313318</v>
      </c>
      <c r="O30" s="302">
        <v>1052339366</v>
      </c>
      <c r="P30" s="302">
        <v>300973952</v>
      </c>
      <c r="Q30" s="303"/>
    </row>
    <row r="31" spans="1:17" s="304" customFormat="1" x14ac:dyDescent="0.25">
      <c r="A31" s="300">
        <v>24</v>
      </c>
      <c r="B31" s="300">
        <v>802007670</v>
      </c>
      <c r="C31" s="300" t="s">
        <v>796</v>
      </c>
      <c r="D31" s="300" t="s">
        <v>768</v>
      </c>
      <c r="E31" s="300" t="s">
        <v>759</v>
      </c>
      <c r="F31" s="301" t="s">
        <v>766</v>
      </c>
      <c r="G31" s="302">
        <v>2723288204.6719999</v>
      </c>
      <c r="H31" s="302">
        <v>46875282.392999999</v>
      </c>
      <c r="I31" s="307">
        <v>4832603737.2659998</v>
      </c>
      <c r="J31" s="307">
        <v>2718558697.5549998</v>
      </c>
      <c r="K31" s="307">
        <v>2114045039.711</v>
      </c>
      <c r="L31" s="302">
        <v>2598846238.8169999</v>
      </c>
      <c r="M31" s="302">
        <v>64480532.909000002</v>
      </c>
      <c r="N31" s="302">
        <v>4435477404.0150003</v>
      </c>
      <c r="O31" s="302">
        <v>2383069818.967</v>
      </c>
      <c r="P31" s="302">
        <v>2052407585.0480001</v>
      </c>
      <c r="Q31" s="303"/>
    </row>
    <row r="32" spans="1:17" s="304" customFormat="1" x14ac:dyDescent="0.25">
      <c r="A32" s="300">
        <v>25</v>
      </c>
      <c r="B32" s="300">
        <v>800242106</v>
      </c>
      <c r="C32" s="300" t="s">
        <v>797</v>
      </c>
      <c r="D32" s="300" t="s">
        <v>758</v>
      </c>
      <c r="E32" s="300" t="s">
        <v>798</v>
      </c>
      <c r="F32" s="301" t="s">
        <v>764</v>
      </c>
      <c r="G32" s="302">
        <v>2578680607</v>
      </c>
      <c r="H32" s="302">
        <v>110434943</v>
      </c>
      <c r="I32" s="302">
        <v>1833394534</v>
      </c>
      <c r="J32" s="302">
        <v>1055982664</v>
      </c>
      <c r="K32" s="302">
        <v>777411870</v>
      </c>
      <c r="L32" s="302">
        <v>2295371552</v>
      </c>
      <c r="M32" s="302">
        <v>110090685</v>
      </c>
      <c r="N32" s="302">
        <v>1601980684</v>
      </c>
      <c r="O32" s="302">
        <v>968872844</v>
      </c>
      <c r="P32" s="302">
        <v>633107840</v>
      </c>
      <c r="Q32" s="303"/>
    </row>
    <row r="33" spans="1:17" s="304" customFormat="1" x14ac:dyDescent="0.25">
      <c r="A33" s="300">
        <v>26</v>
      </c>
      <c r="B33" s="300">
        <v>860025372</v>
      </c>
      <c r="C33" s="300" t="s">
        <v>799</v>
      </c>
      <c r="D33" s="300" t="s">
        <v>763</v>
      </c>
      <c r="E33" s="300" t="s">
        <v>759</v>
      </c>
      <c r="F33" s="301" t="s">
        <v>766</v>
      </c>
      <c r="G33" s="302">
        <v>2567497100</v>
      </c>
      <c r="H33" s="302">
        <v>88225300</v>
      </c>
      <c r="I33" s="302">
        <v>888530150</v>
      </c>
      <c r="J33" s="302">
        <v>8750280</v>
      </c>
      <c r="K33" s="302">
        <v>879779880</v>
      </c>
      <c r="L33" s="302">
        <v>2095916000</v>
      </c>
      <c r="M33" s="302">
        <v>48832000</v>
      </c>
      <c r="N33" s="302">
        <v>2218125000</v>
      </c>
      <c r="O33" s="302">
        <v>1093983000</v>
      </c>
      <c r="P33" s="302">
        <v>1124142000</v>
      </c>
      <c r="Q33" s="303"/>
    </row>
    <row r="34" spans="1:17" s="304" customFormat="1" x14ac:dyDescent="0.25">
      <c r="A34" s="300">
        <v>27</v>
      </c>
      <c r="B34" s="300">
        <v>860002304</v>
      </c>
      <c r="C34" s="300" t="s">
        <v>800</v>
      </c>
      <c r="D34" s="300" t="s">
        <v>758</v>
      </c>
      <c r="E34" s="300" t="s">
        <v>801</v>
      </c>
      <c r="F34" s="301" t="s">
        <v>779</v>
      </c>
      <c r="G34" s="302">
        <v>2540721459</v>
      </c>
      <c r="H34" s="302">
        <v>1367278</v>
      </c>
      <c r="I34" s="302">
        <v>1123265841</v>
      </c>
      <c r="J34" s="302">
        <v>651877077</v>
      </c>
      <c r="K34" s="302">
        <v>471388764</v>
      </c>
      <c r="L34" s="302">
        <v>3017282703</v>
      </c>
      <c r="M34" s="302">
        <v>7832263</v>
      </c>
      <c r="N34" s="302">
        <v>1387110256</v>
      </c>
      <c r="O34" s="302">
        <v>946008942</v>
      </c>
      <c r="P34" s="302">
        <v>441101314</v>
      </c>
      <c r="Q34" s="303"/>
    </row>
    <row r="35" spans="1:17" s="304" customFormat="1" x14ac:dyDescent="0.25">
      <c r="A35" s="300">
        <v>28</v>
      </c>
      <c r="B35" s="308">
        <v>860007336</v>
      </c>
      <c r="C35" s="300" t="s">
        <v>802</v>
      </c>
      <c r="D35" s="300" t="s">
        <v>758</v>
      </c>
      <c r="E35" s="300" t="s">
        <v>759</v>
      </c>
      <c r="F35" s="301" t="s">
        <v>766</v>
      </c>
      <c r="G35" s="309">
        <v>2487915958</v>
      </c>
      <c r="H35" s="309">
        <v>85873357</v>
      </c>
      <c r="I35" s="309">
        <v>2929487163</v>
      </c>
      <c r="J35" s="309">
        <v>1337147078</v>
      </c>
      <c r="K35" s="309">
        <v>1592340085</v>
      </c>
      <c r="L35" s="309">
        <v>2281430915</v>
      </c>
      <c r="M35" s="309">
        <v>85420499</v>
      </c>
      <c r="N35" s="309">
        <v>2644243277</v>
      </c>
      <c r="O35" s="309">
        <v>1142691630</v>
      </c>
      <c r="P35" s="309">
        <v>1501551647</v>
      </c>
      <c r="Q35" s="303"/>
    </row>
    <row r="36" spans="1:17" s="304" customFormat="1" x14ac:dyDescent="0.25">
      <c r="A36" s="300">
        <v>29</v>
      </c>
      <c r="B36" s="300">
        <v>860063875</v>
      </c>
      <c r="C36" s="300" t="s">
        <v>803</v>
      </c>
      <c r="D36" s="300" t="s">
        <v>758</v>
      </c>
      <c r="E36" s="300" t="s">
        <v>759</v>
      </c>
      <c r="F36" s="301" t="s">
        <v>766</v>
      </c>
      <c r="G36" s="302">
        <v>2459358613.7589998</v>
      </c>
      <c r="H36" s="302">
        <v>870141109</v>
      </c>
      <c r="I36" s="302">
        <v>9785473218</v>
      </c>
      <c r="J36" s="302">
        <v>3979254675</v>
      </c>
      <c r="K36" s="302">
        <v>5806218543</v>
      </c>
      <c r="L36" s="302">
        <v>2163977080.6890001</v>
      </c>
      <c r="M36" s="302">
        <v>783529388</v>
      </c>
      <c r="N36" s="302">
        <v>9140079909</v>
      </c>
      <c r="O36" s="302">
        <v>3418729118</v>
      </c>
      <c r="P36" s="302">
        <v>5721350791</v>
      </c>
      <c r="Q36" s="303"/>
    </row>
    <row r="37" spans="1:17" s="304" customFormat="1" x14ac:dyDescent="0.25">
      <c r="A37" s="300">
        <v>30</v>
      </c>
      <c r="B37" s="300">
        <v>800251163</v>
      </c>
      <c r="C37" s="300" t="s">
        <v>804</v>
      </c>
      <c r="D37" s="300" t="s">
        <v>758</v>
      </c>
      <c r="E37" s="300" t="s">
        <v>805</v>
      </c>
      <c r="F37" s="301" t="s">
        <v>766</v>
      </c>
      <c r="G37" s="309">
        <v>2336893297</v>
      </c>
      <c r="H37" s="302">
        <v>1256389763</v>
      </c>
      <c r="I37" s="302">
        <v>8754653034</v>
      </c>
      <c r="J37" s="302">
        <v>756096304</v>
      </c>
      <c r="K37" s="302">
        <v>7998556730</v>
      </c>
      <c r="L37" s="302">
        <v>915532417</v>
      </c>
      <c r="M37" s="302">
        <v>10435003</v>
      </c>
      <c r="N37" s="302">
        <v>4311581965</v>
      </c>
      <c r="O37" s="302">
        <v>1142622096</v>
      </c>
      <c r="P37" s="302">
        <v>3168959869</v>
      </c>
      <c r="Q37" s="303"/>
    </row>
    <row r="38" spans="1:17" s="304" customFormat="1" x14ac:dyDescent="0.25">
      <c r="A38" s="300">
        <v>31</v>
      </c>
      <c r="B38" s="300">
        <v>860025792</v>
      </c>
      <c r="C38" s="300" t="s">
        <v>806</v>
      </c>
      <c r="D38" s="300" t="s">
        <v>763</v>
      </c>
      <c r="E38" s="300" t="s">
        <v>801</v>
      </c>
      <c r="F38" s="301" t="s">
        <v>779</v>
      </c>
      <c r="G38" s="302">
        <v>2330825195</v>
      </c>
      <c r="H38" s="302">
        <v>92712999</v>
      </c>
      <c r="I38" s="302">
        <v>784349413</v>
      </c>
      <c r="J38" s="302">
        <v>355208572</v>
      </c>
      <c r="K38" s="302">
        <v>429140841</v>
      </c>
      <c r="L38" s="302">
        <v>2180179742</v>
      </c>
      <c r="M38" s="302">
        <v>117881674</v>
      </c>
      <c r="N38" s="302">
        <v>807608612</v>
      </c>
      <c r="O38" s="302">
        <v>425345260</v>
      </c>
      <c r="P38" s="302">
        <v>382263352</v>
      </c>
      <c r="Q38" s="303"/>
    </row>
    <row r="39" spans="1:17" s="304" customFormat="1" x14ac:dyDescent="0.25">
      <c r="A39" s="300">
        <v>32</v>
      </c>
      <c r="B39" s="300">
        <v>805000427</v>
      </c>
      <c r="C39" s="300" t="s">
        <v>807</v>
      </c>
      <c r="D39" s="300" t="s">
        <v>808</v>
      </c>
      <c r="E39" s="300" t="s">
        <v>759</v>
      </c>
      <c r="F39" s="301" t="s">
        <v>766</v>
      </c>
      <c r="G39" s="302">
        <v>2322538420</v>
      </c>
      <c r="H39" s="302">
        <v>-19469255</v>
      </c>
      <c r="I39" s="302">
        <v>836096055</v>
      </c>
      <c r="J39" s="302">
        <v>762984177</v>
      </c>
      <c r="K39" s="302">
        <v>73111878</v>
      </c>
      <c r="L39" s="302">
        <v>2220521157</v>
      </c>
      <c r="M39" s="302">
        <v>-17887032</v>
      </c>
      <c r="N39" s="302">
        <v>754521315</v>
      </c>
      <c r="O39" s="302">
        <v>650323344</v>
      </c>
      <c r="P39" s="302">
        <v>104197972</v>
      </c>
      <c r="Q39" s="303"/>
    </row>
    <row r="40" spans="1:17" s="304" customFormat="1" x14ac:dyDescent="0.25">
      <c r="A40" s="300">
        <v>33</v>
      </c>
      <c r="B40" s="300">
        <v>830136799</v>
      </c>
      <c r="C40" s="300" t="s">
        <v>809</v>
      </c>
      <c r="D40" s="300" t="s">
        <v>758</v>
      </c>
      <c r="E40" s="300" t="s">
        <v>759</v>
      </c>
      <c r="F40" s="301" t="s">
        <v>764</v>
      </c>
      <c r="G40" s="302">
        <v>2315913549</v>
      </c>
      <c r="H40" s="302">
        <v>14656279</v>
      </c>
      <c r="I40" s="302">
        <v>707610558</v>
      </c>
      <c r="J40" s="302">
        <v>394174969</v>
      </c>
      <c r="K40" s="302">
        <v>313435589</v>
      </c>
      <c r="L40" s="302">
        <v>2639933079</v>
      </c>
      <c r="M40" s="302">
        <v>18404677</v>
      </c>
      <c r="N40" s="302">
        <v>695617040</v>
      </c>
      <c r="O40" s="302">
        <v>440966812</v>
      </c>
      <c r="P40" s="302">
        <v>254650227</v>
      </c>
      <c r="Q40" s="303"/>
    </row>
    <row r="41" spans="1:17" s="304" customFormat="1" x14ac:dyDescent="0.25">
      <c r="A41" s="300">
        <v>34</v>
      </c>
      <c r="B41" s="300">
        <v>860002426</v>
      </c>
      <c r="C41" s="300" t="s">
        <v>810</v>
      </c>
      <c r="D41" s="300" t="s">
        <v>758</v>
      </c>
      <c r="E41" s="300" t="s">
        <v>771</v>
      </c>
      <c r="F41" s="301" t="s">
        <v>760</v>
      </c>
      <c r="G41" s="302">
        <v>2017636054</v>
      </c>
      <c r="H41" s="302">
        <v>479487363</v>
      </c>
      <c r="I41" s="302">
        <v>2234113914</v>
      </c>
      <c r="J41" s="302">
        <v>1076140337</v>
      </c>
      <c r="K41" s="302">
        <v>1157973577</v>
      </c>
      <c r="L41" s="302">
        <v>1990762969</v>
      </c>
      <c r="M41" s="302">
        <v>535133068</v>
      </c>
      <c r="N41" s="302">
        <v>1834755785</v>
      </c>
      <c r="O41" s="302">
        <v>937847136</v>
      </c>
      <c r="P41" s="302">
        <v>896908649</v>
      </c>
      <c r="Q41" s="303"/>
    </row>
    <row r="42" spans="1:17" s="304" customFormat="1" x14ac:dyDescent="0.25">
      <c r="A42" s="300">
        <v>35</v>
      </c>
      <c r="B42" s="300">
        <v>811000740</v>
      </c>
      <c r="C42" s="300" t="s">
        <v>811</v>
      </c>
      <c r="D42" s="300" t="s">
        <v>763</v>
      </c>
      <c r="E42" s="300" t="s">
        <v>759</v>
      </c>
      <c r="F42" s="301" t="s">
        <v>766</v>
      </c>
      <c r="G42" s="302">
        <v>2002621984</v>
      </c>
      <c r="H42" s="302">
        <v>433966089</v>
      </c>
      <c r="I42" s="302">
        <v>7555341409</v>
      </c>
      <c r="J42" s="302">
        <v>3525891184</v>
      </c>
      <c r="K42" s="302">
        <v>4029450225</v>
      </c>
      <c r="L42" s="302">
        <v>1731311877</v>
      </c>
      <c r="M42" s="302">
        <v>460902587</v>
      </c>
      <c r="N42" s="302">
        <v>6742264788</v>
      </c>
      <c r="O42" s="302">
        <v>3111207771</v>
      </c>
      <c r="P42" s="302">
        <v>3631057017</v>
      </c>
      <c r="Q42" s="303"/>
    </row>
    <row r="43" spans="1:17" s="304" customFormat="1" x14ac:dyDescent="0.25">
      <c r="A43" s="300">
        <v>36</v>
      </c>
      <c r="B43" s="308">
        <v>860066942</v>
      </c>
      <c r="C43" s="300" t="s">
        <v>812</v>
      </c>
      <c r="D43" s="300" t="s">
        <v>758</v>
      </c>
      <c r="E43" s="300" t="s">
        <v>759</v>
      </c>
      <c r="F43" s="301" t="s">
        <v>766</v>
      </c>
      <c r="G43" s="309">
        <v>1948012002</v>
      </c>
      <c r="H43" s="309">
        <v>54762813.503890276</v>
      </c>
      <c r="I43" s="309">
        <v>1841236544</v>
      </c>
      <c r="J43" s="309">
        <v>948981965</v>
      </c>
      <c r="K43" s="309">
        <v>892254578.50389028</v>
      </c>
      <c r="L43" s="309">
        <v>1696653448</v>
      </c>
      <c r="M43" s="309">
        <v>42186494</v>
      </c>
      <c r="N43" s="309">
        <v>1579885043</v>
      </c>
      <c r="O43" s="309">
        <v>753669153</v>
      </c>
      <c r="P43" s="309">
        <v>826215890</v>
      </c>
      <c r="Q43" s="303"/>
    </row>
    <row r="44" spans="1:17" s="304" customFormat="1" x14ac:dyDescent="0.25">
      <c r="A44" s="300">
        <v>37</v>
      </c>
      <c r="B44" s="300">
        <v>830028931</v>
      </c>
      <c r="C44" s="300" t="s">
        <v>813</v>
      </c>
      <c r="D44" s="300" t="s">
        <v>758</v>
      </c>
      <c r="E44" s="300" t="s">
        <v>814</v>
      </c>
      <c r="F44" s="301" t="s">
        <v>764</v>
      </c>
      <c r="G44" s="302">
        <v>1928282575</v>
      </c>
      <c r="H44" s="302">
        <v>19769960</v>
      </c>
      <c r="I44" s="302">
        <v>595126369</v>
      </c>
      <c r="J44" s="302">
        <v>530998593</v>
      </c>
      <c r="K44" s="302">
        <v>64127776</v>
      </c>
      <c r="L44" s="302">
        <v>1348635703</v>
      </c>
      <c r="M44" s="302">
        <v>15113728</v>
      </c>
      <c r="N44" s="302">
        <v>477806538</v>
      </c>
      <c r="O44" s="302">
        <v>433448722</v>
      </c>
      <c r="P44" s="302">
        <v>44357816</v>
      </c>
      <c r="Q44" s="303"/>
    </row>
    <row r="45" spans="1:17" s="304" customFormat="1" x14ac:dyDescent="0.25">
      <c r="A45" s="300">
        <v>38</v>
      </c>
      <c r="B45" s="300">
        <v>830029881</v>
      </c>
      <c r="C45" s="300" t="s">
        <v>815</v>
      </c>
      <c r="D45" s="300" t="s">
        <v>758</v>
      </c>
      <c r="E45" s="300" t="s">
        <v>771</v>
      </c>
      <c r="F45" s="301" t="s">
        <v>760</v>
      </c>
      <c r="G45" s="302">
        <v>1895161465</v>
      </c>
      <c r="H45" s="302">
        <v>-72929631</v>
      </c>
      <c r="I45" s="302">
        <v>1578713106</v>
      </c>
      <c r="J45" s="302">
        <v>869952574</v>
      </c>
      <c r="K45" s="302">
        <v>708760532</v>
      </c>
      <c r="L45" s="302">
        <v>1787085338</v>
      </c>
      <c r="M45" s="302">
        <v>-22409673</v>
      </c>
      <c r="N45" s="302">
        <v>1534924337</v>
      </c>
      <c r="O45" s="302">
        <v>668506646</v>
      </c>
      <c r="P45" s="302">
        <v>866417691</v>
      </c>
      <c r="Q45" s="303"/>
    </row>
    <row r="46" spans="1:17" s="304" customFormat="1" x14ac:dyDescent="0.25">
      <c r="A46" s="300">
        <v>39</v>
      </c>
      <c r="B46" s="300">
        <v>890100251</v>
      </c>
      <c r="C46" s="300" t="s">
        <v>816</v>
      </c>
      <c r="D46" s="300" t="s">
        <v>763</v>
      </c>
      <c r="E46" s="300" t="s">
        <v>759</v>
      </c>
      <c r="F46" s="301" t="s">
        <v>779</v>
      </c>
      <c r="G46" s="302">
        <v>1882330769</v>
      </c>
      <c r="H46" s="302">
        <v>183710059</v>
      </c>
      <c r="I46" s="302">
        <v>10473513878</v>
      </c>
      <c r="J46" s="302">
        <v>3229155889</v>
      </c>
      <c r="K46" s="302">
        <v>7244357989</v>
      </c>
      <c r="L46" s="302">
        <v>1768329601</v>
      </c>
      <c r="M46" s="302">
        <v>387619129</v>
      </c>
      <c r="N46" s="302">
        <v>9437661116</v>
      </c>
      <c r="O46" s="302">
        <v>3722369574</v>
      </c>
      <c r="P46" s="302">
        <v>5715291542</v>
      </c>
      <c r="Q46" s="303"/>
    </row>
    <row r="47" spans="1:17" s="304" customFormat="1" x14ac:dyDescent="0.25">
      <c r="A47" s="300">
        <v>40</v>
      </c>
      <c r="B47" s="300">
        <v>830078038</v>
      </c>
      <c r="C47" s="300" t="s">
        <v>817</v>
      </c>
      <c r="D47" s="300" t="s">
        <v>758</v>
      </c>
      <c r="E47" s="300" t="s">
        <v>788</v>
      </c>
      <c r="F47" s="301" t="s">
        <v>760</v>
      </c>
      <c r="G47" s="309">
        <v>1881393821</v>
      </c>
      <c r="H47" s="302">
        <v>304549879</v>
      </c>
      <c r="I47" s="302">
        <v>2323491653</v>
      </c>
      <c r="J47" s="302">
        <v>1117667985</v>
      </c>
      <c r="K47" s="302">
        <v>1205823668</v>
      </c>
      <c r="L47" s="302">
        <v>1950328742</v>
      </c>
      <c r="M47" s="302">
        <v>415318359</v>
      </c>
      <c r="N47" s="302">
        <v>1802754791</v>
      </c>
      <c r="O47" s="302">
        <v>652093068</v>
      </c>
      <c r="P47" s="302">
        <v>1150661723</v>
      </c>
      <c r="Q47" s="303"/>
    </row>
    <row r="48" spans="1:17" s="304" customFormat="1" x14ac:dyDescent="0.25">
      <c r="A48" s="300">
        <v>41</v>
      </c>
      <c r="B48" s="300">
        <v>890903858</v>
      </c>
      <c r="C48" s="300" t="s">
        <v>818</v>
      </c>
      <c r="D48" s="300" t="s">
        <v>758</v>
      </c>
      <c r="E48" s="300" t="s">
        <v>819</v>
      </c>
      <c r="F48" s="301" t="s">
        <v>779</v>
      </c>
      <c r="G48" s="302">
        <v>1845545295</v>
      </c>
      <c r="H48" s="302">
        <v>83459226</v>
      </c>
      <c r="I48" s="302">
        <v>1586709940</v>
      </c>
      <c r="J48" s="302">
        <v>583451924</v>
      </c>
      <c r="K48" s="302">
        <v>1003258016</v>
      </c>
      <c r="L48" s="302">
        <v>1895167110</v>
      </c>
      <c r="M48" s="302">
        <v>150351595</v>
      </c>
      <c r="N48" s="302">
        <v>1541622496</v>
      </c>
      <c r="O48" s="302">
        <v>625876114</v>
      </c>
      <c r="P48" s="302">
        <v>915746382</v>
      </c>
      <c r="Q48" s="303"/>
    </row>
    <row r="49" spans="1:17" s="304" customFormat="1" x14ac:dyDescent="0.25">
      <c r="A49" s="300">
        <v>42</v>
      </c>
      <c r="B49" s="300">
        <v>800128549</v>
      </c>
      <c r="C49" s="300" t="s">
        <v>820</v>
      </c>
      <c r="D49" s="300" t="s">
        <v>758</v>
      </c>
      <c r="E49" s="300" t="s">
        <v>771</v>
      </c>
      <c r="F49" s="301" t="s">
        <v>760</v>
      </c>
      <c r="G49" s="302">
        <v>1827883146</v>
      </c>
      <c r="H49" s="302">
        <v>-33270682</v>
      </c>
      <c r="I49" s="302">
        <v>2002650612</v>
      </c>
      <c r="J49" s="302">
        <v>900881164</v>
      </c>
      <c r="K49" s="302">
        <v>1101769448</v>
      </c>
      <c r="L49" s="302">
        <v>1569099358</v>
      </c>
      <c r="M49" s="302">
        <v>23701795</v>
      </c>
      <c r="N49" s="302">
        <v>1435029262</v>
      </c>
      <c r="O49" s="302">
        <v>681813579</v>
      </c>
      <c r="P49" s="302">
        <v>753215683</v>
      </c>
      <c r="Q49" s="303"/>
    </row>
    <row r="50" spans="1:17" s="304" customFormat="1" x14ac:dyDescent="0.25">
      <c r="A50" s="300">
        <v>43</v>
      </c>
      <c r="B50" s="300">
        <v>890904478</v>
      </c>
      <c r="C50" s="300" t="s">
        <v>821</v>
      </c>
      <c r="D50" s="300" t="s">
        <v>763</v>
      </c>
      <c r="E50" s="300" t="s">
        <v>759</v>
      </c>
      <c r="F50" s="301" t="s">
        <v>779</v>
      </c>
      <c r="G50" s="302">
        <v>1810644630.69137</v>
      </c>
      <c r="H50" s="302">
        <v>8388545.4744499996</v>
      </c>
      <c r="I50" s="302">
        <v>597318504.77691007</v>
      </c>
      <c r="J50" s="302">
        <v>250076057.49011999</v>
      </c>
      <c r="K50" s="302">
        <v>347242447.28678995</v>
      </c>
      <c r="L50" s="302">
        <v>1675314119.6705801</v>
      </c>
      <c r="M50" s="302">
        <v>17990138.851509999</v>
      </c>
      <c r="N50" s="302">
        <v>627589603.14688003</v>
      </c>
      <c r="O50" s="302">
        <v>279658700.87726003</v>
      </c>
      <c r="P50" s="302">
        <v>347930902.26962</v>
      </c>
      <c r="Q50" s="303"/>
    </row>
    <row r="51" spans="1:17" s="304" customFormat="1" x14ac:dyDescent="0.25">
      <c r="A51" s="300">
        <v>44</v>
      </c>
      <c r="B51" s="300">
        <v>800216181</v>
      </c>
      <c r="C51" s="300" t="s">
        <v>822</v>
      </c>
      <c r="D51" s="300" t="s">
        <v>758</v>
      </c>
      <c r="E51" s="300" t="s">
        <v>759</v>
      </c>
      <c r="F51" s="301" t="s">
        <v>766</v>
      </c>
      <c r="G51" s="302">
        <v>1785108620</v>
      </c>
      <c r="H51" s="302">
        <v>1577185030</v>
      </c>
      <c r="I51" s="302">
        <v>24113765960</v>
      </c>
      <c r="J51" s="302">
        <v>1175556550</v>
      </c>
      <c r="K51" s="302">
        <v>22938209420</v>
      </c>
      <c r="L51" s="302">
        <v>1793523600</v>
      </c>
      <c r="M51" s="302">
        <v>1524972520</v>
      </c>
      <c r="N51" s="302">
        <v>19762754070</v>
      </c>
      <c r="O51" s="302">
        <v>2232446767</v>
      </c>
      <c r="P51" s="302">
        <v>17530307302</v>
      </c>
      <c r="Q51" s="303"/>
    </row>
    <row r="52" spans="1:17" s="304" customFormat="1" x14ac:dyDescent="0.25">
      <c r="A52" s="300">
        <v>45</v>
      </c>
      <c r="B52" s="300">
        <v>860002523</v>
      </c>
      <c r="C52" s="300" t="s">
        <v>823</v>
      </c>
      <c r="D52" s="300" t="s">
        <v>758</v>
      </c>
      <c r="E52" s="300" t="s">
        <v>759</v>
      </c>
      <c r="F52" s="301" t="s">
        <v>779</v>
      </c>
      <c r="G52" s="302">
        <v>1761008569</v>
      </c>
      <c r="H52" s="302">
        <v>165438748</v>
      </c>
      <c r="I52" s="302">
        <v>2782553215</v>
      </c>
      <c r="J52" s="302">
        <v>812068081</v>
      </c>
      <c r="K52" s="302">
        <v>1970485134</v>
      </c>
      <c r="L52" s="302">
        <v>1626650476</v>
      </c>
      <c r="M52" s="302">
        <v>207580233</v>
      </c>
      <c r="N52" s="302">
        <v>2401898462</v>
      </c>
      <c r="O52" s="302">
        <v>678502053</v>
      </c>
      <c r="P52" s="302">
        <v>1723396409</v>
      </c>
      <c r="Q52" s="303"/>
    </row>
    <row r="53" spans="1:17" s="304" customFormat="1" x14ac:dyDescent="0.25">
      <c r="A53" s="300">
        <v>46</v>
      </c>
      <c r="B53" s="300">
        <v>890399003</v>
      </c>
      <c r="C53" s="300" t="s">
        <v>824</v>
      </c>
      <c r="D53" s="300" t="s">
        <v>808</v>
      </c>
      <c r="E53" s="300" t="s">
        <v>759</v>
      </c>
      <c r="F53" s="301" t="s">
        <v>766</v>
      </c>
      <c r="G53" s="302">
        <v>1727421989.8670001</v>
      </c>
      <c r="H53" s="302">
        <v>301630735.778</v>
      </c>
      <c r="I53" s="302">
        <v>5945682672.5469999</v>
      </c>
      <c r="J53" s="302">
        <v>2642371548.1370001</v>
      </c>
      <c r="K53" s="302">
        <v>3303311124.4099998</v>
      </c>
      <c r="L53" s="302">
        <v>1646609993.1029999</v>
      </c>
      <c r="M53" s="302">
        <v>215858989.245</v>
      </c>
      <c r="N53" s="302">
        <v>5535041021.4949999</v>
      </c>
      <c r="O53" s="302">
        <v>2837319099.7789998</v>
      </c>
      <c r="P53" s="302">
        <v>2697721921.7160001</v>
      </c>
      <c r="Q53" s="303"/>
    </row>
    <row r="54" spans="1:17" s="304" customFormat="1" x14ac:dyDescent="0.25">
      <c r="A54" s="300">
        <v>47</v>
      </c>
      <c r="B54" s="300">
        <v>830114921</v>
      </c>
      <c r="C54" s="300" t="s">
        <v>825</v>
      </c>
      <c r="D54" s="300" t="s">
        <v>758</v>
      </c>
      <c r="E54" s="300" t="s">
        <v>826</v>
      </c>
      <c r="F54" s="301" t="s">
        <v>766</v>
      </c>
      <c r="G54" s="302">
        <v>1674715056</v>
      </c>
      <c r="H54" s="302">
        <v>22726582</v>
      </c>
      <c r="I54" s="302">
        <v>2140389567</v>
      </c>
      <c r="J54" s="302">
        <v>1837801314</v>
      </c>
      <c r="K54" s="302">
        <v>302588253</v>
      </c>
      <c r="L54" s="302">
        <v>1387754814</v>
      </c>
      <c r="M54" s="302">
        <v>1789409</v>
      </c>
      <c r="N54" s="302">
        <v>1886044953</v>
      </c>
      <c r="O54" s="302">
        <v>1569665762</v>
      </c>
      <c r="P54" s="302">
        <v>316379191</v>
      </c>
      <c r="Q54" s="303"/>
    </row>
    <row r="55" spans="1:17" s="304" customFormat="1" x14ac:dyDescent="0.25">
      <c r="A55" s="300">
        <v>48</v>
      </c>
      <c r="B55" s="300">
        <v>899999094</v>
      </c>
      <c r="C55" s="300" t="s">
        <v>827</v>
      </c>
      <c r="D55" s="300" t="s">
        <v>758</v>
      </c>
      <c r="E55" s="300" t="s">
        <v>759</v>
      </c>
      <c r="F55" s="300" t="s">
        <v>766</v>
      </c>
      <c r="G55" s="302">
        <v>1595523653</v>
      </c>
      <c r="H55" s="302">
        <v>120553225</v>
      </c>
      <c r="I55" s="302">
        <v>10250465847</v>
      </c>
      <c r="J55" s="302">
        <v>4127297427</v>
      </c>
      <c r="K55" s="302">
        <v>6123168420</v>
      </c>
      <c r="L55" s="302">
        <v>1400293605</v>
      </c>
      <c r="M55" s="302">
        <v>206539055</v>
      </c>
      <c r="N55" s="302">
        <v>9987608422</v>
      </c>
      <c r="O55" s="302">
        <v>3885334556</v>
      </c>
      <c r="P55" s="302">
        <v>6102273866</v>
      </c>
      <c r="Q55" s="303"/>
    </row>
    <row r="56" spans="1:17" s="304" customFormat="1" x14ac:dyDescent="0.25">
      <c r="A56" s="300">
        <v>49</v>
      </c>
      <c r="B56" s="300">
        <v>800059470</v>
      </c>
      <c r="C56" s="300" t="s">
        <v>828</v>
      </c>
      <c r="D56" s="300" t="s">
        <v>758</v>
      </c>
      <c r="E56" s="300" t="s">
        <v>829</v>
      </c>
      <c r="F56" s="301" t="s">
        <v>779</v>
      </c>
      <c r="G56" s="302">
        <v>1460049812</v>
      </c>
      <c r="H56" s="302">
        <v>17292342</v>
      </c>
      <c r="I56" s="302">
        <v>1223939128</v>
      </c>
      <c r="J56" s="302">
        <v>529867745</v>
      </c>
      <c r="K56" s="302">
        <v>694071383</v>
      </c>
      <c r="L56" s="302">
        <v>1352325500</v>
      </c>
      <c r="M56" s="302">
        <v>52620216</v>
      </c>
      <c r="N56" s="302">
        <v>1115165313</v>
      </c>
      <c r="O56" s="302">
        <v>395386130</v>
      </c>
      <c r="P56" s="302">
        <v>719779183</v>
      </c>
      <c r="Q56" s="303"/>
    </row>
    <row r="57" spans="1:17" s="304" customFormat="1" x14ac:dyDescent="0.25">
      <c r="A57" s="300">
        <v>50</v>
      </c>
      <c r="B57" s="300">
        <v>860025900</v>
      </c>
      <c r="C57" s="300" t="s">
        <v>830</v>
      </c>
      <c r="D57" s="300" t="s">
        <v>758</v>
      </c>
      <c r="E57" s="300" t="s">
        <v>759</v>
      </c>
      <c r="F57" s="301" t="s">
        <v>779</v>
      </c>
      <c r="G57" s="302">
        <v>1429903980</v>
      </c>
      <c r="H57" s="302">
        <v>36096770</v>
      </c>
      <c r="I57" s="302">
        <v>1147263520</v>
      </c>
      <c r="J57" s="302">
        <v>675599410</v>
      </c>
      <c r="K57" s="302">
        <v>471664110</v>
      </c>
      <c r="L57" s="302">
        <v>1414939676</v>
      </c>
      <c r="M57" s="302">
        <v>33582690</v>
      </c>
      <c r="N57" s="302">
        <v>1165490837</v>
      </c>
      <c r="O57" s="302">
        <v>629737566</v>
      </c>
      <c r="P57" s="302">
        <v>535753271</v>
      </c>
      <c r="Q57" s="303"/>
    </row>
    <row r="58" spans="1:17" s="304" customFormat="1" x14ac:dyDescent="0.25">
      <c r="A58" s="300">
        <v>51</v>
      </c>
      <c r="B58" s="300">
        <v>900023333</v>
      </c>
      <c r="C58" s="300" t="s">
        <v>831</v>
      </c>
      <c r="D58" s="300" t="s">
        <v>758</v>
      </c>
      <c r="E58" s="300" t="s">
        <v>832</v>
      </c>
      <c r="F58" s="301" t="s">
        <v>766</v>
      </c>
      <c r="G58" s="302">
        <v>1422205880</v>
      </c>
      <c r="H58" s="302">
        <v>1380571993</v>
      </c>
      <c r="I58" s="302">
        <v>5683214926</v>
      </c>
      <c r="J58" s="302">
        <v>78506937</v>
      </c>
      <c r="K58" s="302">
        <v>5604707989</v>
      </c>
      <c r="L58" s="302">
        <v>1655689761</v>
      </c>
      <c r="M58" s="302">
        <v>1505229389</v>
      </c>
      <c r="N58" s="302">
        <v>5421973304</v>
      </c>
      <c r="O58" s="302">
        <v>1308920</v>
      </c>
      <c r="P58" s="302">
        <v>5420664384</v>
      </c>
      <c r="Q58" s="303"/>
    </row>
    <row r="59" spans="1:17" s="304" customFormat="1" x14ac:dyDescent="0.25">
      <c r="A59" s="300">
        <v>52</v>
      </c>
      <c r="B59" s="300">
        <v>860016610</v>
      </c>
      <c r="C59" s="300" t="s">
        <v>833</v>
      </c>
      <c r="D59" s="300" t="s">
        <v>763</v>
      </c>
      <c r="E59" s="300" t="s">
        <v>759</v>
      </c>
      <c r="F59" s="301" t="s">
        <v>766</v>
      </c>
      <c r="G59" s="302">
        <v>1370923396.9330001</v>
      </c>
      <c r="H59" s="302">
        <v>372185761.449</v>
      </c>
      <c r="I59" s="302">
        <v>5459559275.6759996</v>
      </c>
      <c r="J59" s="302">
        <v>1717875517.372</v>
      </c>
      <c r="K59" s="302">
        <v>3741683758.3039999</v>
      </c>
      <c r="L59" s="302">
        <v>1220737196.1059999</v>
      </c>
      <c r="M59" s="302">
        <v>382774749.352</v>
      </c>
      <c r="N59" s="302">
        <v>5435292724.7259998</v>
      </c>
      <c r="O59" s="302">
        <v>1640309342.059</v>
      </c>
      <c r="P59" s="302">
        <v>3794983382.6669998</v>
      </c>
      <c r="Q59" s="303"/>
    </row>
    <row r="60" spans="1:17" s="304" customFormat="1" x14ac:dyDescent="0.25">
      <c r="A60" s="300">
        <v>53</v>
      </c>
      <c r="B60" s="300">
        <v>899999115</v>
      </c>
      <c r="C60" s="300" t="s">
        <v>834</v>
      </c>
      <c r="D60" s="300" t="s">
        <v>758</v>
      </c>
      <c r="E60" s="300" t="s">
        <v>759</v>
      </c>
      <c r="F60" s="301" t="s">
        <v>766</v>
      </c>
      <c r="G60" s="302">
        <v>1361859494</v>
      </c>
      <c r="H60" s="302">
        <v>169117889</v>
      </c>
      <c r="I60" s="302">
        <v>4862182381</v>
      </c>
      <c r="J60" s="302">
        <v>1764441216</v>
      </c>
      <c r="K60" s="302">
        <v>3097741165</v>
      </c>
      <c r="L60" s="302">
        <v>1344272087</v>
      </c>
      <c r="M60" s="302">
        <v>262830172</v>
      </c>
      <c r="N60" s="302">
        <v>5074186275</v>
      </c>
      <c r="O60" s="302">
        <v>2344617240</v>
      </c>
      <c r="P60" s="302">
        <v>2729569035</v>
      </c>
      <c r="Q60" s="303"/>
    </row>
    <row r="61" spans="1:17" s="304" customFormat="1" x14ac:dyDescent="0.25">
      <c r="A61" s="300">
        <v>54</v>
      </c>
      <c r="B61" s="300">
        <v>800007813</v>
      </c>
      <c r="C61" s="300" t="s">
        <v>835</v>
      </c>
      <c r="D61" s="300" t="s">
        <v>758</v>
      </c>
      <c r="E61" s="300" t="s">
        <v>759</v>
      </c>
      <c r="F61" s="301" t="s">
        <v>766</v>
      </c>
      <c r="G61" s="302">
        <v>1358034896.957</v>
      </c>
      <c r="H61" s="302">
        <v>268274198.06200001</v>
      </c>
      <c r="I61" s="309">
        <v>1791206236.8540001</v>
      </c>
      <c r="J61" s="309">
        <v>493094574.50199997</v>
      </c>
      <c r="K61" s="309">
        <v>1298111662.352</v>
      </c>
      <c r="L61" s="302">
        <v>1305953103.9549999</v>
      </c>
      <c r="M61" s="302">
        <v>249549548.66100001</v>
      </c>
      <c r="N61" s="302">
        <v>1777341967.5039999</v>
      </c>
      <c r="O61" s="302">
        <v>513560730.21399999</v>
      </c>
      <c r="P61" s="302">
        <v>1263781237.29</v>
      </c>
      <c r="Q61" s="303"/>
    </row>
    <row r="62" spans="1:17" s="304" customFormat="1" x14ac:dyDescent="0.25">
      <c r="A62" s="300">
        <v>55</v>
      </c>
      <c r="B62" s="300">
        <v>900082143</v>
      </c>
      <c r="C62" s="300" t="s">
        <v>836</v>
      </c>
      <c r="D62" s="300" t="s">
        <v>768</v>
      </c>
      <c r="E62" s="300" t="s">
        <v>759</v>
      </c>
      <c r="F62" s="301" t="s">
        <v>766</v>
      </c>
      <c r="G62" s="302">
        <v>1338021070.046</v>
      </c>
      <c r="H62" s="302">
        <v>42414416.836000003</v>
      </c>
      <c r="I62" s="302">
        <v>1715029927.9059999</v>
      </c>
      <c r="J62" s="302">
        <v>506641173.02499998</v>
      </c>
      <c r="K62" s="302">
        <v>1208388754.881</v>
      </c>
      <c r="L62" s="302">
        <v>1360883347.1329999</v>
      </c>
      <c r="M62" s="302">
        <v>128600422.941</v>
      </c>
      <c r="N62" s="302">
        <v>1614592951.9260001</v>
      </c>
      <c r="O62" s="302">
        <v>415006802.82700002</v>
      </c>
      <c r="P62" s="302">
        <v>1199586149.099</v>
      </c>
      <c r="Q62" s="303"/>
    </row>
    <row r="63" spans="1:17" s="304" customFormat="1" x14ac:dyDescent="0.25">
      <c r="A63" s="300">
        <v>56</v>
      </c>
      <c r="B63" s="300">
        <v>860004864</v>
      </c>
      <c r="C63" s="300" t="s">
        <v>837</v>
      </c>
      <c r="D63" s="300" t="s">
        <v>758</v>
      </c>
      <c r="E63" s="300" t="s">
        <v>771</v>
      </c>
      <c r="F63" s="300" t="s">
        <v>760</v>
      </c>
      <c r="G63" s="302">
        <v>1309781208</v>
      </c>
      <c r="H63" s="302">
        <v>570278759</v>
      </c>
      <c r="I63" s="302">
        <v>2409977436</v>
      </c>
      <c r="J63" s="302">
        <v>777051505</v>
      </c>
      <c r="K63" s="302">
        <v>1632925931</v>
      </c>
      <c r="L63" s="302">
        <v>1178723873</v>
      </c>
      <c r="M63" s="302">
        <v>514529600</v>
      </c>
      <c r="N63" s="302">
        <v>2080968848</v>
      </c>
      <c r="O63" s="302">
        <v>681624245</v>
      </c>
      <c r="P63" s="302">
        <v>1399344603</v>
      </c>
      <c r="Q63" s="303"/>
    </row>
    <row r="64" spans="1:17" s="304" customFormat="1" x14ac:dyDescent="0.25">
      <c r="A64" s="300">
        <v>57</v>
      </c>
      <c r="B64" s="305">
        <v>800130907</v>
      </c>
      <c r="C64" s="306" t="s">
        <v>838</v>
      </c>
      <c r="D64" s="300" t="s">
        <v>758</v>
      </c>
      <c r="E64" s="300" t="s">
        <v>759</v>
      </c>
      <c r="F64" s="300" t="s">
        <v>766</v>
      </c>
      <c r="G64" s="302">
        <v>1294751915</v>
      </c>
      <c r="H64" s="302">
        <v>13868778</v>
      </c>
      <c r="I64" s="302">
        <v>451475476</v>
      </c>
      <c r="J64" s="302">
        <v>372054168</v>
      </c>
      <c r="K64" s="302">
        <v>79421308</v>
      </c>
      <c r="L64" s="302">
        <v>1082850454</v>
      </c>
      <c r="M64" s="302">
        <v>5564582</v>
      </c>
      <c r="N64" s="302">
        <v>395940429</v>
      </c>
      <c r="O64" s="302">
        <v>330342838</v>
      </c>
      <c r="P64" s="302">
        <v>65597591</v>
      </c>
      <c r="Q64" s="303"/>
    </row>
    <row r="65" spans="1:17" s="304" customFormat="1" x14ac:dyDescent="0.25">
      <c r="A65" s="300">
        <v>58</v>
      </c>
      <c r="B65" s="300">
        <v>890300346</v>
      </c>
      <c r="C65" s="300" t="s">
        <v>839</v>
      </c>
      <c r="D65" s="300" t="s">
        <v>808</v>
      </c>
      <c r="E65" s="300" t="s">
        <v>786</v>
      </c>
      <c r="F65" s="301" t="s">
        <v>764</v>
      </c>
      <c r="G65" s="302">
        <v>1292984443</v>
      </c>
      <c r="H65" s="302">
        <v>2426646</v>
      </c>
      <c r="I65" s="310">
        <v>1377483187</v>
      </c>
      <c r="J65" s="310">
        <v>669755368</v>
      </c>
      <c r="K65" s="310">
        <v>707727819</v>
      </c>
      <c r="L65" s="302">
        <v>1269193972</v>
      </c>
      <c r="M65" s="302">
        <v>10256180</v>
      </c>
      <c r="N65" s="302">
        <v>1121545935</v>
      </c>
      <c r="O65" s="302">
        <v>652826554</v>
      </c>
      <c r="P65" s="302">
        <v>468719381</v>
      </c>
      <c r="Q65" s="303"/>
    </row>
    <row r="66" spans="1:17" s="304" customFormat="1" x14ac:dyDescent="0.25">
      <c r="A66" s="300">
        <v>59</v>
      </c>
      <c r="B66" s="300">
        <v>800249313</v>
      </c>
      <c r="C66" s="300" t="s">
        <v>840</v>
      </c>
      <c r="D66" s="300" t="s">
        <v>758</v>
      </c>
      <c r="E66" s="300" t="s">
        <v>771</v>
      </c>
      <c r="F66" s="301" t="s">
        <v>760</v>
      </c>
      <c r="G66" s="302">
        <v>1288348617</v>
      </c>
      <c r="H66" s="302">
        <v>451283477</v>
      </c>
      <c r="I66" s="302">
        <v>2187818314</v>
      </c>
      <c r="J66" s="302">
        <v>375687306</v>
      </c>
      <c r="K66" s="302">
        <v>1812131008</v>
      </c>
      <c r="L66" s="302">
        <v>1163983326</v>
      </c>
      <c r="M66" s="302">
        <v>449132874</v>
      </c>
      <c r="N66" s="302">
        <v>2139105852</v>
      </c>
      <c r="O66" s="302">
        <v>408770427</v>
      </c>
      <c r="P66" s="302">
        <v>1730335425</v>
      </c>
      <c r="Q66" s="303"/>
    </row>
    <row r="67" spans="1:17" s="304" customFormat="1" x14ac:dyDescent="0.25">
      <c r="A67" s="300">
        <v>60</v>
      </c>
      <c r="B67" s="300">
        <v>800249860</v>
      </c>
      <c r="C67" s="300" t="s">
        <v>841</v>
      </c>
      <c r="D67" s="300" t="s">
        <v>808</v>
      </c>
      <c r="E67" s="300" t="s">
        <v>759</v>
      </c>
      <c r="F67" s="301" t="s">
        <v>766</v>
      </c>
      <c r="G67" s="302">
        <v>1274575527.2780001</v>
      </c>
      <c r="H67" s="302">
        <v>279518257.87800002</v>
      </c>
      <c r="I67" s="302">
        <v>4474483733.6020002</v>
      </c>
      <c r="J67" s="302">
        <v>1260479360.7260001</v>
      </c>
      <c r="K67" s="302">
        <v>3214004372.8759999</v>
      </c>
      <c r="L67" s="302">
        <v>1281962060.1270001</v>
      </c>
      <c r="M67" s="302">
        <v>277383863.91100001</v>
      </c>
      <c r="N67" s="302">
        <v>4042395549.7639999</v>
      </c>
      <c r="O67" s="302">
        <v>1132397839.214</v>
      </c>
      <c r="P67" s="302">
        <v>2909997710.5500002</v>
      </c>
      <c r="Q67" s="303"/>
    </row>
    <row r="68" spans="1:17" s="304" customFormat="1" x14ac:dyDescent="0.25">
      <c r="A68" s="300">
        <v>61</v>
      </c>
      <c r="B68" s="300">
        <v>860002576</v>
      </c>
      <c r="C68" s="300" t="s">
        <v>842</v>
      </c>
      <c r="D68" s="300" t="s">
        <v>758</v>
      </c>
      <c r="E68" s="300" t="s">
        <v>843</v>
      </c>
      <c r="F68" s="300" t="s">
        <v>764</v>
      </c>
      <c r="G68" s="302">
        <v>1268377434</v>
      </c>
      <c r="H68" s="302">
        <v>23556246</v>
      </c>
      <c r="I68" s="302">
        <v>1118724587</v>
      </c>
      <c r="J68" s="302">
        <v>654002052</v>
      </c>
      <c r="K68" s="302">
        <v>464722535</v>
      </c>
      <c r="L68" s="302">
        <v>1399017602</v>
      </c>
      <c r="M68" s="302">
        <v>51431921</v>
      </c>
      <c r="N68" s="302">
        <v>1137578717</v>
      </c>
      <c r="O68" s="302">
        <v>715456940</v>
      </c>
      <c r="P68" s="302">
        <v>422121777</v>
      </c>
      <c r="Q68" s="303"/>
    </row>
    <row r="69" spans="1:17" s="304" customFormat="1" x14ac:dyDescent="0.25">
      <c r="A69" s="300">
        <v>62</v>
      </c>
      <c r="B69" s="300">
        <v>830065063</v>
      </c>
      <c r="C69" s="300" t="s">
        <v>844</v>
      </c>
      <c r="D69" s="300" t="s">
        <v>758</v>
      </c>
      <c r="E69" s="300" t="s">
        <v>814</v>
      </c>
      <c r="F69" s="301" t="s">
        <v>764</v>
      </c>
      <c r="G69" s="302">
        <v>1262495208</v>
      </c>
      <c r="H69" s="302">
        <v>-16608068</v>
      </c>
      <c r="I69" s="302">
        <v>459489967</v>
      </c>
      <c r="J69" s="302">
        <v>417073427</v>
      </c>
      <c r="K69" s="302">
        <v>42416540</v>
      </c>
      <c r="L69" s="302">
        <v>1106763482</v>
      </c>
      <c r="M69" s="302">
        <v>-16508281</v>
      </c>
      <c r="N69" s="302">
        <v>389784116</v>
      </c>
      <c r="O69" s="302">
        <v>330740528</v>
      </c>
      <c r="P69" s="302">
        <v>59043588</v>
      </c>
      <c r="Q69" s="303"/>
    </row>
    <row r="70" spans="1:17" s="304" customFormat="1" x14ac:dyDescent="0.25">
      <c r="A70" s="300">
        <v>63</v>
      </c>
      <c r="B70" s="300">
        <v>860002175</v>
      </c>
      <c r="C70" s="300" t="s">
        <v>845</v>
      </c>
      <c r="D70" s="300" t="s">
        <v>758</v>
      </c>
      <c r="E70" s="300" t="s">
        <v>846</v>
      </c>
      <c r="F70" s="301" t="s">
        <v>760</v>
      </c>
      <c r="G70" s="302">
        <v>1259929784</v>
      </c>
      <c r="H70" s="302">
        <v>93477890</v>
      </c>
      <c r="I70" s="302">
        <v>1830676413</v>
      </c>
      <c r="J70" s="302">
        <v>307278168</v>
      </c>
      <c r="K70" s="302">
        <v>1523398245</v>
      </c>
      <c r="L70" s="302">
        <v>1096377490</v>
      </c>
      <c r="M70" s="302">
        <v>30071651</v>
      </c>
      <c r="N70" s="302">
        <v>1370316762</v>
      </c>
      <c r="O70" s="302">
        <v>231929565</v>
      </c>
      <c r="P70" s="302">
        <v>1138387197</v>
      </c>
      <c r="Q70" s="303"/>
    </row>
    <row r="71" spans="1:17" s="304" customFormat="1" x14ac:dyDescent="0.25">
      <c r="A71" s="300">
        <v>64</v>
      </c>
      <c r="B71" s="300">
        <v>900017447</v>
      </c>
      <c r="C71" s="300" t="s">
        <v>847</v>
      </c>
      <c r="D71" s="300" t="s">
        <v>758</v>
      </c>
      <c r="E71" s="300" t="s">
        <v>848</v>
      </c>
      <c r="F71" s="301" t="s">
        <v>764</v>
      </c>
      <c r="G71" s="302">
        <v>1245860341</v>
      </c>
      <c r="H71" s="302">
        <v>17063454</v>
      </c>
      <c r="I71" s="302">
        <v>754905209</v>
      </c>
      <c r="J71" s="302">
        <v>415144544</v>
      </c>
      <c r="K71" s="302">
        <v>339760665</v>
      </c>
      <c r="L71" s="302">
        <v>1087886492</v>
      </c>
      <c r="M71" s="302">
        <v>25731532</v>
      </c>
      <c r="N71" s="302">
        <v>678183050</v>
      </c>
      <c r="O71" s="302">
        <v>386551163</v>
      </c>
      <c r="P71" s="302">
        <v>291631887</v>
      </c>
      <c r="Q71" s="303"/>
    </row>
    <row r="72" spans="1:17" s="304" customFormat="1" x14ac:dyDescent="0.25">
      <c r="A72" s="300">
        <v>65</v>
      </c>
      <c r="B72" s="300">
        <v>860069378</v>
      </c>
      <c r="C72" s="300" t="s">
        <v>849</v>
      </c>
      <c r="D72" s="300" t="s">
        <v>758</v>
      </c>
      <c r="E72" s="300" t="s">
        <v>850</v>
      </c>
      <c r="F72" s="301" t="s">
        <v>760</v>
      </c>
      <c r="G72" s="309">
        <v>1241591720</v>
      </c>
      <c r="H72" s="302">
        <v>39589966</v>
      </c>
      <c r="I72" s="302">
        <v>2602636432</v>
      </c>
      <c r="J72" s="302">
        <v>798744882</v>
      </c>
      <c r="K72" s="302">
        <v>1803891550</v>
      </c>
      <c r="L72" s="302">
        <v>1528844000</v>
      </c>
      <c r="M72" s="302">
        <v>289661000</v>
      </c>
      <c r="N72" s="302">
        <v>2689613000</v>
      </c>
      <c r="O72" s="302">
        <v>608024000</v>
      </c>
      <c r="P72" s="302">
        <v>2081589000</v>
      </c>
      <c r="Q72" s="303"/>
    </row>
    <row r="73" spans="1:17" s="304" customFormat="1" x14ac:dyDescent="0.25">
      <c r="A73" s="300">
        <v>66</v>
      </c>
      <c r="B73" s="300">
        <v>860536185</v>
      </c>
      <c r="C73" s="300" t="s">
        <v>851</v>
      </c>
      <c r="D73" s="300" t="s">
        <v>758</v>
      </c>
      <c r="E73" s="300" t="s">
        <v>771</v>
      </c>
      <c r="F73" s="301" t="s">
        <v>760</v>
      </c>
      <c r="G73" s="302">
        <v>1240889876</v>
      </c>
      <c r="H73" s="302">
        <v>163121054</v>
      </c>
      <c r="I73" s="302">
        <v>629149788</v>
      </c>
      <c r="J73" s="302">
        <v>323883942</v>
      </c>
      <c r="K73" s="302">
        <v>305265846</v>
      </c>
      <c r="L73" s="302">
        <v>730741496</v>
      </c>
      <c r="M73" s="302">
        <v>52715117</v>
      </c>
      <c r="N73" s="302">
        <v>467571389</v>
      </c>
      <c r="O73" s="302">
        <v>239974227</v>
      </c>
      <c r="P73" s="302">
        <v>227597162</v>
      </c>
      <c r="Q73" s="303"/>
    </row>
    <row r="74" spans="1:17" s="304" customFormat="1" x14ac:dyDescent="0.25">
      <c r="A74" s="300">
        <v>67</v>
      </c>
      <c r="B74" s="300">
        <v>860002130</v>
      </c>
      <c r="C74" s="300" t="s">
        <v>852</v>
      </c>
      <c r="D74" s="300" t="s">
        <v>758</v>
      </c>
      <c r="E74" s="300" t="s">
        <v>853</v>
      </c>
      <c r="F74" s="301" t="s">
        <v>779</v>
      </c>
      <c r="G74" s="302">
        <v>1237420917</v>
      </c>
      <c r="H74" s="302">
        <v>79397747</v>
      </c>
      <c r="I74" s="302">
        <v>764796710</v>
      </c>
      <c r="J74" s="302">
        <v>476063724</v>
      </c>
      <c r="K74" s="302">
        <v>288732986</v>
      </c>
      <c r="L74" s="302">
        <v>1266502582</v>
      </c>
      <c r="M74" s="302">
        <v>113107370</v>
      </c>
      <c r="N74" s="302">
        <v>800253635</v>
      </c>
      <c r="O74" s="302">
        <v>484388667</v>
      </c>
      <c r="P74" s="302">
        <v>315864968</v>
      </c>
      <c r="Q74" s="303"/>
    </row>
    <row r="75" spans="1:17" s="304" customFormat="1" x14ac:dyDescent="0.25">
      <c r="A75" s="300">
        <v>68</v>
      </c>
      <c r="B75" s="300">
        <v>830080672</v>
      </c>
      <c r="C75" s="300" t="s">
        <v>854</v>
      </c>
      <c r="D75" s="300" t="s">
        <v>758</v>
      </c>
      <c r="E75" s="300" t="s">
        <v>771</v>
      </c>
      <c r="F75" s="301" t="s">
        <v>760</v>
      </c>
      <c r="G75" s="302">
        <v>1211286646</v>
      </c>
      <c r="H75" s="302">
        <v>255860384</v>
      </c>
      <c r="I75" s="302">
        <v>2016743155</v>
      </c>
      <c r="J75" s="302">
        <v>537507439</v>
      </c>
      <c r="K75" s="302">
        <v>1479235716</v>
      </c>
      <c r="L75" s="302">
        <v>1102826461</v>
      </c>
      <c r="M75" s="302">
        <v>269163598</v>
      </c>
      <c r="N75" s="302">
        <v>1477342011</v>
      </c>
      <c r="O75" s="302">
        <v>456576460</v>
      </c>
      <c r="P75" s="302">
        <v>1020765551</v>
      </c>
      <c r="Q75" s="303"/>
    </row>
    <row r="76" spans="1:17" s="304" customFormat="1" x14ac:dyDescent="0.25">
      <c r="A76" s="300">
        <v>69</v>
      </c>
      <c r="B76" s="300">
        <v>890304130</v>
      </c>
      <c r="C76" s="300" t="s">
        <v>855</v>
      </c>
      <c r="D76" s="300" t="s">
        <v>808</v>
      </c>
      <c r="E76" s="300" t="s">
        <v>856</v>
      </c>
      <c r="F76" s="301" t="s">
        <v>779</v>
      </c>
      <c r="G76" s="302">
        <v>1206521526</v>
      </c>
      <c r="H76" s="302">
        <v>68977848</v>
      </c>
      <c r="I76" s="302">
        <v>1364261309</v>
      </c>
      <c r="J76" s="302">
        <v>910820561</v>
      </c>
      <c r="K76" s="302">
        <v>453440748</v>
      </c>
      <c r="L76" s="302">
        <v>1103436341</v>
      </c>
      <c r="M76" s="302">
        <v>75210947</v>
      </c>
      <c r="N76" s="302">
        <v>737000484</v>
      </c>
      <c r="O76" s="302">
        <v>323887831</v>
      </c>
      <c r="P76" s="302">
        <v>413112653</v>
      </c>
      <c r="Q76" s="303"/>
    </row>
    <row r="77" spans="1:17" s="304" customFormat="1" x14ac:dyDescent="0.25">
      <c r="A77" s="300">
        <v>70</v>
      </c>
      <c r="B77" s="308">
        <v>860013570</v>
      </c>
      <c r="C77" s="300" t="s">
        <v>857</v>
      </c>
      <c r="D77" s="300" t="s">
        <v>758</v>
      </c>
      <c r="E77" s="300" t="s">
        <v>759</v>
      </c>
      <c r="F77" s="301" t="s">
        <v>766</v>
      </c>
      <c r="G77" s="309">
        <v>1201120718</v>
      </c>
      <c r="H77" s="309">
        <v>26502788</v>
      </c>
      <c r="I77" s="309">
        <v>2023899338</v>
      </c>
      <c r="J77" s="309">
        <v>922911527</v>
      </c>
      <c r="K77" s="309">
        <v>1100987811</v>
      </c>
      <c r="L77" s="309">
        <v>1196644789</v>
      </c>
      <c r="M77" s="309">
        <v>9225442</v>
      </c>
      <c r="N77" s="309">
        <v>1789417610</v>
      </c>
      <c r="O77" s="309">
        <v>908059521</v>
      </c>
      <c r="P77" s="309">
        <v>881358089</v>
      </c>
      <c r="Q77" s="303"/>
    </row>
    <row r="78" spans="1:17" s="304" customFormat="1" x14ac:dyDescent="0.25">
      <c r="A78" s="300">
        <v>71</v>
      </c>
      <c r="B78" s="300">
        <v>890301884</v>
      </c>
      <c r="C78" s="300" t="s">
        <v>858</v>
      </c>
      <c r="D78" s="300" t="s">
        <v>808</v>
      </c>
      <c r="E78" s="300" t="s">
        <v>759</v>
      </c>
      <c r="F78" s="301" t="s">
        <v>779</v>
      </c>
      <c r="G78" s="302">
        <v>1200014430</v>
      </c>
      <c r="H78" s="302">
        <v>54258550</v>
      </c>
      <c r="I78" s="302">
        <v>1180754010</v>
      </c>
      <c r="J78" s="302">
        <v>634952540</v>
      </c>
      <c r="K78" s="302">
        <v>545801470</v>
      </c>
      <c r="L78" s="302">
        <v>1145621688</v>
      </c>
      <c r="M78" s="302">
        <v>53386659</v>
      </c>
      <c r="N78" s="302">
        <v>1009971462</v>
      </c>
      <c r="O78" s="302">
        <v>520930200</v>
      </c>
      <c r="P78" s="302">
        <v>489041262</v>
      </c>
      <c r="Q78" s="303"/>
    </row>
    <row r="79" spans="1:17" s="304" customFormat="1" x14ac:dyDescent="0.25">
      <c r="A79" s="300">
        <v>72</v>
      </c>
      <c r="B79" s="300">
        <v>890900291</v>
      </c>
      <c r="C79" s="300" t="s">
        <v>859</v>
      </c>
      <c r="D79" s="300" t="s">
        <v>763</v>
      </c>
      <c r="E79" s="300" t="s">
        <v>860</v>
      </c>
      <c r="F79" s="301" t="s">
        <v>779</v>
      </c>
      <c r="G79" s="302">
        <v>1183458677</v>
      </c>
      <c r="H79" s="302">
        <v>6837488</v>
      </c>
      <c r="I79" s="302">
        <v>550205588</v>
      </c>
      <c r="J79" s="302">
        <v>336251775</v>
      </c>
      <c r="K79" s="302">
        <v>213953813</v>
      </c>
      <c r="L79" s="302">
        <v>1013892244</v>
      </c>
      <c r="M79" s="302">
        <v>4045351</v>
      </c>
      <c r="N79" s="302">
        <v>473303385</v>
      </c>
      <c r="O79" s="302">
        <v>271287961</v>
      </c>
      <c r="P79" s="302">
        <v>202015424</v>
      </c>
      <c r="Q79" s="303"/>
    </row>
    <row r="80" spans="1:17" s="304" customFormat="1" x14ac:dyDescent="0.25">
      <c r="A80" s="300">
        <v>73</v>
      </c>
      <c r="B80" s="300">
        <v>860026123</v>
      </c>
      <c r="C80" s="300" t="s">
        <v>861</v>
      </c>
      <c r="D80" s="300" t="s">
        <v>758</v>
      </c>
      <c r="E80" s="300" t="s">
        <v>759</v>
      </c>
      <c r="F80" s="301" t="s">
        <v>764</v>
      </c>
      <c r="G80" s="302">
        <v>1170566496.221</v>
      </c>
      <c r="H80" s="302">
        <v>12937980.554</v>
      </c>
      <c r="I80" s="302">
        <v>464644345.616</v>
      </c>
      <c r="J80" s="302">
        <v>243727255.29800001</v>
      </c>
      <c r="K80" s="302">
        <v>220917090.31799999</v>
      </c>
      <c r="L80" s="302">
        <v>1096222295.75</v>
      </c>
      <c r="M80" s="302">
        <v>12252697.785</v>
      </c>
      <c r="N80" s="302">
        <v>425269484.04400003</v>
      </c>
      <c r="O80" s="302">
        <v>228473091.21200001</v>
      </c>
      <c r="P80" s="302">
        <v>196796392.83199999</v>
      </c>
      <c r="Q80" s="303"/>
    </row>
    <row r="81" spans="1:17" s="304" customFormat="1" x14ac:dyDescent="0.25">
      <c r="A81" s="300">
        <v>74</v>
      </c>
      <c r="B81" s="300">
        <v>890300466</v>
      </c>
      <c r="C81" s="300" t="s">
        <v>862</v>
      </c>
      <c r="D81" s="300" t="s">
        <v>808</v>
      </c>
      <c r="E81" s="300" t="s">
        <v>863</v>
      </c>
      <c r="F81" s="301" t="s">
        <v>764</v>
      </c>
      <c r="G81" s="302">
        <v>1161384225</v>
      </c>
      <c r="H81" s="302">
        <v>81591705</v>
      </c>
      <c r="I81" s="302">
        <v>920136346</v>
      </c>
      <c r="J81" s="302">
        <v>277235419</v>
      </c>
      <c r="K81" s="302">
        <v>642900927</v>
      </c>
      <c r="L81" s="302">
        <v>1004698217</v>
      </c>
      <c r="M81" s="302">
        <v>63958990</v>
      </c>
      <c r="N81" s="302">
        <v>829536078</v>
      </c>
      <c r="O81" s="302">
        <v>252025717</v>
      </c>
      <c r="P81" s="302">
        <v>577510361</v>
      </c>
      <c r="Q81" s="303"/>
    </row>
    <row r="82" spans="1:17" s="304" customFormat="1" x14ac:dyDescent="0.25">
      <c r="A82" s="300">
        <v>75</v>
      </c>
      <c r="B82" s="300">
        <v>860521658</v>
      </c>
      <c r="C82" s="300" t="s">
        <v>864</v>
      </c>
      <c r="D82" s="300" t="s">
        <v>758</v>
      </c>
      <c r="E82" s="300" t="s">
        <v>771</v>
      </c>
      <c r="F82" s="301" t="s">
        <v>760</v>
      </c>
      <c r="G82" s="302">
        <v>1146406346</v>
      </c>
      <c r="H82" s="302">
        <v>82180625</v>
      </c>
      <c r="I82" s="302">
        <v>807741726</v>
      </c>
      <c r="J82" s="302">
        <v>314832799</v>
      </c>
      <c r="K82" s="302">
        <v>492908927</v>
      </c>
      <c r="L82" s="302">
        <v>993245471</v>
      </c>
      <c r="M82" s="302">
        <v>88103945</v>
      </c>
      <c r="N82" s="302">
        <v>823819681</v>
      </c>
      <c r="O82" s="302">
        <v>316255689</v>
      </c>
      <c r="P82" s="302">
        <v>507563992</v>
      </c>
      <c r="Q82" s="303"/>
    </row>
    <row r="83" spans="1:17" s="304" customFormat="1" x14ac:dyDescent="0.25">
      <c r="A83" s="300">
        <v>76</v>
      </c>
      <c r="B83" s="305">
        <v>800251440</v>
      </c>
      <c r="C83" s="306" t="s">
        <v>865</v>
      </c>
      <c r="D83" s="300" t="s">
        <v>758</v>
      </c>
      <c r="E83" s="300" t="s">
        <v>759</v>
      </c>
      <c r="F83" s="300" t="s">
        <v>766</v>
      </c>
      <c r="G83" s="302">
        <v>1138583305</v>
      </c>
      <c r="H83" s="302">
        <v>2459445</v>
      </c>
      <c r="I83" s="302">
        <v>410071970</v>
      </c>
      <c r="J83" s="302">
        <v>347946486</v>
      </c>
      <c r="K83" s="302">
        <v>62125483</v>
      </c>
      <c r="L83" s="302">
        <v>1018040289</v>
      </c>
      <c r="M83" s="302">
        <v>-29568636</v>
      </c>
      <c r="N83" s="302">
        <v>409350189</v>
      </c>
      <c r="O83" s="302">
        <v>350353333</v>
      </c>
      <c r="P83" s="302">
        <v>58996856</v>
      </c>
      <c r="Q83" s="303"/>
    </row>
    <row r="84" spans="1:17" s="304" customFormat="1" x14ac:dyDescent="0.25">
      <c r="A84" s="300">
        <v>77</v>
      </c>
      <c r="B84" s="305">
        <v>830003564</v>
      </c>
      <c r="C84" s="306" t="s">
        <v>866</v>
      </c>
      <c r="D84" s="300" t="s">
        <v>758</v>
      </c>
      <c r="E84" s="300" t="s">
        <v>759</v>
      </c>
      <c r="F84" s="300" t="s">
        <v>766</v>
      </c>
      <c r="G84" s="302">
        <v>1110073259</v>
      </c>
      <c r="H84" s="302">
        <v>1309570</v>
      </c>
      <c r="I84" s="302">
        <v>371847225</v>
      </c>
      <c r="J84" s="302">
        <v>312425088</v>
      </c>
      <c r="K84" s="302">
        <v>59422137</v>
      </c>
      <c r="L84" s="302">
        <v>944856408</v>
      </c>
      <c r="M84" s="302">
        <v>314492</v>
      </c>
      <c r="N84" s="302">
        <v>348733873</v>
      </c>
      <c r="O84" s="302">
        <v>290460966</v>
      </c>
      <c r="P84" s="302">
        <v>58272907</v>
      </c>
      <c r="Q84" s="303"/>
    </row>
    <row r="85" spans="1:17" s="304" customFormat="1" x14ac:dyDescent="0.25">
      <c r="A85" s="300">
        <v>78</v>
      </c>
      <c r="B85" s="300">
        <v>860002518</v>
      </c>
      <c r="C85" s="300" t="s">
        <v>867</v>
      </c>
      <c r="D85" s="300" t="s">
        <v>758</v>
      </c>
      <c r="E85" s="300" t="s">
        <v>868</v>
      </c>
      <c r="F85" s="301" t="s">
        <v>779</v>
      </c>
      <c r="G85" s="302">
        <v>1095324080</v>
      </c>
      <c r="H85" s="302">
        <v>47071231</v>
      </c>
      <c r="I85" s="302">
        <v>978126104</v>
      </c>
      <c r="J85" s="302">
        <v>694590350</v>
      </c>
      <c r="K85" s="302">
        <v>283535754</v>
      </c>
      <c r="L85" s="302">
        <v>1051194233</v>
      </c>
      <c r="M85" s="302">
        <v>35293356</v>
      </c>
      <c r="N85" s="302">
        <v>826363478</v>
      </c>
      <c r="O85" s="302">
        <v>606448730</v>
      </c>
      <c r="P85" s="302">
        <v>219914748</v>
      </c>
      <c r="Q85" s="303"/>
    </row>
    <row r="86" spans="1:17" s="304" customFormat="1" x14ac:dyDescent="0.25">
      <c r="A86" s="300">
        <v>79</v>
      </c>
      <c r="B86" s="300">
        <v>890300546</v>
      </c>
      <c r="C86" s="300" t="s">
        <v>869</v>
      </c>
      <c r="D86" s="300" t="s">
        <v>808</v>
      </c>
      <c r="E86" s="300" t="s">
        <v>868</v>
      </c>
      <c r="F86" s="301" t="s">
        <v>779</v>
      </c>
      <c r="G86" s="302">
        <v>1095215814</v>
      </c>
      <c r="H86" s="302">
        <v>102759121</v>
      </c>
      <c r="I86" s="302">
        <v>455649940</v>
      </c>
      <c r="J86" s="302">
        <v>259111969</v>
      </c>
      <c r="K86" s="302">
        <v>196537971</v>
      </c>
      <c r="L86" s="302">
        <v>1106673939</v>
      </c>
      <c r="M86" s="302">
        <v>109985844</v>
      </c>
      <c r="N86" s="302">
        <v>432752201</v>
      </c>
      <c r="O86" s="302">
        <v>230545611</v>
      </c>
      <c r="P86" s="302">
        <v>202206590</v>
      </c>
      <c r="Q86" s="303"/>
    </row>
    <row r="87" spans="1:17" s="304" customFormat="1" x14ac:dyDescent="0.25">
      <c r="A87" s="300">
        <v>80</v>
      </c>
      <c r="B87" s="300">
        <v>800018359</v>
      </c>
      <c r="C87" s="300" t="s">
        <v>870</v>
      </c>
      <c r="D87" s="300" t="s">
        <v>758</v>
      </c>
      <c r="E87" s="300" t="s">
        <v>868</v>
      </c>
      <c r="F87" s="301" t="s">
        <v>779</v>
      </c>
      <c r="G87" s="302">
        <v>1076444650</v>
      </c>
      <c r="H87" s="302">
        <v>34131290</v>
      </c>
      <c r="I87" s="302">
        <v>648884526</v>
      </c>
      <c r="J87" s="302">
        <v>394713970</v>
      </c>
      <c r="K87" s="302">
        <v>254170556</v>
      </c>
      <c r="L87" s="302">
        <v>1087652969</v>
      </c>
      <c r="M87" s="302">
        <v>69187158</v>
      </c>
      <c r="N87" s="302">
        <v>673512160</v>
      </c>
      <c r="O87" s="302">
        <v>400435979</v>
      </c>
      <c r="P87" s="302">
        <v>273076181</v>
      </c>
      <c r="Q87" s="303"/>
    </row>
    <row r="88" spans="1:17" s="304" customFormat="1" x14ac:dyDescent="0.25">
      <c r="A88" s="300">
        <v>81</v>
      </c>
      <c r="B88" s="300">
        <v>890901271</v>
      </c>
      <c r="C88" s="300" t="s">
        <v>871</v>
      </c>
      <c r="D88" s="300" t="s">
        <v>763</v>
      </c>
      <c r="E88" s="300" t="s">
        <v>860</v>
      </c>
      <c r="F88" s="301" t="s">
        <v>779</v>
      </c>
      <c r="G88" s="302">
        <v>1064169516</v>
      </c>
      <c r="H88" s="302">
        <v>59826709</v>
      </c>
      <c r="I88" s="302">
        <v>805935640</v>
      </c>
      <c r="J88" s="302">
        <v>442648173</v>
      </c>
      <c r="K88" s="302">
        <v>363287467</v>
      </c>
      <c r="L88" s="302">
        <v>859348724</v>
      </c>
      <c r="M88" s="302">
        <v>20308020</v>
      </c>
      <c r="N88" s="302">
        <v>699782275</v>
      </c>
      <c r="O88" s="302">
        <v>375866455</v>
      </c>
      <c r="P88" s="302">
        <v>323915820</v>
      </c>
      <c r="Q88" s="303"/>
    </row>
    <row r="89" spans="1:17" s="304" customFormat="1" x14ac:dyDescent="0.25">
      <c r="A89" s="300">
        <v>82</v>
      </c>
      <c r="B89" s="300">
        <v>860001942</v>
      </c>
      <c r="C89" s="300" t="s">
        <v>872</v>
      </c>
      <c r="D89" s="300" t="s">
        <v>758</v>
      </c>
      <c r="E89" s="300" t="s">
        <v>873</v>
      </c>
      <c r="F89" s="301" t="s">
        <v>779</v>
      </c>
      <c r="G89" s="302">
        <v>1047842158</v>
      </c>
      <c r="H89" s="302">
        <v>49931925</v>
      </c>
      <c r="I89" s="302">
        <v>612017565</v>
      </c>
      <c r="J89" s="302">
        <v>279058815</v>
      </c>
      <c r="K89" s="302">
        <v>332958750</v>
      </c>
      <c r="L89" s="302">
        <v>745585200</v>
      </c>
      <c r="M89" s="302">
        <v>24380587</v>
      </c>
      <c r="N89" s="302">
        <v>535882544</v>
      </c>
      <c r="O89" s="302">
        <v>258264232</v>
      </c>
      <c r="P89" s="302">
        <v>277618312</v>
      </c>
      <c r="Q89" s="303"/>
    </row>
    <row r="90" spans="1:17" s="304" customFormat="1" x14ac:dyDescent="0.25">
      <c r="A90" s="300">
        <v>83</v>
      </c>
      <c r="B90" s="308">
        <v>890900841</v>
      </c>
      <c r="C90" s="300" t="s">
        <v>874</v>
      </c>
      <c r="D90" s="300" t="s">
        <v>763</v>
      </c>
      <c r="E90" s="300" t="s">
        <v>759</v>
      </c>
      <c r="F90" s="301" t="s">
        <v>766</v>
      </c>
      <c r="G90" s="309">
        <v>1044815433.563</v>
      </c>
      <c r="H90" s="309">
        <v>2793247</v>
      </c>
      <c r="I90" s="309">
        <v>1075740138</v>
      </c>
      <c r="J90" s="309">
        <v>543834685</v>
      </c>
      <c r="K90" s="309">
        <v>531905453</v>
      </c>
      <c r="L90" s="309">
        <v>1189543767</v>
      </c>
      <c r="M90" s="309">
        <v>5644634</v>
      </c>
      <c r="N90" s="309">
        <v>941838384</v>
      </c>
      <c r="O90" s="309">
        <v>465130097</v>
      </c>
      <c r="P90" s="309">
        <v>476708286</v>
      </c>
      <c r="Q90" s="303"/>
    </row>
    <row r="91" spans="1:17" s="304" customFormat="1" x14ac:dyDescent="0.25">
      <c r="A91" s="300">
        <v>84</v>
      </c>
      <c r="B91" s="300">
        <v>900190385</v>
      </c>
      <c r="C91" s="300" t="s">
        <v>875</v>
      </c>
      <c r="D91" s="300" t="s">
        <v>768</v>
      </c>
      <c r="E91" s="300" t="s">
        <v>876</v>
      </c>
      <c r="F91" s="311" t="s">
        <v>877</v>
      </c>
      <c r="G91" s="302">
        <v>1030747892</v>
      </c>
      <c r="H91" s="302">
        <v>7410386</v>
      </c>
      <c r="I91" s="302">
        <v>630648560</v>
      </c>
      <c r="J91" s="302">
        <v>622893280</v>
      </c>
      <c r="K91" s="302">
        <v>7755280</v>
      </c>
      <c r="L91" s="302">
        <v>597302446</v>
      </c>
      <c r="M91" s="302">
        <v>6955356</v>
      </c>
      <c r="N91" s="302">
        <v>514525293</v>
      </c>
      <c r="O91" s="302">
        <v>507225043</v>
      </c>
      <c r="P91" s="302">
        <v>7300250</v>
      </c>
      <c r="Q91" s="303"/>
    </row>
    <row r="92" spans="1:17" s="304" customFormat="1" x14ac:dyDescent="0.25">
      <c r="A92" s="300">
        <v>85</v>
      </c>
      <c r="B92" s="300">
        <v>830025205</v>
      </c>
      <c r="C92" s="300" t="s">
        <v>878</v>
      </c>
      <c r="D92" s="300" t="s">
        <v>758</v>
      </c>
      <c r="E92" s="300" t="s">
        <v>759</v>
      </c>
      <c r="F92" s="301" t="s">
        <v>766</v>
      </c>
      <c r="G92" s="302">
        <v>1003917833.112</v>
      </c>
      <c r="H92" s="302">
        <v>218173511.39399999</v>
      </c>
      <c r="I92" s="302">
        <v>1717655346.1229999</v>
      </c>
      <c r="J92" s="302">
        <v>515755262.653</v>
      </c>
      <c r="K92" s="302">
        <v>1201900083.47</v>
      </c>
      <c r="L92" s="302">
        <v>897942018.824</v>
      </c>
      <c r="M92" s="302">
        <v>248747718.20300001</v>
      </c>
      <c r="N92" s="302">
        <v>1960775761.8840001</v>
      </c>
      <c r="O92" s="302">
        <v>974966670.54299998</v>
      </c>
      <c r="P92" s="302">
        <v>985809091.34099996</v>
      </c>
      <c r="Q92" s="303"/>
    </row>
    <row r="93" spans="1:17" s="304" customFormat="1" x14ac:dyDescent="0.25">
      <c r="A93" s="300">
        <v>86</v>
      </c>
      <c r="B93" s="300">
        <v>830078966</v>
      </c>
      <c r="C93" s="300" t="s">
        <v>879</v>
      </c>
      <c r="D93" s="300" t="s">
        <v>808</v>
      </c>
      <c r="E93" s="300" t="s">
        <v>880</v>
      </c>
      <c r="F93" s="301" t="s">
        <v>764</v>
      </c>
      <c r="G93" s="302">
        <v>985183594</v>
      </c>
      <c r="H93" s="302">
        <v>75575510</v>
      </c>
      <c r="I93" s="302">
        <v>502422045</v>
      </c>
      <c r="J93" s="302">
        <v>208915962</v>
      </c>
      <c r="K93" s="302">
        <v>293506083</v>
      </c>
      <c r="L93" s="302">
        <v>961967795</v>
      </c>
      <c r="M93" s="302">
        <v>82200325</v>
      </c>
      <c r="N93" s="302">
        <v>450155744</v>
      </c>
      <c r="O93" s="302">
        <v>241590070</v>
      </c>
      <c r="P93" s="302">
        <v>208565674</v>
      </c>
      <c r="Q93" s="303"/>
    </row>
    <row r="94" spans="1:17" s="304" customFormat="1" x14ac:dyDescent="0.25">
      <c r="A94" s="300">
        <v>87</v>
      </c>
      <c r="B94" s="300">
        <v>890902070</v>
      </c>
      <c r="C94" s="300" t="s">
        <v>881</v>
      </c>
      <c r="D94" s="300" t="s">
        <v>763</v>
      </c>
      <c r="E94" s="300" t="s">
        <v>776</v>
      </c>
      <c r="F94" s="301" t="s">
        <v>764</v>
      </c>
      <c r="G94" s="302">
        <v>983327035</v>
      </c>
      <c r="H94" s="302">
        <v>5536744</v>
      </c>
      <c r="I94" s="302">
        <v>134632879</v>
      </c>
      <c r="J94" s="302">
        <v>73573238</v>
      </c>
      <c r="K94" s="302">
        <v>61059641</v>
      </c>
      <c r="L94" s="302">
        <v>1240344897</v>
      </c>
      <c r="M94" s="302">
        <v>9182948</v>
      </c>
      <c r="N94" s="302">
        <v>98573367</v>
      </c>
      <c r="O94" s="302">
        <v>43217980</v>
      </c>
      <c r="P94" s="302">
        <v>55355387</v>
      </c>
      <c r="Q94" s="303"/>
    </row>
    <row r="95" spans="1:17" s="304" customFormat="1" x14ac:dyDescent="0.25">
      <c r="A95" s="300">
        <v>88</v>
      </c>
      <c r="B95" s="300">
        <v>900185261</v>
      </c>
      <c r="C95" s="300" t="s">
        <v>882</v>
      </c>
      <c r="D95" s="300" t="s">
        <v>758</v>
      </c>
      <c r="E95" s="300" t="s">
        <v>773</v>
      </c>
      <c r="F95" s="301" t="s">
        <v>764</v>
      </c>
      <c r="G95" s="302">
        <v>975977969</v>
      </c>
      <c r="H95" s="302">
        <v>2638401</v>
      </c>
      <c r="I95" s="302">
        <v>335830122</v>
      </c>
      <c r="J95" s="302">
        <v>307131040</v>
      </c>
      <c r="K95" s="302">
        <v>28699082</v>
      </c>
      <c r="L95" s="302">
        <v>234812679</v>
      </c>
      <c r="M95" s="302">
        <v>2464505</v>
      </c>
      <c r="N95" s="302">
        <v>67941700</v>
      </c>
      <c r="O95" s="302">
        <v>46177685</v>
      </c>
      <c r="P95" s="302">
        <v>21764015</v>
      </c>
      <c r="Q95" s="303"/>
    </row>
    <row r="96" spans="1:17" s="304" customFormat="1" x14ac:dyDescent="0.25">
      <c r="A96" s="300">
        <v>89</v>
      </c>
      <c r="B96" s="300">
        <v>811009788</v>
      </c>
      <c r="C96" s="300" t="s">
        <v>883</v>
      </c>
      <c r="D96" s="300" t="s">
        <v>763</v>
      </c>
      <c r="E96" s="300" t="s">
        <v>884</v>
      </c>
      <c r="F96" s="301" t="s">
        <v>764</v>
      </c>
      <c r="G96" s="302">
        <v>967286658</v>
      </c>
      <c r="H96" s="302">
        <v>14403927</v>
      </c>
      <c r="I96" s="302">
        <v>424318820</v>
      </c>
      <c r="J96" s="302">
        <v>219664245</v>
      </c>
      <c r="K96" s="302">
        <v>204654575</v>
      </c>
      <c r="L96" s="302">
        <v>814353656</v>
      </c>
      <c r="M96" s="302">
        <v>24034793</v>
      </c>
      <c r="N96" s="302">
        <v>355408795</v>
      </c>
      <c r="O96" s="302">
        <v>162777617</v>
      </c>
      <c r="P96" s="302">
        <v>192631178</v>
      </c>
      <c r="Q96" s="303"/>
    </row>
    <row r="97" spans="1:17" s="304" customFormat="1" x14ac:dyDescent="0.25">
      <c r="A97" s="300">
        <v>90</v>
      </c>
      <c r="B97" s="300">
        <v>890903939</v>
      </c>
      <c r="C97" s="300" t="s">
        <v>885</v>
      </c>
      <c r="D97" s="300" t="s">
        <v>763</v>
      </c>
      <c r="E97" s="300" t="s">
        <v>819</v>
      </c>
      <c r="F97" s="301" t="s">
        <v>779</v>
      </c>
      <c r="G97" s="302">
        <v>964628625</v>
      </c>
      <c r="H97" s="302">
        <v>74647246</v>
      </c>
      <c r="I97" s="302">
        <v>1978012589</v>
      </c>
      <c r="J97" s="302">
        <v>349396530</v>
      </c>
      <c r="K97" s="302">
        <v>1628616059</v>
      </c>
      <c r="L97" s="302">
        <v>922283888</v>
      </c>
      <c r="M97" s="302">
        <v>97001251</v>
      </c>
      <c r="N97" s="302">
        <v>1934416021</v>
      </c>
      <c r="O97" s="302">
        <v>334149050</v>
      </c>
      <c r="P97" s="302">
        <v>1600266971</v>
      </c>
      <c r="Q97" s="303"/>
    </row>
    <row r="98" spans="1:17" s="304" customFormat="1" x14ac:dyDescent="0.25">
      <c r="A98" s="300">
        <v>91</v>
      </c>
      <c r="B98" s="300">
        <v>816001182</v>
      </c>
      <c r="C98" s="300" t="s">
        <v>886</v>
      </c>
      <c r="D98" s="300" t="s">
        <v>763</v>
      </c>
      <c r="E98" s="300" t="s">
        <v>863</v>
      </c>
      <c r="F98" s="301" t="s">
        <v>764</v>
      </c>
      <c r="G98" s="302">
        <v>962772073</v>
      </c>
      <c r="H98" s="302">
        <v>4461141</v>
      </c>
      <c r="I98" s="302">
        <v>504587882</v>
      </c>
      <c r="J98" s="302">
        <v>421134207</v>
      </c>
      <c r="K98" s="302">
        <v>83453675</v>
      </c>
      <c r="L98" s="302">
        <v>862323601</v>
      </c>
      <c r="M98" s="302">
        <v>5252691</v>
      </c>
      <c r="N98" s="302">
        <v>529560909</v>
      </c>
      <c r="O98" s="302">
        <v>449632047</v>
      </c>
      <c r="P98" s="302">
        <v>79928862</v>
      </c>
      <c r="Q98" s="303"/>
    </row>
    <row r="99" spans="1:17" s="304" customFormat="1" x14ac:dyDescent="0.25">
      <c r="A99" s="300">
        <v>92</v>
      </c>
      <c r="B99" s="300">
        <v>860007277</v>
      </c>
      <c r="C99" s="300" t="s">
        <v>887</v>
      </c>
      <c r="D99" s="300" t="s">
        <v>768</v>
      </c>
      <c r="E99" s="300" t="s">
        <v>829</v>
      </c>
      <c r="F99" s="301" t="s">
        <v>779</v>
      </c>
      <c r="G99" s="302">
        <v>960660363</v>
      </c>
      <c r="H99" s="302">
        <v>-8231972</v>
      </c>
      <c r="I99" s="302">
        <v>987242248</v>
      </c>
      <c r="J99" s="302">
        <v>475354109</v>
      </c>
      <c r="K99" s="302">
        <v>511888139</v>
      </c>
      <c r="L99" s="302">
        <v>921580860</v>
      </c>
      <c r="M99" s="302">
        <v>15603665</v>
      </c>
      <c r="N99" s="302">
        <v>861780071</v>
      </c>
      <c r="O99" s="302">
        <v>318889203</v>
      </c>
      <c r="P99" s="302">
        <v>542890868</v>
      </c>
      <c r="Q99" s="303"/>
    </row>
    <row r="100" spans="1:17" s="304" customFormat="1" x14ac:dyDescent="0.25">
      <c r="A100" s="300">
        <v>93</v>
      </c>
      <c r="B100" s="300">
        <v>890900317</v>
      </c>
      <c r="C100" s="300" t="s">
        <v>888</v>
      </c>
      <c r="D100" s="300" t="s">
        <v>763</v>
      </c>
      <c r="E100" s="300" t="s">
        <v>889</v>
      </c>
      <c r="F100" s="301" t="s">
        <v>764</v>
      </c>
      <c r="G100" s="302">
        <v>954611030</v>
      </c>
      <c r="H100" s="302">
        <v>30361336</v>
      </c>
      <c r="I100" s="302">
        <v>391883229</v>
      </c>
      <c r="J100" s="302">
        <v>224197122</v>
      </c>
      <c r="K100" s="302">
        <v>167686107</v>
      </c>
      <c r="L100" s="302">
        <v>768699128</v>
      </c>
      <c r="M100" s="302">
        <v>23450298</v>
      </c>
      <c r="N100" s="302">
        <v>284278111</v>
      </c>
      <c r="O100" s="302">
        <v>142968529</v>
      </c>
      <c r="P100" s="302">
        <v>141309582</v>
      </c>
      <c r="Q100" s="303"/>
    </row>
    <row r="101" spans="1:17" s="304" customFormat="1" x14ac:dyDescent="0.25">
      <c r="A101" s="300">
        <v>94</v>
      </c>
      <c r="B101" s="300">
        <v>900134459</v>
      </c>
      <c r="C101" s="300" t="s">
        <v>890</v>
      </c>
      <c r="D101" s="300" t="s">
        <v>891</v>
      </c>
      <c r="E101" s="300" t="s">
        <v>759</v>
      </c>
      <c r="F101" s="301" t="s">
        <v>766</v>
      </c>
      <c r="G101" s="302">
        <v>947911922.15199995</v>
      </c>
      <c r="H101" s="302">
        <v>372185761.449</v>
      </c>
      <c r="I101" s="302">
        <v>5739841952.9630003</v>
      </c>
      <c r="J101" s="302">
        <v>2700530445.4970002</v>
      </c>
      <c r="K101" s="302">
        <v>3039311507.4660001</v>
      </c>
      <c r="L101" s="302">
        <v>942114451.84099996</v>
      </c>
      <c r="M101" s="302">
        <v>382774749.352</v>
      </c>
      <c r="N101" s="302">
        <v>5087325558.4189997</v>
      </c>
      <c r="O101" s="302">
        <v>2467176596.4640002</v>
      </c>
      <c r="P101" s="302">
        <v>2620148961.9549999</v>
      </c>
      <c r="Q101" s="303"/>
    </row>
    <row r="102" spans="1:17" s="304" customFormat="1" x14ac:dyDescent="0.25">
      <c r="A102" s="300">
        <v>95</v>
      </c>
      <c r="B102" s="305">
        <v>814000337</v>
      </c>
      <c r="C102" s="306" t="s">
        <v>892</v>
      </c>
      <c r="D102" s="300" t="s">
        <v>808</v>
      </c>
      <c r="E102" s="300" t="s">
        <v>759</v>
      </c>
      <c r="F102" s="300" t="s">
        <v>766</v>
      </c>
      <c r="G102" s="302">
        <v>941535652</v>
      </c>
      <c r="H102" s="302">
        <v>-3079590</v>
      </c>
      <c r="I102" s="302">
        <v>237117341</v>
      </c>
      <c r="J102" s="302">
        <v>223931284</v>
      </c>
      <c r="K102" s="302">
        <v>13186057</v>
      </c>
      <c r="L102" s="302">
        <v>615055122</v>
      </c>
      <c r="M102" s="302">
        <v>16300</v>
      </c>
      <c r="N102" s="302">
        <v>196105919</v>
      </c>
      <c r="O102" s="302">
        <v>179918455</v>
      </c>
      <c r="P102" s="302">
        <v>16187464</v>
      </c>
      <c r="Q102" s="303"/>
    </row>
    <row r="103" spans="1:17" s="304" customFormat="1" x14ac:dyDescent="0.25">
      <c r="A103" s="300">
        <v>96</v>
      </c>
      <c r="B103" s="300">
        <v>860350697</v>
      </c>
      <c r="C103" s="300" t="s">
        <v>893</v>
      </c>
      <c r="D103" s="300" t="s">
        <v>758</v>
      </c>
      <c r="E103" s="300" t="s">
        <v>894</v>
      </c>
      <c r="F103" s="301" t="s">
        <v>779</v>
      </c>
      <c r="G103" s="302">
        <v>938250012</v>
      </c>
      <c r="H103" s="302">
        <v>18299045</v>
      </c>
      <c r="I103" s="302">
        <v>724987917</v>
      </c>
      <c r="J103" s="302">
        <v>348663821</v>
      </c>
      <c r="K103" s="302">
        <v>376324096</v>
      </c>
      <c r="L103" s="302">
        <v>769281585</v>
      </c>
      <c r="M103" s="302">
        <v>22749522</v>
      </c>
      <c r="N103" s="302">
        <v>657165327</v>
      </c>
      <c r="O103" s="302">
        <v>299946086</v>
      </c>
      <c r="P103" s="302">
        <v>357219241</v>
      </c>
      <c r="Q103" s="303"/>
    </row>
    <row r="104" spans="1:17" s="304" customFormat="1" x14ac:dyDescent="0.25">
      <c r="A104" s="300">
        <v>97</v>
      </c>
      <c r="B104" s="300">
        <v>811012271</v>
      </c>
      <c r="C104" s="300" t="s">
        <v>895</v>
      </c>
      <c r="D104" s="300" t="s">
        <v>763</v>
      </c>
      <c r="E104" s="300" t="s">
        <v>759</v>
      </c>
      <c r="F104" s="301" t="s">
        <v>766</v>
      </c>
      <c r="G104" s="302">
        <v>924510865</v>
      </c>
      <c r="H104" s="302">
        <v>781793905</v>
      </c>
      <c r="I104" s="302">
        <v>21050300390</v>
      </c>
      <c r="J104" s="302">
        <v>762782150</v>
      </c>
      <c r="K104" s="302">
        <v>20287518250</v>
      </c>
      <c r="L104" s="302">
        <v>675473602</v>
      </c>
      <c r="M104" s="302">
        <v>546099504</v>
      </c>
      <c r="N104" s="302">
        <v>21680177876</v>
      </c>
      <c r="O104" s="302">
        <v>888317944</v>
      </c>
      <c r="P104" s="302">
        <v>20791859933</v>
      </c>
      <c r="Q104" s="303"/>
    </row>
    <row r="105" spans="1:17" s="304" customFormat="1" x14ac:dyDescent="0.25">
      <c r="A105" s="300">
        <v>98</v>
      </c>
      <c r="B105" s="300">
        <v>830011670</v>
      </c>
      <c r="C105" s="300" t="s">
        <v>896</v>
      </c>
      <c r="D105" s="300" t="s">
        <v>758</v>
      </c>
      <c r="E105" s="300" t="s">
        <v>759</v>
      </c>
      <c r="F105" s="301" t="s">
        <v>764</v>
      </c>
      <c r="G105" s="302">
        <v>901425820.13999999</v>
      </c>
      <c r="H105" s="302">
        <v>14985978.885610001</v>
      </c>
      <c r="I105" s="302">
        <v>278785262.35112</v>
      </c>
      <c r="J105" s="302">
        <v>161396136.56367001</v>
      </c>
      <c r="K105" s="302">
        <v>117389125.78745</v>
      </c>
      <c r="L105" s="302">
        <v>865426290.46800005</v>
      </c>
      <c r="M105" s="302">
        <v>8224841.7095400002</v>
      </c>
      <c r="N105" s="302">
        <v>268230231.46922001</v>
      </c>
      <c r="O105" s="302">
        <v>167368695.71427</v>
      </c>
      <c r="P105" s="302">
        <v>100861535.75495</v>
      </c>
      <c r="Q105" s="303"/>
    </row>
    <row r="106" spans="1:17" s="304" customFormat="1" x14ac:dyDescent="0.25">
      <c r="A106" s="300">
        <v>99</v>
      </c>
      <c r="B106" s="300">
        <v>860002536</v>
      </c>
      <c r="C106" s="300" t="s">
        <v>897</v>
      </c>
      <c r="D106" s="300" t="s">
        <v>758</v>
      </c>
      <c r="E106" s="300" t="s">
        <v>759</v>
      </c>
      <c r="F106" s="301" t="s">
        <v>779</v>
      </c>
      <c r="G106" s="302">
        <v>898143470</v>
      </c>
      <c r="H106" s="302">
        <v>19464500</v>
      </c>
      <c r="I106" s="302">
        <v>952485450</v>
      </c>
      <c r="J106" s="302">
        <v>574753010</v>
      </c>
      <c r="K106" s="302">
        <v>377732440</v>
      </c>
      <c r="L106" s="302">
        <v>878153610</v>
      </c>
      <c r="M106" s="302">
        <v>-2267495</v>
      </c>
      <c r="N106" s="302">
        <v>861076650</v>
      </c>
      <c r="O106" s="302">
        <v>506465134</v>
      </c>
      <c r="P106" s="302">
        <v>354611520</v>
      </c>
      <c r="Q106" s="303"/>
    </row>
    <row r="107" spans="1:17" s="304" customFormat="1" x14ac:dyDescent="0.25">
      <c r="A107" s="300">
        <v>100</v>
      </c>
      <c r="B107" s="300">
        <v>860053930</v>
      </c>
      <c r="C107" s="300" t="s">
        <v>898</v>
      </c>
      <c r="D107" s="300" t="s">
        <v>758</v>
      </c>
      <c r="E107" s="300" t="s">
        <v>771</v>
      </c>
      <c r="F107" s="300" t="s">
        <v>760</v>
      </c>
      <c r="G107" s="302">
        <v>878589035</v>
      </c>
      <c r="H107" s="302">
        <v>441495916</v>
      </c>
      <c r="I107" s="302">
        <v>554898965</v>
      </c>
      <c r="J107" s="302">
        <v>267400309</v>
      </c>
      <c r="K107" s="302">
        <v>287498656</v>
      </c>
      <c r="L107" s="302">
        <v>886185072</v>
      </c>
      <c r="M107" s="302">
        <v>468570848</v>
      </c>
      <c r="N107" s="302">
        <v>455136595</v>
      </c>
      <c r="O107" s="302">
        <v>233188757</v>
      </c>
      <c r="P107" s="302">
        <v>221947838</v>
      </c>
      <c r="Q107" s="303"/>
    </row>
    <row r="108" spans="1:17" s="304" customFormat="1" x14ac:dyDescent="0.25">
      <c r="A108" s="300">
        <v>101</v>
      </c>
      <c r="B108" s="300">
        <v>800000946</v>
      </c>
      <c r="C108" s="300" t="s">
        <v>899</v>
      </c>
      <c r="D108" s="300" t="s">
        <v>758</v>
      </c>
      <c r="E108" s="300" t="s">
        <v>863</v>
      </c>
      <c r="F108" s="301" t="s">
        <v>779</v>
      </c>
      <c r="G108" s="302">
        <v>873731269</v>
      </c>
      <c r="H108" s="302">
        <v>18204190</v>
      </c>
      <c r="I108" s="302">
        <v>431320088</v>
      </c>
      <c r="J108" s="302">
        <v>233164356</v>
      </c>
      <c r="K108" s="302">
        <v>198155732</v>
      </c>
      <c r="L108" s="302">
        <v>852024667</v>
      </c>
      <c r="M108" s="302">
        <v>35842873</v>
      </c>
      <c r="N108" s="302">
        <v>388964002</v>
      </c>
      <c r="O108" s="302">
        <v>177169976</v>
      </c>
      <c r="P108" s="302">
        <v>211794026</v>
      </c>
      <c r="Q108" s="303"/>
    </row>
    <row r="109" spans="1:17" s="304" customFormat="1" x14ac:dyDescent="0.25">
      <c r="A109" s="300">
        <v>102</v>
      </c>
      <c r="B109" s="300">
        <v>860051812</v>
      </c>
      <c r="C109" s="300" t="s">
        <v>900</v>
      </c>
      <c r="D109" s="300" t="s">
        <v>758</v>
      </c>
      <c r="E109" s="300" t="s">
        <v>846</v>
      </c>
      <c r="F109" s="300" t="s">
        <v>760</v>
      </c>
      <c r="G109" s="302">
        <v>859670132</v>
      </c>
      <c r="H109" s="302">
        <v>43151171</v>
      </c>
      <c r="I109" s="302">
        <v>610370338</v>
      </c>
      <c r="J109" s="302">
        <v>185772997</v>
      </c>
      <c r="K109" s="302">
        <v>424597341</v>
      </c>
      <c r="L109" s="302">
        <v>854629077</v>
      </c>
      <c r="M109" s="302">
        <v>25182393</v>
      </c>
      <c r="N109" s="302">
        <v>562156974</v>
      </c>
      <c r="O109" s="302">
        <v>164163014</v>
      </c>
      <c r="P109" s="302">
        <v>397993960</v>
      </c>
      <c r="Q109" s="303"/>
    </row>
    <row r="110" spans="1:17" s="304" customFormat="1" x14ac:dyDescent="0.25">
      <c r="A110" s="300">
        <v>103</v>
      </c>
      <c r="B110" s="300">
        <v>900047822</v>
      </c>
      <c r="C110" s="300" t="s">
        <v>901</v>
      </c>
      <c r="D110" s="300" t="s">
        <v>758</v>
      </c>
      <c r="E110" s="300" t="s">
        <v>902</v>
      </c>
      <c r="F110" s="301" t="s">
        <v>760</v>
      </c>
      <c r="G110" s="302">
        <v>858485457</v>
      </c>
      <c r="H110" s="302">
        <v>3776904</v>
      </c>
      <c r="I110" s="302">
        <v>221233754</v>
      </c>
      <c r="J110" s="302">
        <v>60949131</v>
      </c>
      <c r="K110" s="302">
        <v>160284623</v>
      </c>
      <c r="L110" s="302">
        <v>965838399</v>
      </c>
      <c r="M110" s="302">
        <v>3240403</v>
      </c>
      <c r="N110" s="302">
        <v>227314812</v>
      </c>
      <c r="O110" s="302">
        <v>64299954</v>
      </c>
      <c r="P110" s="302">
        <v>163014858</v>
      </c>
      <c r="Q110" s="303"/>
    </row>
    <row r="111" spans="1:17" s="304" customFormat="1" x14ac:dyDescent="0.25">
      <c r="A111" s="300">
        <v>104</v>
      </c>
      <c r="B111" s="300">
        <v>860026895</v>
      </c>
      <c r="C111" s="300" t="s">
        <v>903</v>
      </c>
      <c r="D111" s="300" t="s">
        <v>758</v>
      </c>
      <c r="E111" s="300" t="s">
        <v>860</v>
      </c>
      <c r="F111" s="301" t="s">
        <v>779</v>
      </c>
      <c r="G111" s="302">
        <v>855109835</v>
      </c>
      <c r="H111" s="302">
        <v>11859523</v>
      </c>
      <c r="I111" s="302">
        <v>300769850</v>
      </c>
      <c r="J111" s="302">
        <v>155065092</v>
      </c>
      <c r="K111" s="302">
        <v>145704758</v>
      </c>
      <c r="L111" s="302">
        <v>849351809</v>
      </c>
      <c r="M111" s="302">
        <v>10451774</v>
      </c>
      <c r="N111" s="302">
        <v>313371263</v>
      </c>
      <c r="O111" s="302">
        <v>172684994</v>
      </c>
      <c r="P111" s="302">
        <v>140686269</v>
      </c>
      <c r="Q111" s="303"/>
    </row>
    <row r="112" spans="1:17" s="304" customFormat="1" x14ac:dyDescent="0.25">
      <c r="A112" s="300">
        <v>105</v>
      </c>
      <c r="B112" s="300">
        <v>860074450</v>
      </c>
      <c r="C112" s="300" t="s">
        <v>904</v>
      </c>
      <c r="D112" s="300" t="s">
        <v>758</v>
      </c>
      <c r="E112" s="300" t="s">
        <v>905</v>
      </c>
      <c r="F112" s="301" t="s">
        <v>779</v>
      </c>
      <c r="G112" s="302">
        <v>852250166</v>
      </c>
      <c r="H112" s="302">
        <v>24052442</v>
      </c>
      <c r="I112" s="302">
        <v>587601081</v>
      </c>
      <c r="J112" s="302">
        <v>307835338</v>
      </c>
      <c r="K112" s="302">
        <v>279765743</v>
      </c>
      <c r="L112" s="302">
        <v>710040270</v>
      </c>
      <c r="M112" s="302">
        <v>25307588</v>
      </c>
      <c r="N112" s="302">
        <v>460623028</v>
      </c>
      <c r="O112" s="302">
        <v>205659835</v>
      </c>
      <c r="P112" s="302">
        <v>254963193</v>
      </c>
      <c r="Q112" s="303"/>
    </row>
    <row r="113" spans="1:17" s="304" customFormat="1" x14ac:dyDescent="0.25">
      <c r="A113" s="300">
        <v>106</v>
      </c>
      <c r="B113" s="300">
        <v>860001307</v>
      </c>
      <c r="C113" s="300" t="s">
        <v>906</v>
      </c>
      <c r="D113" s="300" t="s">
        <v>758</v>
      </c>
      <c r="E113" s="300" t="s">
        <v>880</v>
      </c>
      <c r="F113" s="301" t="s">
        <v>764</v>
      </c>
      <c r="G113" s="302">
        <v>850039315</v>
      </c>
      <c r="H113" s="302">
        <v>-7245738</v>
      </c>
      <c r="I113" s="302">
        <v>613342643</v>
      </c>
      <c r="J113" s="302">
        <v>382773308</v>
      </c>
      <c r="K113" s="302">
        <v>230569335</v>
      </c>
      <c r="L113" s="302">
        <v>1060611964</v>
      </c>
      <c r="M113" s="302">
        <v>35754721</v>
      </c>
      <c r="N113" s="302">
        <v>613261476</v>
      </c>
      <c r="O113" s="302">
        <v>365257275</v>
      </c>
      <c r="P113" s="302">
        <v>248004201</v>
      </c>
      <c r="Q113" s="303"/>
    </row>
    <row r="114" spans="1:17" s="304" customFormat="1" x14ac:dyDescent="0.25">
      <c r="A114" s="300">
        <v>107</v>
      </c>
      <c r="B114" s="300">
        <v>890101815</v>
      </c>
      <c r="C114" s="300" t="s">
        <v>907</v>
      </c>
      <c r="D114" s="300" t="s">
        <v>808</v>
      </c>
      <c r="E114" s="300" t="s">
        <v>868</v>
      </c>
      <c r="F114" s="300" t="s">
        <v>779</v>
      </c>
      <c r="G114" s="302">
        <v>849993683</v>
      </c>
      <c r="H114" s="302">
        <v>105282779</v>
      </c>
      <c r="I114" s="302">
        <v>702374059</v>
      </c>
      <c r="J114" s="302">
        <v>229798990</v>
      </c>
      <c r="K114" s="302">
        <v>472575069</v>
      </c>
      <c r="L114" s="302">
        <v>792033122</v>
      </c>
      <c r="M114" s="302">
        <v>64654750</v>
      </c>
      <c r="N114" s="302">
        <v>571414705</v>
      </c>
      <c r="O114" s="302">
        <v>170138552</v>
      </c>
      <c r="P114" s="302">
        <v>401276153</v>
      </c>
      <c r="Q114" s="303"/>
    </row>
    <row r="115" spans="1:17" s="304" customFormat="1" x14ac:dyDescent="0.25">
      <c r="A115" s="300">
        <v>108</v>
      </c>
      <c r="B115" s="300">
        <v>800241958</v>
      </c>
      <c r="C115" s="300" t="s">
        <v>908</v>
      </c>
      <c r="D115" s="300" t="s">
        <v>758</v>
      </c>
      <c r="E115" s="300" t="s">
        <v>909</v>
      </c>
      <c r="F115" s="301" t="s">
        <v>764</v>
      </c>
      <c r="G115" s="302">
        <v>848934701</v>
      </c>
      <c r="H115" s="302">
        <v>-5616207</v>
      </c>
      <c r="I115" s="302">
        <v>379524840</v>
      </c>
      <c r="J115" s="302">
        <v>291146635</v>
      </c>
      <c r="K115" s="302">
        <v>88378205</v>
      </c>
      <c r="L115" s="302">
        <v>832191982</v>
      </c>
      <c r="M115" s="302">
        <v>92975</v>
      </c>
      <c r="N115" s="302">
        <v>397980494</v>
      </c>
      <c r="O115" s="302">
        <v>304150138</v>
      </c>
      <c r="P115" s="302">
        <v>93830356</v>
      </c>
      <c r="Q115" s="303"/>
    </row>
    <row r="116" spans="1:17" s="304" customFormat="1" x14ac:dyDescent="0.25">
      <c r="A116" s="300">
        <v>109</v>
      </c>
      <c r="B116" s="300">
        <v>830113630</v>
      </c>
      <c r="C116" s="300" t="s">
        <v>910</v>
      </c>
      <c r="D116" s="300" t="s">
        <v>768</v>
      </c>
      <c r="E116" s="300" t="s">
        <v>759</v>
      </c>
      <c r="F116" s="301" t="s">
        <v>766</v>
      </c>
      <c r="G116" s="302">
        <v>844400922.83299994</v>
      </c>
      <c r="H116" s="302">
        <v>127471485.167</v>
      </c>
      <c r="I116" s="302">
        <v>1262583780.1029999</v>
      </c>
      <c r="J116" s="302">
        <v>365632863.92400002</v>
      </c>
      <c r="K116" s="302">
        <v>896950916.17900002</v>
      </c>
      <c r="L116" s="302">
        <v>509646144.82700002</v>
      </c>
      <c r="M116" s="302">
        <v>72370469.341000006</v>
      </c>
      <c r="N116" s="302">
        <v>1176761316.273</v>
      </c>
      <c r="O116" s="302">
        <v>380208230.51800001</v>
      </c>
      <c r="P116" s="302">
        <v>796553085.755</v>
      </c>
      <c r="Q116" s="303"/>
    </row>
    <row r="117" spans="1:17" s="304" customFormat="1" x14ac:dyDescent="0.25">
      <c r="A117" s="300">
        <v>110</v>
      </c>
      <c r="B117" s="305">
        <v>800249241</v>
      </c>
      <c r="C117" s="306" t="s">
        <v>911</v>
      </c>
      <c r="D117" s="300" t="s">
        <v>768</v>
      </c>
      <c r="E117" s="300" t="s">
        <v>759</v>
      </c>
      <c r="F117" s="300" t="s">
        <v>766</v>
      </c>
      <c r="G117" s="302">
        <v>843819842</v>
      </c>
      <c r="H117" s="302">
        <v>336368</v>
      </c>
      <c r="I117" s="302">
        <v>187359815</v>
      </c>
      <c r="J117" s="302">
        <v>170609430</v>
      </c>
      <c r="K117" s="302">
        <v>16750385</v>
      </c>
      <c r="L117" s="302">
        <v>582216714</v>
      </c>
      <c r="M117" s="302">
        <v>115046</v>
      </c>
      <c r="N117" s="302">
        <v>194444166</v>
      </c>
      <c r="O117" s="302">
        <v>179882441</v>
      </c>
      <c r="P117" s="302">
        <v>14561725</v>
      </c>
      <c r="Q117" s="303"/>
    </row>
    <row r="118" spans="1:17" s="304" customFormat="1" x14ac:dyDescent="0.25">
      <c r="A118" s="300">
        <v>111</v>
      </c>
      <c r="B118" s="300">
        <v>800173557</v>
      </c>
      <c r="C118" s="300" t="s">
        <v>912</v>
      </c>
      <c r="D118" s="300" t="s">
        <v>758</v>
      </c>
      <c r="E118" s="300" t="s">
        <v>880</v>
      </c>
      <c r="F118" s="301" t="s">
        <v>764</v>
      </c>
      <c r="G118" s="302">
        <v>831185342</v>
      </c>
      <c r="H118" s="302">
        <v>23105222</v>
      </c>
      <c r="I118" s="302">
        <v>499807930</v>
      </c>
      <c r="J118" s="302">
        <v>282268567</v>
      </c>
      <c r="K118" s="302">
        <v>217539363</v>
      </c>
      <c r="L118" s="302">
        <v>983583734</v>
      </c>
      <c r="M118" s="302">
        <v>48933402</v>
      </c>
      <c r="N118" s="302">
        <v>471246133</v>
      </c>
      <c r="O118" s="302">
        <v>293331290</v>
      </c>
      <c r="P118" s="302">
        <v>177914843</v>
      </c>
      <c r="Q118" s="303"/>
    </row>
    <row r="119" spans="1:17" s="304" customFormat="1" x14ac:dyDescent="0.25">
      <c r="A119" s="300">
        <v>112</v>
      </c>
      <c r="B119" s="300">
        <v>900268747</v>
      </c>
      <c r="C119" s="300" t="s">
        <v>913</v>
      </c>
      <c r="D119" s="300" t="s">
        <v>758</v>
      </c>
      <c r="E119" s="300" t="s">
        <v>771</v>
      </c>
      <c r="F119" s="300" t="s">
        <v>760</v>
      </c>
      <c r="G119" s="302">
        <v>828860516</v>
      </c>
      <c r="H119" s="302">
        <v>114580481</v>
      </c>
      <c r="I119" s="302">
        <v>706757501</v>
      </c>
      <c r="J119" s="302">
        <v>425374650</v>
      </c>
      <c r="K119" s="302">
        <v>281382851</v>
      </c>
      <c r="L119" s="302">
        <v>468605930</v>
      </c>
      <c r="M119" s="302">
        <v>87210448</v>
      </c>
      <c r="N119" s="302">
        <v>374983240</v>
      </c>
      <c r="O119" s="302">
        <v>246637133</v>
      </c>
      <c r="P119" s="302">
        <v>128346107</v>
      </c>
      <c r="Q119" s="303"/>
    </row>
    <row r="120" spans="1:17" s="304" customFormat="1" x14ac:dyDescent="0.25">
      <c r="A120" s="300">
        <v>113</v>
      </c>
      <c r="B120" s="300">
        <v>890900161</v>
      </c>
      <c r="C120" s="300" t="s">
        <v>914</v>
      </c>
      <c r="D120" s="300" t="s">
        <v>763</v>
      </c>
      <c r="E120" s="300" t="s">
        <v>759</v>
      </c>
      <c r="F120" s="301" t="s">
        <v>779</v>
      </c>
      <c r="G120" s="302">
        <v>822927480</v>
      </c>
      <c r="H120" s="302">
        <v>137644420</v>
      </c>
      <c r="I120" s="302">
        <v>1563853150</v>
      </c>
      <c r="J120" s="302">
        <v>425814420</v>
      </c>
      <c r="K120" s="302">
        <v>1138038730</v>
      </c>
      <c r="L120" s="302">
        <v>814703205</v>
      </c>
      <c r="M120" s="302">
        <v>132705840</v>
      </c>
      <c r="N120" s="302">
        <v>1426631693</v>
      </c>
      <c r="O120" s="302">
        <v>329258098</v>
      </c>
      <c r="P120" s="302">
        <v>1097373594</v>
      </c>
      <c r="Q120" s="303"/>
    </row>
    <row r="121" spans="1:17" s="304" customFormat="1" x14ac:dyDescent="0.25">
      <c r="A121" s="300">
        <v>114</v>
      </c>
      <c r="B121" s="300">
        <v>891800111</v>
      </c>
      <c r="C121" s="300" t="s">
        <v>915</v>
      </c>
      <c r="D121" s="300" t="s">
        <v>758</v>
      </c>
      <c r="E121" s="300" t="s">
        <v>916</v>
      </c>
      <c r="F121" s="301" t="s">
        <v>779</v>
      </c>
      <c r="G121" s="302">
        <v>822885309</v>
      </c>
      <c r="H121" s="302">
        <v>-55637821</v>
      </c>
      <c r="I121" s="302">
        <v>1319891715</v>
      </c>
      <c r="J121" s="302">
        <v>586101351</v>
      </c>
      <c r="K121" s="302">
        <v>733790364</v>
      </c>
      <c r="L121" s="302">
        <v>820634741</v>
      </c>
      <c r="M121" s="302">
        <v>-67535046</v>
      </c>
      <c r="N121" s="302">
        <v>1211354164</v>
      </c>
      <c r="O121" s="302">
        <v>683633040</v>
      </c>
      <c r="P121" s="302">
        <v>527721124</v>
      </c>
      <c r="Q121" s="303"/>
    </row>
    <row r="122" spans="1:17" s="304" customFormat="1" x14ac:dyDescent="0.25">
      <c r="A122" s="300">
        <v>115</v>
      </c>
      <c r="B122" s="300">
        <v>900041914</v>
      </c>
      <c r="C122" s="300" t="s">
        <v>917</v>
      </c>
      <c r="D122" s="300" t="s">
        <v>763</v>
      </c>
      <c r="E122" s="300" t="s">
        <v>868</v>
      </c>
      <c r="F122" s="301" t="s">
        <v>779</v>
      </c>
      <c r="G122" s="302">
        <v>822278472</v>
      </c>
      <c r="H122" s="302">
        <v>41850495</v>
      </c>
      <c r="I122" s="302">
        <v>355041515</v>
      </c>
      <c r="J122" s="302">
        <v>223217965</v>
      </c>
      <c r="K122" s="302">
        <v>131823550</v>
      </c>
      <c r="L122" s="302">
        <v>868181914</v>
      </c>
      <c r="M122" s="302">
        <v>55877714</v>
      </c>
      <c r="N122" s="302">
        <v>311858775</v>
      </c>
      <c r="O122" s="302">
        <v>166008004</v>
      </c>
      <c r="P122" s="302">
        <v>145850771</v>
      </c>
      <c r="Q122" s="303"/>
    </row>
    <row r="123" spans="1:17" s="304" customFormat="1" x14ac:dyDescent="0.25">
      <c r="A123" s="300">
        <v>116</v>
      </c>
      <c r="B123" s="300">
        <v>860015753</v>
      </c>
      <c r="C123" s="300" t="s">
        <v>918</v>
      </c>
      <c r="D123" s="300" t="s">
        <v>763</v>
      </c>
      <c r="E123" s="300" t="s">
        <v>919</v>
      </c>
      <c r="F123" s="301" t="s">
        <v>779</v>
      </c>
      <c r="G123" s="302">
        <v>820123681</v>
      </c>
      <c r="H123" s="302">
        <v>160351520</v>
      </c>
      <c r="I123" s="302">
        <v>2563759921</v>
      </c>
      <c r="J123" s="302">
        <v>567566713</v>
      </c>
      <c r="K123" s="302">
        <v>1996193208</v>
      </c>
      <c r="L123" s="302">
        <v>752268380</v>
      </c>
      <c r="M123" s="302">
        <v>65753369</v>
      </c>
      <c r="N123" s="302">
        <v>2214328470</v>
      </c>
      <c r="O123" s="302">
        <v>437680825</v>
      </c>
      <c r="P123" s="302">
        <v>1776647645</v>
      </c>
      <c r="Q123" s="303"/>
    </row>
    <row r="124" spans="1:17" s="304" customFormat="1" x14ac:dyDescent="0.25">
      <c r="A124" s="300">
        <v>117</v>
      </c>
      <c r="B124" s="300">
        <v>805027970</v>
      </c>
      <c r="C124" s="300" t="s">
        <v>920</v>
      </c>
      <c r="D124" s="300" t="s">
        <v>808</v>
      </c>
      <c r="E124" s="300" t="s">
        <v>786</v>
      </c>
      <c r="F124" s="301" t="s">
        <v>764</v>
      </c>
      <c r="G124" s="302">
        <v>819589892</v>
      </c>
      <c r="H124" s="302">
        <v>865446</v>
      </c>
      <c r="I124" s="302">
        <v>166708174</v>
      </c>
      <c r="J124" s="302">
        <v>122281507</v>
      </c>
      <c r="K124" s="302">
        <v>44426667</v>
      </c>
      <c r="L124" s="302">
        <v>645553138</v>
      </c>
      <c r="M124" s="302">
        <v>5782220</v>
      </c>
      <c r="N124" s="302">
        <v>134895507</v>
      </c>
      <c r="O124" s="302">
        <v>90834299</v>
      </c>
      <c r="P124" s="302">
        <v>44061208</v>
      </c>
      <c r="Q124" s="303"/>
    </row>
    <row r="125" spans="1:17" s="304" customFormat="1" x14ac:dyDescent="0.25">
      <c r="A125" s="312">
        <v>118</v>
      </c>
      <c r="B125" s="312">
        <v>890318278</v>
      </c>
      <c r="C125" s="312" t="s">
        <v>921</v>
      </c>
      <c r="D125" s="312" t="s">
        <v>808</v>
      </c>
      <c r="E125" s="312" t="s">
        <v>876</v>
      </c>
      <c r="F125" s="313" t="s">
        <v>877</v>
      </c>
      <c r="G125" s="314">
        <v>809804698</v>
      </c>
      <c r="H125" s="314">
        <v>4086154</v>
      </c>
      <c r="I125" s="314">
        <v>1197377065</v>
      </c>
      <c r="J125" s="314">
        <v>630607534</v>
      </c>
      <c r="K125" s="314">
        <v>566769531</v>
      </c>
      <c r="L125" s="314">
        <v>725421484</v>
      </c>
      <c r="M125" s="314">
        <v>29521822</v>
      </c>
      <c r="N125" s="314">
        <v>1062654723</v>
      </c>
      <c r="O125" s="314">
        <v>499548448</v>
      </c>
      <c r="P125" s="314">
        <v>563106275</v>
      </c>
      <c r="Q125" s="303"/>
    </row>
    <row r="126" spans="1:17" s="304" customFormat="1" x14ac:dyDescent="0.25">
      <c r="A126" s="300">
        <v>119</v>
      </c>
      <c r="B126" s="300">
        <v>800230209</v>
      </c>
      <c r="C126" s="300" t="s">
        <v>922</v>
      </c>
      <c r="D126" s="300" t="s">
        <v>758</v>
      </c>
      <c r="E126" s="300" t="s">
        <v>846</v>
      </c>
      <c r="F126" s="300" t="s">
        <v>760</v>
      </c>
      <c r="G126" s="302">
        <v>787602362</v>
      </c>
      <c r="H126" s="302">
        <v>13819526</v>
      </c>
      <c r="I126" s="302">
        <v>935625703</v>
      </c>
      <c r="J126" s="302">
        <v>241948044</v>
      </c>
      <c r="K126" s="302">
        <v>693677659</v>
      </c>
      <c r="L126" s="302">
        <v>818748542</v>
      </c>
      <c r="M126" s="302">
        <v>14495341</v>
      </c>
      <c r="N126" s="302">
        <v>995256639</v>
      </c>
      <c r="O126" s="302">
        <v>310910508</v>
      </c>
      <c r="P126" s="302">
        <v>684346131</v>
      </c>
      <c r="Q126" s="303"/>
    </row>
    <row r="127" spans="1:17" s="304" customFormat="1" x14ac:dyDescent="0.25">
      <c r="A127" s="300">
        <v>120</v>
      </c>
      <c r="B127" s="305">
        <v>860078828</v>
      </c>
      <c r="C127" s="306" t="s">
        <v>923</v>
      </c>
      <c r="D127" s="300" t="s">
        <v>758</v>
      </c>
      <c r="E127" s="300" t="s">
        <v>759</v>
      </c>
      <c r="F127" s="300" t="s">
        <v>766</v>
      </c>
      <c r="G127" s="302">
        <v>786531975</v>
      </c>
      <c r="H127" s="302">
        <v>12435025</v>
      </c>
      <c r="I127" s="302">
        <v>427792280</v>
      </c>
      <c r="J127" s="302">
        <v>261605218</v>
      </c>
      <c r="K127" s="302">
        <v>166187062</v>
      </c>
      <c r="L127" s="309">
        <v>679394648</v>
      </c>
      <c r="M127" s="309">
        <v>4368809</v>
      </c>
      <c r="N127" s="302">
        <v>377795811</v>
      </c>
      <c r="O127" s="302">
        <v>243849934</v>
      </c>
      <c r="P127" s="302">
        <v>133945877</v>
      </c>
      <c r="Q127" s="303"/>
    </row>
    <row r="128" spans="1:17" s="304" customFormat="1" x14ac:dyDescent="0.25">
      <c r="A128" s="300">
        <v>121</v>
      </c>
      <c r="B128" s="300">
        <v>811030322</v>
      </c>
      <c r="C128" s="300" t="s">
        <v>924</v>
      </c>
      <c r="D128" s="300" t="s">
        <v>763</v>
      </c>
      <c r="E128" s="300" t="s">
        <v>759</v>
      </c>
      <c r="F128" s="301" t="s">
        <v>766</v>
      </c>
      <c r="G128" s="302">
        <v>785840435.94500005</v>
      </c>
      <c r="H128" s="302">
        <v>373645435.70200002</v>
      </c>
      <c r="I128" s="302">
        <v>4151372507.2379999</v>
      </c>
      <c r="J128" s="302">
        <v>863047499.84399998</v>
      </c>
      <c r="K128" s="302">
        <v>3288325007.3940001</v>
      </c>
      <c r="L128" s="302">
        <v>599500149.15499997</v>
      </c>
      <c r="M128" s="302">
        <v>230759842.29100001</v>
      </c>
      <c r="N128" s="302">
        <v>3956247597.9720001</v>
      </c>
      <c r="O128" s="302">
        <v>1050836915.554</v>
      </c>
      <c r="P128" s="302">
        <v>2905410682.4180002</v>
      </c>
      <c r="Q128" s="303"/>
    </row>
    <row r="129" spans="1:17" s="304" customFormat="1" x14ac:dyDescent="0.25">
      <c r="A129" s="300">
        <v>122</v>
      </c>
      <c r="B129" s="300">
        <v>800167643</v>
      </c>
      <c r="C129" s="300" t="s">
        <v>925</v>
      </c>
      <c r="D129" s="300" t="s">
        <v>808</v>
      </c>
      <c r="E129" s="300" t="s">
        <v>759</v>
      </c>
      <c r="F129" s="301" t="s">
        <v>766</v>
      </c>
      <c r="G129" s="309">
        <v>785741668.73000002</v>
      </c>
      <c r="H129" s="309">
        <v>92561814.908999994</v>
      </c>
      <c r="I129" s="309">
        <v>871580992.80499995</v>
      </c>
      <c r="J129" s="309">
        <v>572158133.92999995</v>
      </c>
      <c r="K129" s="309">
        <v>299422858.875</v>
      </c>
      <c r="L129" s="309">
        <v>661917935.84300005</v>
      </c>
      <c r="M129" s="309">
        <v>78533768.091999993</v>
      </c>
      <c r="N129" s="309">
        <v>817211507.53100002</v>
      </c>
      <c r="O129" s="309">
        <v>533314868.61299998</v>
      </c>
      <c r="P129" s="309">
        <v>283896638.91799998</v>
      </c>
      <c r="Q129" s="303"/>
    </row>
    <row r="130" spans="1:17" s="304" customFormat="1" x14ac:dyDescent="0.25">
      <c r="A130" s="300">
        <v>123</v>
      </c>
      <c r="B130" s="300">
        <v>800186142</v>
      </c>
      <c r="C130" s="300" t="s">
        <v>926</v>
      </c>
      <c r="D130" s="300" t="s">
        <v>758</v>
      </c>
      <c r="E130" s="300" t="s">
        <v>880</v>
      </c>
      <c r="F130" s="300" t="s">
        <v>764</v>
      </c>
      <c r="G130" s="302">
        <v>771949622</v>
      </c>
      <c r="H130" s="302">
        <v>20062506</v>
      </c>
      <c r="I130" s="302">
        <v>127189274</v>
      </c>
      <c r="J130" s="302">
        <v>100589561</v>
      </c>
      <c r="K130" s="302">
        <v>26599713</v>
      </c>
      <c r="L130" s="302">
        <v>540212352</v>
      </c>
      <c r="M130" s="302">
        <v>22032027</v>
      </c>
      <c r="N130" s="302">
        <v>142193505</v>
      </c>
      <c r="O130" s="302">
        <v>113758438</v>
      </c>
      <c r="P130" s="302">
        <v>28435067</v>
      </c>
      <c r="Q130" s="303"/>
    </row>
    <row r="131" spans="1:17" s="304" customFormat="1" x14ac:dyDescent="0.25">
      <c r="A131" s="300">
        <v>124</v>
      </c>
      <c r="B131" s="300">
        <v>890201230</v>
      </c>
      <c r="C131" s="300" t="s">
        <v>927</v>
      </c>
      <c r="D131" s="300" t="s">
        <v>891</v>
      </c>
      <c r="E131" s="300" t="s">
        <v>759</v>
      </c>
      <c r="F131" s="301" t="s">
        <v>766</v>
      </c>
      <c r="G131" s="302">
        <v>761720144.29100001</v>
      </c>
      <c r="H131" s="302">
        <v>58467803.715000004</v>
      </c>
      <c r="I131" s="302">
        <v>1338590471.2509999</v>
      </c>
      <c r="J131" s="302">
        <v>461668006.29000002</v>
      </c>
      <c r="K131" s="302">
        <v>876922464.96099997</v>
      </c>
      <c r="L131" s="302">
        <v>732474446.204</v>
      </c>
      <c r="M131" s="302">
        <v>58708107.773999996</v>
      </c>
      <c r="N131" s="302">
        <v>1405437650.296</v>
      </c>
      <c r="O131" s="302">
        <v>298633303.40700001</v>
      </c>
      <c r="P131" s="302">
        <v>1106804346.8889999</v>
      </c>
      <c r="Q131" s="303"/>
    </row>
    <row r="132" spans="1:17" s="304" customFormat="1" x14ac:dyDescent="0.25">
      <c r="A132" s="300">
        <v>125</v>
      </c>
      <c r="B132" s="300">
        <v>890101691</v>
      </c>
      <c r="C132" s="300" t="s">
        <v>928</v>
      </c>
      <c r="D132" s="300" t="s">
        <v>768</v>
      </c>
      <c r="E132" s="300" t="s">
        <v>759</v>
      </c>
      <c r="F132" s="301" t="s">
        <v>766</v>
      </c>
      <c r="G132" s="302">
        <v>757650524.01800001</v>
      </c>
      <c r="H132" s="302">
        <v>119652185.948</v>
      </c>
      <c r="I132" s="302">
        <v>916818947.79100001</v>
      </c>
      <c r="J132" s="302">
        <v>495625247.92500001</v>
      </c>
      <c r="K132" s="302">
        <v>421193699.866</v>
      </c>
      <c r="L132" s="302">
        <v>668196378.046</v>
      </c>
      <c r="M132" s="302">
        <v>112844151.13500001</v>
      </c>
      <c r="N132" s="302">
        <v>802304905.30400002</v>
      </c>
      <c r="O132" s="302">
        <v>410416917.71700001</v>
      </c>
      <c r="P132" s="302">
        <v>391887987.58700001</v>
      </c>
      <c r="Q132" s="303"/>
    </row>
    <row r="133" spans="1:17" s="304" customFormat="1" x14ac:dyDescent="0.25">
      <c r="A133" s="300">
        <v>126</v>
      </c>
      <c r="B133" s="300">
        <v>890900168</v>
      </c>
      <c r="C133" s="300" t="s">
        <v>929</v>
      </c>
      <c r="D133" s="300" t="s">
        <v>763</v>
      </c>
      <c r="E133" s="300" t="s">
        <v>930</v>
      </c>
      <c r="F133" s="301" t="s">
        <v>779</v>
      </c>
      <c r="G133" s="302">
        <v>757459245</v>
      </c>
      <c r="H133" s="302">
        <v>205757885</v>
      </c>
      <c r="I133" s="302">
        <v>1248793252</v>
      </c>
      <c r="J133" s="302">
        <v>223804428</v>
      </c>
      <c r="K133" s="302">
        <v>1024988824</v>
      </c>
      <c r="L133" s="302">
        <v>718512542</v>
      </c>
      <c r="M133" s="302">
        <v>156677264</v>
      </c>
      <c r="N133" s="302">
        <v>1210888578</v>
      </c>
      <c r="O133" s="302">
        <v>277070809</v>
      </c>
      <c r="P133" s="302">
        <v>933817769</v>
      </c>
      <c r="Q133" s="303"/>
    </row>
    <row r="134" spans="1:17" s="304" customFormat="1" x14ac:dyDescent="0.25">
      <c r="A134" s="300">
        <v>127</v>
      </c>
      <c r="B134" s="300">
        <v>890300406</v>
      </c>
      <c r="C134" s="300" t="s">
        <v>931</v>
      </c>
      <c r="D134" s="300" t="s">
        <v>808</v>
      </c>
      <c r="E134" s="300" t="s">
        <v>759</v>
      </c>
      <c r="F134" s="301" t="s">
        <v>779</v>
      </c>
      <c r="G134" s="302">
        <v>751656440</v>
      </c>
      <c r="H134" s="302">
        <v>53246590</v>
      </c>
      <c r="I134" s="302">
        <v>2054602200</v>
      </c>
      <c r="J134" s="302">
        <v>498667140</v>
      </c>
      <c r="K134" s="302">
        <v>1555935060</v>
      </c>
      <c r="L134" s="302">
        <v>763218948</v>
      </c>
      <c r="M134" s="302">
        <v>36895340</v>
      </c>
      <c r="N134" s="302">
        <v>2019830969</v>
      </c>
      <c r="O134" s="302">
        <v>466707257</v>
      </c>
      <c r="P134" s="302">
        <v>1553123714</v>
      </c>
      <c r="Q134" s="303"/>
    </row>
    <row r="135" spans="1:17" s="304" customFormat="1" x14ac:dyDescent="0.25">
      <c r="A135" s="300">
        <v>128</v>
      </c>
      <c r="B135" s="300">
        <v>890901672</v>
      </c>
      <c r="C135" s="300" t="s">
        <v>932</v>
      </c>
      <c r="D135" s="300" t="s">
        <v>763</v>
      </c>
      <c r="E135" s="300" t="s">
        <v>933</v>
      </c>
      <c r="F135" s="301" t="s">
        <v>779</v>
      </c>
      <c r="G135" s="302">
        <v>744006229</v>
      </c>
      <c r="H135" s="302">
        <v>15633291</v>
      </c>
      <c r="I135" s="302">
        <v>681659218</v>
      </c>
      <c r="J135" s="302">
        <v>311447528</v>
      </c>
      <c r="K135" s="302">
        <v>370211690</v>
      </c>
      <c r="L135" s="302">
        <v>153051577</v>
      </c>
      <c r="M135" s="302">
        <v>5285335</v>
      </c>
      <c r="N135" s="302">
        <v>311712998</v>
      </c>
      <c r="O135" s="302">
        <v>87517486</v>
      </c>
      <c r="P135" s="302">
        <v>224195512</v>
      </c>
      <c r="Q135" s="303"/>
    </row>
    <row r="136" spans="1:17" s="304" customFormat="1" x14ac:dyDescent="0.25">
      <c r="A136" s="300">
        <v>129</v>
      </c>
      <c r="B136" s="300">
        <v>900044461</v>
      </c>
      <c r="C136" s="300" t="s">
        <v>934</v>
      </c>
      <c r="D136" s="300" t="s">
        <v>768</v>
      </c>
      <c r="E136" s="300" t="s">
        <v>759</v>
      </c>
      <c r="F136" s="301" t="s">
        <v>766</v>
      </c>
      <c r="G136" s="302">
        <v>733605927</v>
      </c>
      <c r="H136" s="302">
        <v>-773773.96400000004</v>
      </c>
      <c r="I136" s="302">
        <v>157526614.94999999</v>
      </c>
      <c r="J136" s="302">
        <v>156451471.183</v>
      </c>
      <c r="K136" s="302">
        <v>1075143.767</v>
      </c>
      <c r="L136" s="302">
        <v>555927024</v>
      </c>
      <c r="M136" s="302">
        <v>-4044766.8820000002</v>
      </c>
      <c r="N136" s="302">
        <v>100357768.95</v>
      </c>
      <c r="O136" s="302">
        <v>98508851.221000001</v>
      </c>
      <c r="P136" s="302">
        <v>1848917.7290000001</v>
      </c>
      <c r="Q136" s="303"/>
    </row>
    <row r="137" spans="1:17" s="304" customFormat="1" x14ac:dyDescent="0.25">
      <c r="A137" s="300">
        <v>130</v>
      </c>
      <c r="B137" s="300">
        <v>830024043</v>
      </c>
      <c r="C137" s="300" t="s">
        <v>935</v>
      </c>
      <c r="D137" s="300" t="s">
        <v>758</v>
      </c>
      <c r="E137" s="300" t="s">
        <v>771</v>
      </c>
      <c r="F137" s="301" t="s">
        <v>760</v>
      </c>
      <c r="G137" s="302">
        <v>727921956</v>
      </c>
      <c r="H137" s="302">
        <v>-75214485</v>
      </c>
      <c r="I137" s="302">
        <v>802076361</v>
      </c>
      <c r="J137" s="302">
        <v>250033547</v>
      </c>
      <c r="K137" s="302">
        <v>552042814</v>
      </c>
      <c r="L137" s="302">
        <v>357039244</v>
      </c>
      <c r="M137" s="302">
        <v>8879733</v>
      </c>
      <c r="N137" s="302">
        <v>790769453</v>
      </c>
      <c r="O137" s="302">
        <v>294348413</v>
      </c>
      <c r="P137" s="302">
        <v>496421040</v>
      </c>
      <c r="Q137" s="303"/>
    </row>
    <row r="138" spans="1:17" s="304" customFormat="1" x14ac:dyDescent="0.25">
      <c r="A138" s="300">
        <v>131</v>
      </c>
      <c r="B138" s="300">
        <v>900139306</v>
      </c>
      <c r="C138" s="300" t="s">
        <v>936</v>
      </c>
      <c r="D138" s="300" t="s">
        <v>758</v>
      </c>
      <c r="E138" s="300" t="s">
        <v>771</v>
      </c>
      <c r="F138" s="300" t="s">
        <v>760</v>
      </c>
      <c r="G138" s="302">
        <v>721104730</v>
      </c>
      <c r="H138" s="302">
        <v>279638245</v>
      </c>
      <c r="I138" s="302">
        <v>522880529</v>
      </c>
      <c r="J138" s="302">
        <v>237922089</v>
      </c>
      <c r="K138" s="302">
        <v>284958440</v>
      </c>
      <c r="L138" s="302">
        <v>573238616</v>
      </c>
      <c r="M138" s="302">
        <v>182505545</v>
      </c>
      <c r="N138" s="302">
        <v>572790990</v>
      </c>
      <c r="O138" s="302">
        <v>117952789</v>
      </c>
      <c r="P138" s="302">
        <v>454838201</v>
      </c>
      <c r="Q138" s="303"/>
    </row>
    <row r="139" spans="1:17" s="304" customFormat="1" x14ac:dyDescent="0.25">
      <c r="A139" s="300">
        <v>132</v>
      </c>
      <c r="B139" s="308">
        <v>890303208</v>
      </c>
      <c r="C139" s="300" t="s">
        <v>937</v>
      </c>
      <c r="D139" s="300" t="s">
        <v>808</v>
      </c>
      <c r="E139" s="300" t="s">
        <v>759</v>
      </c>
      <c r="F139" s="301" t="s">
        <v>766</v>
      </c>
      <c r="G139" s="302">
        <v>717333188</v>
      </c>
      <c r="H139" s="302">
        <v>34831956</v>
      </c>
      <c r="I139" s="302">
        <v>933872737</v>
      </c>
      <c r="J139" s="302">
        <v>216539549</v>
      </c>
      <c r="K139" s="302">
        <v>717333188</v>
      </c>
      <c r="L139" s="302">
        <v>666579040</v>
      </c>
      <c r="M139" s="302">
        <v>16860020</v>
      </c>
      <c r="N139" s="302">
        <v>903783298</v>
      </c>
      <c r="O139" s="302">
        <v>237204258</v>
      </c>
      <c r="P139" s="302">
        <v>666579040</v>
      </c>
      <c r="Q139" s="303"/>
    </row>
    <row r="140" spans="1:17" s="304" customFormat="1" x14ac:dyDescent="0.25">
      <c r="A140" s="300">
        <v>133</v>
      </c>
      <c r="B140" s="300">
        <v>890105526</v>
      </c>
      <c r="C140" s="300" t="s">
        <v>938</v>
      </c>
      <c r="D140" s="300" t="s">
        <v>768</v>
      </c>
      <c r="E140" s="300" t="s">
        <v>759</v>
      </c>
      <c r="F140" s="301" t="s">
        <v>766</v>
      </c>
      <c r="G140" s="302">
        <v>716369600.98500001</v>
      </c>
      <c r="H140" s="302">
        <v>442350174.412</v>
      </c>
      <c r="I140" s="302">
        <v>2787900576.6869998</v>
      </c>
      <c r="J140" s="302">
        <v>1180142347.418</v>
      </c>
      <c r="K140" s="302">
        <v>1607758229.2690001</v>
      </c>
      <c r="L140" s="302">
        <v>507849574.56</v>
      </c>
      <c r="M140" s="302">
        <v>240868741.75999999</v>
      </c>
      <c r="N140" s="302">
        <v>2607790363.3379998</v>
      </c>
      <c r="O140" s="302">
        <v>1098509587.5469999</v>
      </c>
      <c r="P140" s="302">
        <v>1509280775.7909999</v>
      </c>
      <c r="Q140" s="303"/>
    </row>
    <row r="141" spans="1:17" s="304" customFormat="1" x14ac:dyDescent="0.25">
      <c r="A141" s="300">
        <v>134</v>
      </c>
      <c r="B141" s="300">
        <v>860516431</v>
      </c>
      <c r="C141" s="300" t="s">
        <v>939</v>
      </c>
      <c r="D141" s="300" t="s">
        <v>758</v>
      </c>
      <c r="E141" s="300" t="s">
        <v>771</v>
      </c>
      <c r="F141" s="300" t="s">
        <v>760</v>
      </c>
      <c r="G141" s="302">
        <v>715055233</v>
      </c>
      <c r="H141" s="302">
        <v>297548718</v>
      </c>
      <c r="I141" s="302">
        <v>652993280</v>
      </c>
      <c r="J141" s="302">
        <v>255833161</v>
      </c>
      <c r="K141" s="302">
        <v>397160119</v>
      </c>
      <c r="L141" s="302">
        <v>534406823</v>
      </c>
      <c r="M141" s="302">
        <v>200986123</v>
      </c>
      <c r="N141" s="302">
        <v>527730122</v>
      </c>
      <c r="O141" s="302">
        <v>161659258</v>
      </c>
      <c r="P141" s="302">
        <v>366070864</v>
      </c>
      <c r="Q141" s="303"/>
    </row>
    <row r="142" spans="1:17" s="304" customFormat="1" x14ac:dyDescent="0.25">
      <c r="A142" s="300">
        <v>135</v>
      </c>
      <c r="B142" s="308">
        <v>890900842</v>
      </c>
      <c r="C142" s="300" t="s">
        <v>940</v>
      </c>
      <c r="D142" s="300" t="s">
        <v>763</v>
      </c>
      <c r="E142" s="300" t="s">
        <v>759</v>
      </c>
      <c r="F142" s="301" t="s">
        <v>766</v>
      </c>
      <c r="G142" s="309">
        <v>713465640.39100003</v>
      </c>
      <c r="H142" s="309">
        <v>-49470743</v>
      </c>
      <c r="I142" s="309">
        <v>703391573</v>
      </c>
      <c r="J142" s="309">
        <v>586614102</v>
      </c>
      <c r="K142" s="309">
        <v>116777471</v>
      </c>
      <c r="L142" s="309">
        <v>787755605.08200002</v>
      </c>
      <c r="M142" s="309">
        <v>-99563305</v>
      </c>
      <c r="N142" s="309">
        <v>751362032</v>
      </c>
      <c r="O142" s="309">
        <v>578302870</v>
      </c>
      <c r="P142" s="309">
        <v>173059162</v>
      </c>
      <c r="Q142" s="303"/>
    </row>
    <row r="143" spans="1:17" s="304" customFormat="1" x14ac:dyDescent="0.25">
      <c r="A143" s="300">
        <v>136</v>
      </c>
      <c r="B143" s="300">
        <v>860512249</v>
      </c>
      <c r="C143" s="300" t="s">
        <v>941</v>
      </c>
      <c r="D143" s="300" t="s">
        <v>758</v>
      </c>
      <c r="E143" s="300" t="s">
        <v>868</v>
      </c>
      <c r="F143" s="301" t="s">
        <v>779</v>
      </c>
      <c r="G143" s="302">
        <v>710206924</v>
      </c>
      <c r="H143" s="302">
        <v>64209227</v>
      </c>
      <c r="I143" s="302">
        <v>360614925</v>
      </c>
      <c r="J143" s="302">
        <v>225365182</v>
      </c>
      <c r="K143" s="302">
        <v>135249743</v>
      </c>
      <c r="L143" s="302">
        <v>643877909</v>
      </c>
      <c r="M143" s="302">
        <v>59361506</v>
      </c>
      <c r="N143" s="302">
        <v>321355797</v>
      </c>
      <c r="O143" s="302">
        <v>218415847</v>
      </c>
      <c r="P143" s="302">
        <v>102939950</v>
      </c>
      <c r="Q143" s="303"/>
    </row>
    <row r="144" spans="1:17" s="304" customFormat="1" x14ac:dyDescent="0.25">
      <c r="A144" s="300">
        <v>137</v>
      </c>
      <c r="B144" s="300">
        <v>860009808</v>
      </c>
      <c r="C144" s="300" t="s">
        <v>942</v>
      </c>
      <c r="D144" s="300" t="s">
        <v>758</v>
      </c>
      <c r="E144" s="300" t="s">
        <v>943</v>
      </c>
      <c r="F144" s="301" t="s">
        <v>779</v>
      </c>
      <c r="G144" s="302">
        <v>709791681</v>
      </c>
      <c r="H144" s="302">
        <v>127065190</v>
      </c>
      <c r="I144" s="302">
        <v>664663043</v>
      </c>
      <c r="J144" s="302">
        <v>247926512</v>
      </c>
      <c r="K144" s="302">
        <v>416736531</v>
      </c>
      <c r="L144" s="302">
        <v>698675534</v>
      </c>
      <c r="M144" s="302">
        <v>89927755</v>
      </c>
      <c r="N144" s="302">
        <v>631267485</v>
      </c>
      <c r="O144" s="302">
        <v>284988701</v>
      </c>
      <c r="P144" s="302">
        <v>346278784</v>
      </c>
      <c r="Q144" s="303"/>
    </row>
    <row r="145" spans="1:17" s="304" customFormat="1" x14ac:dyDescent="0.25">
      <c r="A145" s="300">
        <v>138</v>
      </c>
      <c r="B145" s="300">
        <v>900136638</v>
      </c>
      <c r="C145" s="300" t="s">
        <v>944</v>
      </c>
      <c r="D145" s="300" t="s">
        <v>808</v>
      </c>
      <c r="E145" s="300" t="s">
        <v>930</v>
      </c>
      <c r="F145" s="301" t="s">
        <v>779</v>
      </c>
      <c r="G145" s="302">
        <v>700799485</v>
      </c>
      <c r="H145" s="302">
        <v>385761901</v>
      </c>
      <c r="I145" s="302">
        <v>846898270</v>
      </c>
      <c r="J145" s="302">
        <v>136451429</v>
      </c>
      <c r="K145" s="302">
        <v>710446841</v>
      </c>
      <c r="L145" s="302">
        <v>684212639</v>
      </c>
      <c r="M145" s="302">
        <v>363461283</v>
      </c>
      <c r="N145" s="302">
        <v>809087003</v>
      </c>
      <c r="O145" s="302">
        <v>132973020</v>
      </c>
      <c r="P145" s="302">
        <v>676113983</v>
      </c>
      <c r="Q145" s="303"/>
    </row>
    <row r="146" spans="1:17" s="304" customFormat="1" x14ac:dyDescent="0.25">
      <c r="A146" s="300">
        <v>139</v>
      </c>
      <c r="B146" s="300">
        <v>860025674</v>
      </c>
      <c r="C146" s="300" t="s">
        <v>945</v>
      </c>
      <c r="D146" s="300" t="s">
        <v>758</v>
      </c>
      <c r="E146" s="300" t="s">
        <v>759</v>
      </c>
      <c r="F146" s="301" t="s">
        <v>766</v>
      </c>
      <c r="G146" s="310">
        <v>687736000</v>
      </c>
      <c r="H146" s="302">
        <v>46951000</v>
      </c>
      <c r="I146" s="302">
        <v>1001973340</v>
      </c>
      <c r="J146" s="302">
        <v>378471440</v>
      </c>
      <c r="K146" s="302">
        <v>623501910</v>
      </c>
      <c r="L146" s="302">
        <v>580865875</v>
      </c>
      <c r="M146" s="302">
        <v>23320785</v>
      </c>
      <c r="N146" s="302">
        <v>1096079276</v>
      </c>
      <c r="O146" s="302">
        <v>434934834</v>
      </c>
      <c r="P146" s="302">
        <v>661144442</v>
      </c>
      <c r="Q146" s="303"/>
    </row>
    <row r="147" spans="1:17" s="304" customFormat="1" x14ac:dyDescent="0.25">
      <c r="A147" s="300">
        <v>140</v>
      </c>
      <c r="B147" s="300">
        <v>860002120</v>
      </c>
      <c r="C147" s="300" t="s">
        <v>946</v>
      </c>
      <c r="D147" s="300" t="s">
        <v>758</v>
      </c>
      <c r="E147" s="300" t="s">
        <v>947</v>
      </c>
      <c r="F147" s="301" t="s">
        <v>766</v>
      </c>
      <c r="G147" s="302">
        <v>686778834</v>
      </c>
      <c r="H147" s="302">
        <v>29971398</v>
      </c>
      <c r="I147" s="302">
        <v>977191636</v>
      </c>
      <c r="J147" s="302">
        <v>637920447</v>
      </c>
      <c r="K147" s="302">
        <v>339271189</v>
      </c>
      <c r="L147" s="302">
        <v>600213667</v>
      </c>
      <c r="M147" s="302">
        <v>9475914</v>
      </c>
      <c r="N147" s="302">
        <v>711592889</v>
      </c>
      <c r="O147" s="302">
        <v>502646323</v>
      </c>
      <c r="P147" s="302">
        <v>208946566</v>
      </c>
      <c r="Q147" s="303"/>
    </row>
    <row r="148" spans="1:17" s="304" customFormat="1" x14ac:dyDescent="0.25">
      <c r="A148" s="300">
        <v>141</v>
      </c>
      <c r="B148" s="300">
        <v>890932389</v>
      </c>
      <c r="C148" s="300" t="s">
        <v>948</v>
      </c>
      <c r="D148" s="300" t="s">
        <v>763</v>
      </c>
      <c r="E148" s="300" t="s">
        <v>949</v>
      </c>
      <c r="F148" s="301" t="s">
        <v>764</v>
      </c>
      <c r="G148" s="302">
        <v>685875961</v>
      </c>
      <c r="H148" s="302">
        <v>-10037780</v>
      </c>
      <c r="I148" s="302">
        <v>615207053</v>
      </c>
      <c r="J148" s="302">
        <v>311020631</v>
      </c>
      <c r="K148" s="302">
        <v>304186422</v>
      </c>
      <c r="L148" s="302">
        <v>821130205</v>
      </c>
      <c r="M148" s="302">
        <v>-1454959</v>
      </c>
      <c r="N148" s="302">
        <v>620512567</v>
      </c>
      <c r="O148" s="302">
        <v>337711019</v>
      </c>
      <c r="P148" s="302">
        <v>282801548</v>
      </c>
      <c r="Q148" s="303"/>
    </row>
    <row r="149" spans="1:17" s="304" customFormat="1" x14ac:dyDescent="0.25">
      <c r="A149" s="300">
        <v>142</v>
      </c>
      <c r="B149" s="300">
        <v>891300237</v>
      </c>
      <c r="C149" s="300" t="s">
        <v>950</v>
      </c>
      <c r="D149" s="300" t="s">
        <v>808</v>
      </c>
      <c r="E149" s="300" t="s">
        <v>951</v>
      </c>
      <c r="F149" s="301" t="s">
        <v>779</v>
      </c>
      <c r="G149" s="302">
        <v>677681594</v>
      </c>
      <c r="H149" s="302">
        <v>3884976</v>
      </c>
      <c r="I149" s="302">
        <v>1874005644</v>
      </c>
      <c r="J149" s="302">
        <v>464541814</v>
      </c>
      <c r="K149" s="302">
        <v>1409463830</v>
      </c>
      <c r="L149" s="302">
        <v>727297065</v>
      </c>
      <c r="M149" s="302">
        <v>78316326</v>
      </c>
      <c r="N149" s="302">
        <v>1795068853</v>
      </c>
      <c r="O149" s="302">
        <v>346389853</v>
      </c>
      <c r="P149" s="302">
        <v>1448679000</v>
      </c>
      <c r="Q149" s="303"/>
    </row>
    <row r="150" spans="1:17" s="304" customFormat="1" x14ac:dyDescent="0.25">
      <c r="A150" s="300">
        <v>143</v>
      </c>
      <c r="B150" s="300">
        <v>860031028</v>
      </c>
      <c r="C150" s="300" t="s">
        <v>952</v>
      </c>
      <c r="D150" s="300" t="s">
        <v>758</v>
      </c>
      <c r="E150" s="300" t="s">
        <v>953</v>
      </c>
      <c r="F150" s="301" t="s">
        <v>779</v>
      </c>
      <c r="G150" s="302">
        <v>673507378</v>
      </c>
      <c r="H150" s="302">
        <v>-51388176</v>
      </c>
      <c r="I150" s="302">
        <v>661523386</v>
      </c>
      <c r="J150" s="302">
        <v>508783173</v>
      </c>
      <c r="K150" s="302">
        <v>152740213</v>
      </c>
      <c r="L150" s="302">
        <v>669851079</v>
      </c>
      <c r="M150" s="302">
        <v>-55052890</v>
      </c>
      <c r="N150" s="302">
        <v>687992024</v>
      </c>
      <c r="O150" s="302">
        <v>537323903</v>
      </c>
      <c r="P150" s="302">
        <v>150668121</v>
      </c>
      <c r="Q150" s="303"/>
    </row>
    <row r="151" spans="1:17" s="304" customFormat="1" x14ac:dyDescent="0.25">
      <c r="A151" s="300">
        <v>144</v>
      </c>
      <c r="B151" s="300">
        <v>805006014</v>
      </c>
      <c r="C151" s="300" t="s">
        <v>954</v>
      </c>
      <c r="D151" s="300" t="s">
        <v>758</v>
      </c>
      <c r="E151" s="300" t="s">
        <v>955</v>
      </c>
      <c r="F151" s="301" t="s">
        <v>766</v>
      </c>
      <c r="G151" s="302">
        <v>673473150</v>
      </c>
      <c r="H151" s="302">
        <v>1741739</v>
      </c>
      <c r="I151" s="302">
        <v>637720457</v>
      </c>
      <c r="J151" s="302">
        <v>530698409</v>
      </c>
      <c r="K151" s="302">
        <v>107022048</v>
      </c>
      <c r="L151" s="302">
        <v>502004386</v>
      </c>
      <c r="M151" s="302">
        <v>-26969510</v>
      </c>
      <c r="N151" s="302">
        <v>361713232</v>
      </c>
      <c r="O151" s="302">
        <v>310777985</v>
      </c>
      <c r="P151" s="302">
        <v>50935247</v>
      </c>
      <c r="Q151" s="303"/>
    </row>
    <row r="152" spans="1:17" s="304" customFormat="1" x14ac:dyDescent="0.25">
      <c r="A152" s="300">
        <v>145</v>
      </c>
      <c r="B152" s="300">
        <v>890201881</v>
      </c>
      <c r="C152" s="300" t="s">
        <v>956</v>
      </c>
      <c r="D152" s="300" t="s">
        <v>758</v>
      </c>
      <c r="E152" s="300" t="s">
        <v>957</v>
      </c>
      <c r="F152" s="301" t="s">
        <v>958</v>
      </c>
      <c r="G152" s="302">
        <v>672803989</v>
      </c>
      <c r="H152" s="302">
        <v>13255028</v>
      </c>
      <c r="I152" s="302">
        <v>290385482</v>
      </c>
      <c r="J152" s="302">
        <v>105794264</v>
      </c>
      <c r="K152" s="302">
        <v>184591218</v>
      </c>
      <c r="L152" s="302">
        <v>578138145</v>
      </c>
      <c r="M152" s="302">
        <v>16734880</v>
      </c>
      <c r="N152" s="302">
        <v>253528580</v>
      </c>
      <c r="O152" s="302">
        <v>87698580</v>
      </c>
      <c r="P152" s="302">
        <v>165830000</v>
      </c>
      <c r="Q152" s="303"/>
    </row>
    <row r="153" spans="1:17" s="304" customFormat="1" x14ac:dyDescent="0.25">
      <c r="A153" s="300">
        <v>146</v>
      </c>
      <c r="B153" s="300">
        <v>800149695</v>
      </c>
      <c r="C153" s="300" t="s">
        <v>959</v>
      </c>
      <c r="D153" s="300" t="s">
        <v>758</v>
      </c>
      <c r="E153" s="300" t="s">
        <v>863</v>
      </c>
      <c r="F153" s="301" t="s">
        <v>764</v>
      </c>
      <c r="G153" s="302">
        <v>668162693</v>
      </c>
      <c r="H153" s="302">
        <v>11979207</v>
      </c>
      <c r="I153" s="302">
        <v>334543817</v>
      </c>
      <c r="J153" s="302">
        <v>208706537</v>
      </c>
      <c r="K153" s="302">
        <v>125837280</v>
      </c>
      <c r="L153" s="302">
        <v>570902323</v>
      </c>
      <c r="M153" s="302">
        <v>16285699</v>
      </c>
      <c r="N153" s="302">
        <v>263530475</v>
      </c>
      <c r="O153" s="302">
        <v>189937222</v>
      </c>
      <c r="P153" s="302">
        <v>73593253</v>
      </c>
      <c r="Q153" s="303"/>
    </row>
    <row r="154" spans="1:17" s="304" customFormat="1" x14ac:dyDescent="0.25">
      <c r="A154" s="300">
        <v>147</v>
      </c>
      <c r="B154" s="300">
        <v>860020439</v>
      </c>
      <c r="C154" s="300" t="s">
        <v>960</v>
      </c>
      <c r="D154" s="300" t="s">
        <v>768</v>
      </c>
      <c r="E154" s="300" t="s">
        <v>961</v>
      </c>
      <c r="F154" s="301" t="s">
        <v>779</v>
      </c>
      <c r="G154" s="302">
        <v>667455061</v>
      </c>
      <c r="H154" s="302">
        <v>-98304526</v>
      </c>
      <c r="I154" s="302">
        <v>813636972</v>
      </c>
      <c r="J154" s="302">
        <v>371844394</v>
      </c>
      <c r="K154" s="302">
        <v>441792578</v>
      </c>
      <c r="L154" s="302">
        <v>748672436</v>
      </c>
      <c r="M154" s="302">
        <v>-6740101</v>
      </c>
      <c r="N154" s="302">
        <v>851322497</v>
      </c>
      <c r="O154" s="302">
        <v>314453384</v>
      </c>
      <c r="P154" s="302">
        <v>536869113</v>
      </c>
      <c r="Q154" s="303"/>
    </row>
    <row r="155" spans="1:17" s="304" customFormat="1" x14ac:dyDescent="0.25">
      <c r="A155" s="300">
        <v>148</v>
      </c>
      <c r="B155" s="300">
        <v>900165320</v>
      </c>
      <c r="C155" s="300" t="s">
        <v>962</v>
      </c>
      <c r="D155" s="300" t="s">
        <v>763</v>
      </c>
      <c r="E155" s="300" t="s">
        <v>776</v>
      </c>
      <c r="F155" s="300" t="s">
        <v>764</v>
      </c>
      <c r="G155" s="302">
        <v>662269971</v>
      </c>
      <c r="H155" s="302">
        <v>1284962</v>
      </c>
      <c r="I155" s="302">
        <v>15363205</v>
      </c>
      <c r="J155" s="302">
        <v>12883381</v>
      </c>
      <c r="K155" s="302">
        <v>2479824</v>
      </c>
      <c r="L155" s="302">
        <v>915930151</v>
      </c>
      <c r="M155" s="302">
        <v>1537775</v>
      </c>
      <c r="N155" s="302">
        <v>16088536</v>
      </c>
      <c r="O155" s="302">
        <v>13300418</v>
      </c>
      <c r="P155" s="302">
        <v>2788118</v>
      </c>
      <c r="Q155" s="303"/>
    </row>
    <row r="156" spans="1:17" s="304" customFormat="1" x14ac:dyDescent="0.25">
      <c r="A156" s="300">
        <v>149</v>
      </c>
      <c r="B156" s="300">
        <v>890920304</v>
      </c>
      <c r="C156" s="300" t="s">
        <v>963</v>
      </c>
      <c r="D156" s="300" t="s">
        <v>758</v>
      </c>
      <c r="E156" s="300" t="s">
        <v>905</v>
      </c>
      <c r="F156" s="301" t="s">
        <v>779</v>
      </c>
      <c r="G156" s="302">
        <v>657764000</v>
      </c>
      <c r="H156" s="302">
        <v>25227512</v>
      </c>
      <c r="I156" s="302">
        <v>316645475</v>
      </c>
      <c r="J156" s="302">
        <v>152402543</v>
      </c>
      <c r="K156" s="302">
        <v>164242932</v>
      </c>
      <c r="L156" s="302">
        <v>611916162</v>
      </c>
      <c r="M156" s="302">
        <v>1979767</v>
      </c>
      <c r="N156" s="302">
        <v>245807535</v>
      </c>
      <c r="O156" s="302">
        <v>103885610</v>
      </c>
      <c r="P156" s="302">
        <v>141921925</v>
      </c>
      <c r="Q156" s="303"/>
    </row>
    <row r="157" spans="1:17" s="304" customFormat="1" x14ac:dyDescent="0.25">
      <c r="A157" s="300">
        <v>150</v>
      </c>
      <c r="B157" s="300">
        <v>860031606</v>
      </c>
      <c r="C157" s="300" t="s">
        <v>964</v>
      </c>
      <c r="D157" s="300" t="s">
        <v>758</v>
      </c>
      <c r="E157" s="300" t="s">
        <v>965</v>
      </c>
      <c r="F157" s="301" t="s">
        <v>779</v>
      </c>
      <c r="G157" s="302">
        <v>655357483</v>
      </c>
      <c r="H157" s="302">
        <v>23486877</v>
      </c>
      <c r="I157" s="302">
        <v>426650909</v>
      </c>
      <c r="J157" s="302">
        <v>358326097</v>
      </c>
      <c r="K157" s="302">
        <v>68324812</v>
      </c>
      <c r="L157" s="302">
        <v>677046121</v>
      </c>
      <c r="M157" s="302">
        <v>7577916</v>
      </c>
      <c r="N157" s="302">
        <v>318772817</v>
      </c>
      <c r="O157" s="302">
        <v>275624652</v>
      </c>
      <c r="P157" s="302">
        <v>43148165</v>
      </c>
      <c r="Q157" s="303"/>
    </row>
    <row r="158" spans="1:17" s="304" customFormat="1" x14ac:dyDescent="0.25">
      <c r="A158" s="300">
        <v>151</v>
      </c>
      <c r="B158" s="300">
        <v>860039561</v>
      </c>
      <c r="C158" s="300" t="s">
        <v>966</v>
      </c>
      <c r="D158" s="300" t="s">
        <v>758</v>
      </c>
      <c r="E158" s="300" t="s">
        <v>863</v>
      </c>
      <c r="F158" s="301" t="s">
        <v>764</v>
      </c>
      <c r="G158" s="302">
        <v>655278177</v>
      </c>
      <c r="H158" s="302">
        <v>59012907</v>
      </c>
      <c r="I158" s="302">
        <v>360627908</v>
      </c>
      <c r="J158" s="302">
        <v>150257436</v>
      </c>
      <c r="K158" s="302">
        <v>210370472</v>
      </c>
      <c r="L158" s="302">
        <v>669793421</v>
      </c>
      <c r="M158" s="302">
        <v>40719633</v>
      </c>
      <c r="N158" s="302">
        <v>432800994</v>
      </c>
      <c r="O158" s="302">
        <v>195621033</v>
      </c>
      <c r="P158" s="302">
        <v>237179961</v>
      </c>
      <c r="Q158" s="303"/>
    </row>
    <row r="159" spans="1:17" s="304" customFormat="1" x14ac:dyDescent="0.25">
      <c r="A159" s="300">
        <v>152</v>
      </c>
      <c r="B159" s="300">
        <v>860004922</v>
      </c>
      <c r="C159" s="300" t="s">
        <v>967</v>
      </c>
      <c r="D159" s="300" t="s">
        <v>758</v>
      </c>
      <c r="E159" s="300" t="s">
        <v>759</v>
      </c>
      <c r="F159" s="301" t="s">
        <v>779</v>
      </c>
      <c r="G159" s="302">
        <v>654411293</v>
      </c>
      <c r="H159" s="302">
        <v>16539303</v>
      </c>
      <c r="I159" s="302">
        <v>284720308</v>
      </c>
      <c r="J159" s="302">
        <v>198771630</v>
      </c>
      <c r="K159" s="302">
        <v>85948678</v>
      </c>
      <c r="L159" s="302">
        <v>630702210</v>
      </c>
      <c r="M159" s="302">
        <v>18621591</v>
      </c>
      <c r="N159" s="302">
        <v>273716207</v>
      </c>
      <c r="O159" s="302">
        <v>181462901</v>
      </c>
      <c r="P159" s="302">
        <v>92253310</v>
      </c>
      <c r="Q159" s="303"/>
    </row>
    <row r="160" spans="1:17" s="304" customFormat="1" x14ac:dyDescent="0.25">
      <c r="A160" s="300">
        <v>153</v>
      </c>
      <c r="B160" s="300">
        <v>860003216</v>
      </c>
      <c r="C160" s="300" t="s">
        <v>968</v>
      </c>
      <c r="D160" s="300" t="s">
        <v>758</v>
      </c>
      <c r="E160" s="300" t="s">
        <v>863</v>
      </c>
      <c r="F160" s="301" t="s">
        <v>764</v>
      </c>
      <c r="G160" s="302">
        <v>647279701</v>
      </c>
      <c r="H160" s="302">
        <v>-19623189</v>
      </c>
      <c r="I160" s="302">
        <v>415612231</v>
      </c>
      <c r="J160" s="302">
        <v>204803356</v>
      </c>
      <c r="K160" s="302">
        <v>210808875</v>
      </c>
      <c r="L160" s="302">
        <v>642365520</v>
      </c>
      <c r="M160" s="302">
        <v>24959897</v>
      </c>
      <c r="N160" s="302">
        <v>455744532</v>
      </c>
      <c r="O160" s="302">
        <v>228731808</v>
      </c>
      <c r="P160" s="302">
        <v>227012724</v>
      </c>
      <c r="Q160" s="303"/>
    </row>
    <row r="161" spans="1:17" s="304" customFormat="1" x14ac:dyDescent="0.25">
      <c r="A161" s="300">
        <v>154</v>
      </c>
      <c r="B161" s="300">
        <v>890300431</v>
      </c>
      <c r="C161" s="300" t="s">
        <v>969</v>
      </c>
      <c r="D161" s="300" t="s">
        <v>808</v>
      </c>
      <c r="E161" s="300" t="s">
        <v>970</v>
      </c>
      <c r="F161" s="301" t="s">
        <v>779</v>
      </c>
      <c r="G161" s="302">
        <v>640068130</v>
      </c>
      <c r="H161" s="302">
        <v>-19830790</v>
      </c>
      <c r="I161" s="302">
        <v>464841563</v>
      </c>
      <c r="J161" s="302">
        <v>294757076</v>
      </c>
      <c r="K161" s="302">
        <v>170084487</v>
      </c>
      <c r="L161" s="302">
        <v>631772794</v>
      </c>
      <c r="M161" s="302">
        <v>5741712</v>
      </c>
      <c r="N161" s="302">
        <v>554549794</v>
      </c>
      <c r="O161" s="302">
        <v>291736796</v>
      </c>
      <c r="P161" s="302">
        <v>262812998</v>
      </c>
      <c r="Q161" s="303"/>
    </row>
    <row r="162" spans="1:17" s="304" customFormat="1" x14ac:dyDescent="0.25">
      <c r="A162" s="300">
        <v>155</v>
      </c>
      <c r="B162" s="300">
        <v>900035084</v>
      </c>
      <c r="C162" s="300" t="s">
        <v>971</v>
      </c>
      <c r="D162" s="300" t="s">
        <v>758</v>
      </c>
      <c r="E162" s="300" t="s">
        <v>771</v>
      </c>
      <c r="F162" s="301" t="s">
        <v>760</v>
      </c>
      <c r="G162" s="302">
        <v>633131523</v>
      </c>
      <c r="H162" s="302">
        <v>152312271</v>
      </c>
      <c r="I162" s="302">
        <v>945691805</v>
      </c>
      <c r="J162" s="302">
        <v>340424978</v>
      </c>
      <c r="K162" s="302">
        <v>605266827</v>
      </c>
      <c r="L162" s="302">
        <v>604677709</v>
      </c>
      <c r="M162" s="302">
        <v>92358127</v>
      </c>
      <c r="N162" s="302">
        <v>547078484</v>
      </c>
      <c r="O162" s="302">
        <v>161172101</v>
      </c>
      <c r="P162" s="302">
        <v>385906383</v>
      </c>
      <c r="Q162" s="303"/>
    </row>
    <row r="163" spans="1:17" s="304" customFormat="1" x14ac:dyDescent="0.25">
      <c r="A163" s="300">
        <v>156</v>
      </c>
      <c r="B163" s="300">
        <v>900087414</v>
      </c>
      <c r="C163" s="300" t="s">
        <v>972</v>
      </c>
      <c r="D163" s="300" t="s">
        <v>808</v>
      </c>
      <c r="E163" s="300" t="s">
        <v>759</v>
      </c>
      <c r="F163" s="301" t="s">
        <v>779</v>
      </c>
      <c r="G163" s="302">
        <v>630763200</v>
      </c>
      <c r="H163" s="302">
        <v>6506602</v>
      </c>
      <c r="I163" s="302">
        <v>1154880181</v>
      </c>
      <c r="J163" s="302">
        <v>492615763</v>
      </c>
      <c r="K163" s="302">
        <v>662264418</v>
      </c>
      <c r="L163" s="302">
        <v>707020611</v>
      </c>
      <c r="M163" s="302">
        <v>32439278</v>
      </c>
      <c r="N163" s="302">
        <v>1007991826</v>
      </c>
      <c r="O163" s="302">
        <v>332314670</v>
      </c>
      <c r="P163" s="302">
        <v>675677161</v>
      </c>
      <c r="Q163" s="303"/>
    </row>
    <row r="164" spans="1:17" s="304" customFormat="1" x14ac:dyDescent="0.25">
      <c r="A164" s="300">
        <v>157</v>
      </c>
      <c r="B164" s="300">
        <v>891100445</v>
      </c>
      <c r="C164" s="300" t="s">
        <v>973</v>
      </c>
      <c r="D164" s="300" t="s">
        <v>758</v>
      </c>
      <c r="E164" s="300" t="s">
        <v>965</v>
      </c>
      <c r="F164" s="301" t="s">
        <v>779</v>
      </c>
      <c r="G164" s="302">
        <v>630258855</v>
      </c>
      <c r="H164" s="302">
        <v>956958</v>
      </c>
      <c r="I164" s="302">
        <v>494059701</v>
      </c>
      <c r="J164" s="302">
        <v>152026216</v>
      </c>
      <c r="K164" s="302">
        <v>342033485</v>
      </c>
      <c r="L164" s="302">
        <v>600601322</v>
      </c>
      <c r="M164" s="302">
        <v>10115325</v>
      </c>
      <c r="N164" s="302">
        <v>503662108</v>
      </c>
      <c r="O164" s="302">
        <v>201449453</v>
      </c>
      <c r="P164" s="302">
        <v>302212655</v>
      </c>
      <c r="Q164" s="303"/>
    </row>
    <row r="165" spans="1:17" s="304" customFormat="1" x14ac:dyDescent="0.25">
      <c r="A165" s="300">
        <v>158</v>
      </c>
      <c r="B165" s="300">
        <v>860006333</v>
      </c>
      <c r="C165" s="300" t="s">
        <v>974</v>
      </c>
      <c r="D165" s="300" t="s">
        <v>768</v>
      </c>
      <c r="E165" s="300" t="s">
        <v>961</v>
      </c>
      <c r="F165" s="301" t="s">
        <v>779</v>
      </c>
      <c r="G165" s="302">
        <v>628852557</v>
      </c>
      <c r="H165" s="302">
        <v>20652556</v>
      </c>
      <c r="I165" s="302">
        <v>712061560</v>
      </c>
      <c r="J165" s="302">
        <v>325583587</v>
      </c>
      <c r="K165" s="302">
        <v>386477973</v>
      </c>
      <c r="L165" s="302">
        <v>637052952</v>
      </c>
      <c r="M165" s="302">
        <v>8704605</v>
      </c>
      <c r="N165" s="302">
        <v>631842319</v>
      </c>
      <c r="O165" s="302">
        <v>288803252</v>
      </c>
      <c r="P165" s="302">
        <v>343039067</v>
      </c>
      <c r="Q165" s="303"/>
    </row>
    <row r="166" spans="1:17" s="304" customFormat="1" x14ac:dyDescent="0.25">
      <c r="A166" s="300">
        <v>159</v>
      </c>
      <c r="B166" s="300">
        <v>890301886</v>
      </c>
      <c r="C166" s="300" t="s">
        <v>975</v>
      </c>
      <c r="D166" s="300" t="s">
        <v>808</v>
      </c>
      <c r="E166" s="300" t="s">
        <v>889</v>
      </c>
      <c r="F166" s="301" t="s">
        <v>779</v>
      </c>
      <c r="G166" s="302">
        <v>622401075</v>
      </c>
      <c r="H166" s="302">
        <v>32785692</v>
      </c>
      <c r="I166" s="302">
        <v>661400712</v>
      </c>
      <c r="J166" s="302">
        <v>311009607</v>
      </c>
      <c r="K166" s="302">
        <v>350391105</v>
      </c>
      <c r="L166" s="302">
        <v>666469236</v>
      </c>
      <c r="M166" s="302">
        <v>30146324</v>
      </c>
      <c r="N166" s="302">
        <v>609137070</v>
      </c>
      <c r="O166" s="302">
        <v>258481204</v>
      </c>
      <c r="P166" s="302">
        <v>350655866</v>
      </c>
      <c r="Q166" s="303"/>
    </row>
    <row r="167" spans="1:17" s="304" customFormat="1" x14ac:dyDescent="0.25">
      <c r="A167" s="300">
        <v>160</v>
      </c>
      <c r="B167" s="305">
        <v>805001157</v>
      </c>
      <c r="C167" s="306" t="s">
        <v>976</v>
      </c>
      <c r="D167" s="300" t="s">
        <v>808</v>
      </c>
      <c r="E167" s="300" t="s">
        <v>759</v>
      </c>
      <c r="F167" s="300" t="s">
        <v>766</v>
      </c>
      <c r="G167" s="302">
        <v>621142639</v>
      </c>
      <c r="H167" s="302">
        <v>-15852091</v>
      </c>
      <c r="I167" s="302">
        <v>115417336</v>
      </c>
      <c r="J167" s="302">
        <v>181086979</v>
      </c>
      <c r="K167" s="302">
        <v>-65669643</v>
      </c>
      <c r="L167" s="302">
        <v>560676467</v>
      </c>
      <c r="M167" s="302">
        <v>-37479078</v>
      </c>
      <c r="N167" s="302">
        <v>117612621</v>
      </c>
      <c r="O167" s="302">
        <v>167429728</v>
      </c>
      <c r="P167" s="302">
        <v>-49817107</v>
      </c>
      <c r="Q167" s="303"/>
    </row>
    <row r="168" spans="1:17" s="304" customFormat="1" x14ac:dyDescent="0.25">
      <c r="A168" s="300">
        <v>161</v>
      </c>
      <c r="B168" s="300">
        <v>800206842</v>
      </c>
      <c r="C168" s="300" t="s">
        <v>977</v>
      </c>
      <c r="D168" s="300" t="s">
        <v>758</v>
      </c>
      <c r="E168" s="300" t="s">
        <v>846</v>
      </c>
      <c r="F168" s="300" t="s">
        <v>760</v>
      </c>
      <c r="G168" s="302">
        <v>620623751</v>
      </c>
      <c r="H168" s="302">
        <v>29762693</v>
      </c>
      <c r="I168" s="302">
        <v>447926756</v>
      </c>
      <c r="J168" s="302">
        <v>96971505</v>
      </c>
      <c r="K168" s="302">
        <v>350955251</v>
      </c>
      <c r="L168" s="302">
        <v>575741355</v>
      </c>
      <c r="M168" s="302">
        <v>17385998</v>
      </c>
      <c r="N168" s="302">
        <v>467465151</v>
      </c>
      <c r="O168" s="302">
        <v>118446233</v>
      </c>
      <c r="P168" s="302">
        <v>349018918</v>
      </c>
      <c r="Q168" s="303"/>
    </row>
    <row r="169" spans="1:17" s="304" customFormat="1" x14ac:dyDescent="0.25">
      <c r="A169" s="300">
        <v>162</v>
      </c>
      <c r="B169" s="300">
        <v>830029703</v>
      </c>
      <c r="C169" s="300" t="s">
        <v>978</v>
      </c>
      <c r="D169" s="300" t="s">
        <v>758</v>
      </c>
      <c r="E169" s="300" t="s">
        <v>759</v>
      </c>
      <c r="F169" s="301" t="s">
        <v>766</v>
      </c>
      <c r="G169" s="302">
        <v>619919090</v>
      </c>
      <c r="H169" s="302">
        <v>30094470</v>
      </c>
      <c r="I169" s="302">
        <v>901417060</v>
      </c>
      <c r="J169" s="302">
        <v>340940480</v>
      </c>
      <c r="K169" s="302">
        <v>560476580</v>
      </c>
      <c r="L169" s="302">
        <v>604115462</v>
      </c>
      <c r="M169" s="302">
        <v>49056068</v>
      </c>
      <c r="N169" s="302">
        <v>914644100</v>
      </c>
      <c r="O169" s="302">
        <v>257110233</v>
      </c>
      <c r="P169" s="302">
        <v>657533864</v>
      </c>
      <c r="Q169" s="303"/>
    </row>
    <row r="170" spans="1:17" s="304" customFormat="1" x14ac:dyDescent="0.25">
      <c r="A170" s="312">
        <v>163</v>
      </c>
      <c r="B170" s="312">
        <v>890901110</v>
      </c>
      <c r="C170" s="312" t="s">
        <v>979</v>
      </c>
      <c r="D170" s="312" t="s">
        <v>763</v>
      </c>
      <c r="E170" s="312" t="s">
        <v>759</v>
      </c>
      <c r="F170" s="313" t="s">
        <v>877</v>
      </c>
      <c r="G170" s="314">
        <v>616595360</v>
      </c>
      <c r="H170" s="314">
        <v>60610080</v>
      </c>
      <c r="I170" s="314">
        <v>1546108190</v>
      </c>
      <c r="J170" s="314">
        <v>540121400</v>
      </c>
      <c r="K170" s="314">
        <v>1005986790</v>
      </c>
      <c r="L170" s="314">
        <v>597378548</v>
      </c>
      <c r="M170" s="314">
        <v>50362166</v>
      </c>
      <c r="N170" s="314">
        <v>1341195425</v>
      </c>
      <c r="O170" s="314">
        <v>427206853</v>
      </c>
      <c r="P170" s="314">
        <v>913988574</v>
      </c>
      <c r="Q170" s="303"/>
    </row>
    <row r="171" spans="1:17" s="304" customFormat="1" x14ac:dyDescent="0.25">
      <c r="A171" s="300">
        <v>164</v>
      </c>
      <c r="B171" s="300">
        <v>800186960</v>
      </c>
      <c r="C171" s="300" t="s">
        <v>980</v>
      </c>
      <c r="D171" s="300" t="s">
        <v>758</v>
      </c>
      <c r="E171" s="300" t="s">
        <v>776</v>
      </c>
      <c r="F171" s="301" t="s">
        <v>764</v>
      </c>
      <c r="G171" s="302">
        <v>611195451</v>
      </c>
      <c r="H171" s="302">
        <v>2489548</v>
      </c>
      <c r="I171" s="302">
        <v>196373066</v>
      </c>
      <c r="J171" s="302">
        <v>161084761</v>
      </c>
      <c r="K171" s="302">
        <v>35288305</v>
      </c>
      <c r="L171" s="302">
        <v>608757195</v>
      </c>
      <c r="M171" s="302">
        <v>1704492</v>
      </c>
      <c r="N171" s="302">
        <v>178820369</v>
      </c>
      <c r="O171" s="302">
        <v>145598808</v>
      </c>
      <c r="P171" s="302">
        <v>33221561</v>
      </c>
      <c r="Q171" s="303"/>
    </row>
    <row r="172" spans="1:17" s="304" customFormat="1" x14ac:dyDescent="0.25">
      <c r="A172" s="300">
        <v>165</v>
      </c>
      <c r="B172" s="300">
        <v>890916911</v>
      </c>
      <c r="C172" s="300" t="s">
        <v>981</v>
      </c>
      <c r="D172" s="300" t="s">
        <v>763</v>
      </c>
      <c r="E172" s="300" t="s">
        <v>889</v>
      </c>
      <c r="F172" s="301" t="s">
        <v>779</v>
      </c>
      <c r="G172" s="302">
        <v>610522148</v>
      </c>
      <c r="H172" s="302">
        <v>34415968</v>
      </c>
      <c r="I172" s="302">
        <v>427024616</v>
      </c>
      <c r="J172" s="302">
        <v>109101127</v>
      </c>
      <c r="K172" s="302">
        <v>317923489</v>
      </c>
      <c r="L172" s="302">
        <v>545270793</v>
      </c>
      <c r="M172" s="302">
        <v>45017163</v>
      </c>
      <c r="N172" s="302">
        <v>428410803</v>
      </c>
      <c r="O172" s="302">
        <v>133252606</v>
      </c>
      <c r="P172" s="302">
        <v>295158197</v>
      </c>
      <c r="Q172" s="303"/>
    </row>
    <row r="173" spans="1:17" s="304" customFormat="1" x14ac:dyDescent="0.25">
      <c r="A173" s="300">
        <v>166</v>
      </c>
      <c r="B173" s="300">
        <v>890900281</v>
      </c>
      <c r="C173" s="300" t="s">
        <v>982</v>
      </c>
      <c r="D173" s="300" t="s">
        <v>763</v>
      </c>
      <c r="E173" s="300" t="s">
        <v>983</v>
      </c>
      <c r="F173" s="301" t="s">
        <v>779</v>
      </c>
      <c r="G173" s="302">
        <v>609537351</v>
      </c>
      <c r="H173" s="302">
        <v>16147632</v>
      </c>
      <c r="I173" s="302">
        <v>710039156</v>
      </c>
      <c r="J173" s="302">
        <v>465622835</v>
      </c>
      <c r="K173" s="302">
        <v>244416321</v>
      </c>
      <c r="L173" s="302">
        <v>610202600</v>
      </c>
      <c r="M173" s="302">
        <v>18036533</v>
      </c>
      <c r="N173" s="302">
        <v>624418169</v>
      </c>
      <c r="O173" s="302">
        <v>427923314</v>
      </c>
      <c r="P173" s="302">
        <v>196494855</v>
      </c>
      <c r="Q173" s="303"/>
    </row>
    <row r="174" spans="1:17" s="304" customFormat="1" x14ac:dyDescent="0.25">
      <c r="A174" s="300">
        <v>167</v>
      </c>
      <c r="B174" s="300">
        <v>890903532</v>
      </c>
      <c r="C174" s="300" t="s">
        <v>984</v>
      </c>
      <c r="D174" s="300" t="s">
        <v>763</v>
      </c>
      <c r="E174" s="300" t="s">
        <v>985</v>
      </c>
      <c r="F174" s="301" t="s">
        <v>779</v>
      </c>
      <c r="G174" s="302">
        <v>607342358</v>
      </c>
      <c r="H174" s="302">
        <v>62124140</v>
      </c>
      <c r="I174" s="302">
        <v>878398192</v>
      </c>
      <c r="J174" s="302">
        <v>326609568</v>
      </c>
      <c r="K174" s="302">
        <v>551788624</v>
      </c>
      <c r="L174" s="302">
        <v>661015331</v>
      </c>
      <c r="M174" s="302">
        <v>28288492</v>
      </c>
      <c r="N174" s="302">
        <v>693514871</v>
      </c>
      <c r="O174" s="302">
        <v>177700630</v>
      </c>
      <c r="P174" s="302">
        <v>515814241</v>
      </c>
      <c r="Q174" s="303"/>
    </row>
    <row r="175" spans="1:17" s="304" customFormat="1" x14ac:dyDescent="0.25">
      <c r="A175" s="300">
        <v>168</v>
      </c>
      <c r="B175" s="300">
        <v>860020058</v>
      </c>
      <c r="C175" s="300" t="s">
        <v>986</v>
      </c>
      <c r="D175" s="300" t="s">
        <v>758</v>
      </c>
      <c r="E175" s="300" t="s">
        <v>880</v>
      </c>
      <c r="F175" s="301" t="s">
        <v>764</v>
      </c>
      <c r="G175" s="302">
        <v>603528055</v>
      </c>
      <c r="H175" s="302">
        <v>21073903</v>
      </c>
      <c r="I175" s="302">
        <v>290821920</v>
      </c>
      <c r="J175" s="302">
        <v>93620062</v>
      </c>
      <c r="K175" s="302">
        <v>197201858</v>
      </c>
      <c r="L175" s="302">
        <v>639259381</v>
      </c>
      <c r="M175" s="302">
        <v>49910423</v>
      </c>
      <c r="N175" s="302">
        <v>282816363</v>
      </c>
      <c r="O175" s="302">
        <v>75631350</v>
      </c>
      <c r="P175" s="302">
        <v>207185013</v>
      </c>
      <c r="Q175" s="303"/>
    </row>
    <row r="176" spans="1:17" s="304" customFormat="1" x14ac:dyDescent="0.25">
      <c r="A176" s="300">
        <v>169</v>
      </c>
      <c r="B176" s="300">
        <v>860029995</v>
      </c>
      <c r="C176" s="300" t="s">
        <v>987</v>
      </c>
      <c r="D176" s="300" t="s">
        <v>758</v>
      </c>
      <c r="E176" s="300" t="s">
        <v>759</v>
      </c>
      <c r="F176" s="301" t="s">
        <v>779</v>
      </c>
      <c r="G176" s="302">
        <v>595562900</v>
      </c>
      <c r="H176" s="302">
        <v>-232699390</v>
      </c>
      <c r="I176" s="302">
        <v>2220038090</v>
      </c>
      <c r="J176" s="302">
        <v>873491640</v>
      </c>
      <c r="K176" s="302">
        <v>1346546450</v>
      </c>
      <c r="L176" s="302">
        <v>597731972</v>
      </c>
      <c r="M176" s="302">
        <v>-108002913</v>
      </c>
      <c r="N176" s="302">
        <v>2262517949</v>
      </c>
      <c r="O176" s="302">
        <v>701332166</v>
      </c>
      <c r="P176" s="302">
        <v>1561185781</v>
      </c>
      <c r="Q176" s="303"/>
    </row>
    <row r="177" spans="1:17" s="304" customFormat="1" x14ac:dyDescent="0.25">
      <c r="A177" s="300">
        <v>170</v>
      </c>
      <c r="B177" s="300">
        <v>900479267</v>
      </c>
      <c r="C177" s="300" t="s">
        <v>988</v>
      </c>
      <c r="D177" s="300" t="s">
        <v>808</v>
      </c>
      <c r="E177" s="300" t="s">
        <v>989</v>
      </c>
      <c r="F177" s="301" t="s">
        <v>779</v>
      </c>
      <c r="G177" s="302">
        <v>592906571</v>
      </c>
      <c r="H177" s="302">
        <v>2777906</v>
      </c>
      <c r="I177" s="302">
        <v>16626484</v>
      </c>
      <c r="J177" s="302">
        <v>11536321</v>
      </c>
      <c r="K177" s="302">
        <v>5090163</v>
      </c>
      <c r="L177" s="302">
        <v>395489850</v>
      </c>
      <c r="M177" s="302">
        <v>2014696</v>
      </c>
      <c r="N177" s="302">
        <v>13554840</v>
      </c>
      <c r="O177" s="302">
        <v>11242584</v>
      </c>
      <c r="P177" s="302">
        <v>2312256</v>
      </c>
      <c r="Q177" s="303"/>
    </row>
    <row r="178" spans="1:17" s="304" customFormat="1" x14ac:dyDescent="0.25">
      <c r="A178" s="300">
        <v>171</v>
      </c>
      <c r="B178" s="300">
        <v>890800718</v>
      </c>
      <c r="C178" s="300" t="s">
        <v>990</v>
      </c>
      <c r="D178" s="300" t="s">
        <v>763</v>
      </c>
      <c r="E178" s="300" t="s">
        <v>776</v>
      </c>
      <c r="F178" s="301" t="s">
        <v>764</v>
      </c>
      <c r="G178" s="302">
        <v>592558622</v>
      </c>
      <c r="H178" s="302">
        <v>15392580</v>
      </c>
      <c r="I178" s="302">
        <v>415604557</v>
      </c>
      <c r="J178" s="302">
        <v>172046800</v>
      </c>
      <c r="K178" s="302">
        <v>243557757</v>
      </c>
      <c r="L178" s="302">
        <v>519211238</v>
      </c>
      <c r="M178" s="302">
        <v>7639393</v>
      </c>
      <c r="N178" s="302">
        <v>427452244</v>
      </c>
      <c r="O178" s="302">
        <v>168000778</v>
      </c>
      <c r="P178" s="302">
        <v>259451466</v>
      </c>
      <c r="Q178" s="303"/>
    </row>
    <row r="179" spans="1:17" s="304" customFormat="1" x14ac:dyDescent="0.25">
      <c r="A179" s="300">
        <v>172</v>
      </c>
      <c r="B179" s="300">
        <v>890209174</v>
      </c>
      <c r="C179" s="300" t="s">
        <v>991</v>
      </c>
      <c r="D179" s="300" t="s">
        <v>758</v>
      </c>
      <c r="E179" s="300" t="s">
        <v>846</v>
      </c>
      <c r="F179" s="301" t="s">
        <v>760</v>
      </c>
      <c r="G179" s="302">
        <v>588970795</v>
      </c>
      <c r="H179" s="302">
        <v>21032461</v>
      </c>
      <c r="I179" s="302">
        <v>374770439</v>
      </c>
      <c r="J179" s="302">
        <v>184242632</v>
      </c>
      <c r="K179" s="302">
        <v>190527807</v>
      </c>
      <c r="L179" s="302">
        <v>551536702</v>
      </c>
      <c r="M179" s="302">
        <v>37737284</v>
      </c>
      <c r="N179" s="302">
        <v>356691190</v>
      </c>
      <c r="O179" s="302">
        <v>176120346</v>
      </c>
      <c r="P179" s="302">
        <v>180570844</v>
      </c>
      <c r="Q179" s="303"/>
    </row>
    <row r="180" spans="1:17" s="304" customFormat="1" x14ac:dyDescent="0.25">
      <c r="A180" s="300">
        <v>173</v>
      </c>
      <c r="B180" s="305">
        <v>806008394</v>
      </c>
      <c r="C180" s="306" t="s">
        <v>992</v>
      </c>
      <c r="D180" s="300" t="s">
        <v>768</v>
      </c>
      <c r="E180" s="300" t="s">
        <v>759</v>
      </c>
      <c r="F180" s="300" t="s">
        <v>766</v>
      </c>
      <c r="G180" s="302">
        <v>586974717</v>
      </c>
      <c r="H180" s="302">
        <v>11832144</v>
      </c>
      <c r="I180" s="302">
        <v>141672956</v>
      </c>
      <c r="J180" s="302">
        <v>102629044</v>
      </c>
      <c r="K180" s="302">
        <v>39043912</v>
      </c>
      <c r="L180" s="302">
        <v>428717172</v>
      </c>
      <c r="M180" s="302">
        <v>5919714</v>
      </c>
      <c r="N180" s="302">
        <v>107092235</v>
      </c>
      <c r="O180" s="302">
        <v>88645057</v>
      </c>
      <c r="P180" s="302">
        <v>18447178</v>
      </c>
      <c r="Q180" s="303"/>
    </row>
    <row r="181" spans="1:17" s="304" customFormat="1" x14ac:dyDescent="0.25">
      <c r="A181" s="300">
        <v>174</v>
      </c>
      <c r="B181" s="300">
        <v>900464054</v>
      </c>
      <c r="C181" s="300" t="s">
        <v>993</v>
      </c>
      <c r="D181" s="300" t="s">
        <v>763</v>
      </c>
      <c r="E181" s="300" t="s">
        <v>832</v>
      </c>
      <c r="F181" s="301" t="s">
        <v>766</v>
      </c>
      <c r="G181" s="302">
        <v>585312334</v>
      </c>
      <c r="H181" s="302">
        <v>417387925</v>
      </c>
      <c r="I181" s="302">
        <v>8958375284</v>
      </c>
      <c r="J181" s="302">
        <v>1157699784</v>
      </c>
      <c r="K181" s="302">
        <v>7800675500</v>
      </c>
      <c r="L181" s="302">
        <v>225844688</v>
      </c>
      <c r="M181" s="302">
        <v>215036553</v>
      </c>
      <c r="N181" s="302">
        <v>3543168841</v>
      </c>
      <c r="O181" s="302">
        <v>51327089</v>
      </c>
      <c r="P181" s="302">
        <v>3491841752</v>
      </c>
      <c r="Q181" s="303"/>
    </row>
    <row r="182" spans="1:17" s="304" customFormat="1" x14ac:dyDescent="0.25">
      <c r="A182" s="300">
        <v>175</v>
      </c>
      <c r="B182" s="300">
        <v>890300292</v>
      </c>
      <c r="C182" s="300" t="s">
        <v>994</v>
      </c>
      <c r="D182" s="300" t="s">
        <v>808</v>
      </c>
      <c r="E182" s="300" t="s">
        <v>995</v>
      </c>
      <c r="F182" s="301" t="s">
        <v>779</v>
      </c>
      <c r="G182" s="302">
        <v>584345955</v>
      </c>
      <c r="H182" s="302">
        <v>63462708</v>
      </c>
      <c r="I182" s="302">
        <v>692511744</v>
      </c>
      <c r="J182" s="302">
        <v>139648457</v>
      </c>
      <c r="K182" s="302">
        <v>552863287</v>
      </c>
      <c r="L182" s="302">
        <v>574013020</v>
      </c>
      <c r="M182" s="302">
        <v>72572615</v>
      </c>
      <c r="N182" s="302">
        <v>717378899</v>
      </c>
      <c r="O182" s="302">
        <v>119248831</v>
      </c>
      <c r="P182" s="302">
        <v>598130068</v>
      </c>
      <c r="Q182" s="303"/>
    </row>
    <row r="183" spans="1:17" s="304" customFormat="1" x14ac:dyDescent="0.25">
      <c r="A183" s="300">
        <v>176</v>
      </c>
      <c r="B183" s="300">
        <v>830044266</v>
      </c>
      <c r="C183" s="300" t="s">
        <v>996</v>
      </c>
      <c r="D183" s="300" t="s">
        <v>758</v>
      </c>
      <c r="E183" s="300" t="s">
        <v>880</v>
      </c>
      <c r="F183" s="301" t="s">
        <v>764</v>
      </c>
      <c r="G183" s="302">
        <v>584147536</v>
      </c>
      <c r="H183" s="302">
        <v>20399858</v>
      </c>
      <c r="I183" s="302">
        <v>530824042</v>
      </c>
      <c r="J183" s="302">
        <v>390142068</v>
      </c>
      <c r="K183" s="302">
        <v>140681974</v>
      </c>
      <c r="L183" s="302">
        <v>517866901</v>
      </c>
      <c r="M183" s="302">
        <v>23153583</v>
      </c>
      <c r="N183" s="302">
        <v>324801917</v>
      </c>
      <c r="O183" s="302">
        <v>234934899</v>
      </c>
      <c r="P183" s="302">
        <v>89867018</v>
      </c>
      <c r="Q183" s="303"/>
    </row>
    <row r="184" spans="1:17" s="304" customFormat="1" x14ac:dyDescent="0.25">
      <c r="A184" s="300">
        <v>177</v>
      </c>
      <c r="B184" s="300">
        <v>800103090</v>
      </c>
      <c r="C184" s="300" t="s">
        <v>997</v>
      </c>
      <c r="D184" s="300" t="s">
        <v>768</v>
      </c>
      <c r="E184" s="300" t="s">
        <v>773</v>
      </c>
      <c r="F184" s="301" t="s">
        <v>760</v>
      </c>
      <c r="G184" s="302">
        <v>580452245</v>
      </c>
      <c r="H184" s="302">
        <v>145308013</v>
      </c>
      <c r="I184" s="302">
        <v>595296034</v>
      </c>
      <c r="J184" s="302">
        <v>253913737</v>
      </c>
      <c r="K184" s="302">
        <v>341382297</v>
      </c>
      <c r="L184" s="302">
        <v>251455470</v>
      </c>
      <c r="M184" s="302">
        <v>33653089</v>
      </c>
      <c r="N184" s="302">
        <v>513577767</v>
      </c>
      <c r="O184" s="302">
        <v>316376555</v>
      </c>
      <c r="P184" s="302">
        <v>197201212</v>
      </c>
      <c r="Q184" s="303"/>
    </row>
    <row r="185" spans="1:17" s="304" customFormat="1" x14ac:dyDescent="0.25">
      <c r="A185" s="300">
        <v>178</v>
      </c>
      <c r="B185" s="300">
        <v>900230012</v>
      </c>
      <c r="C185" s="300" t="s">
        <v>998</v>
      </c>
      <c r="D185" s="300" t="s">
        <v>758</v>
      </c>
      <c r="E185" s="300" t="s">
        <v>880</v>
      </c>
      <c r="F185" s="301" t="s">
        <v>764</v>
      </c>
      <c r="G185" s="302">
        <v>576185660</v>
      </c>
      <c r="H185" s="302">
        <v>6764391</v>
      </c>
      <c r="I185" s="302">
        <v>124197101</v>
      </c>
      <c r="J185" s="302">
        <v>60095962</v>
      </c>
      <c r="K185" s="302">
        <v>64101139</v>
      </c>
      <c r="L185" s="302">
        <v>653530095</v>
      </c>
      <c r="M185" s="302">
        <v>27825893</v>
      </c>
      <c r="N185" s="302">
        <v>173197669</v>
      </c>
      <c r="O185" s="302">
        <v>87958457</v>
      </c>
      <c r="P185" s="302">
        <v>85239212</v>
      </c>
      <c r="Q185" s="303"/>
    </row>
    <row r="186" spans="1:17" s="304" customFormat="1" x14ac:dyDescent="0.25">
      <c r="A186" s="300">
        <v>179</v>
      </c>
      <c r="B186" s="300">
        <v>800130426</v>
      </c>
      <c r="C186" s="300" t="s">
        <v>999</v>
      </c>
      <c r="D186" s="300" t="s">
        <v>758</v>
      </c>
      <c r="E186" s="300" t="s">
        <v>949</v>
      </c>
      <c r="F186" s="301" t="s">
        <v>764</v>
      </c>
      <c r="G186" s="302">
        <v>570382306</v>
      </c>
      <c r="H186" s="302">
        <v>13672145</v>
      </c>
      <c r="I186" s="302">
        <v>388146477</v>
      </c>
      <c r="J186" s="302">
        <v>242787381</v>
      </c>
      <c r="K186" s="302">
        <v>145359096</v>
      </c>
      <c r="L186" s="302">
        <v>513629895</v>
      </c>
      <c r="M186" s="302">
        <v>10795805</v>
      </c>
      <c r="N186" s="302">
        <v>348192522</v>
      </c>
      <c r="O186" s="302">
        <v>221612615</v>
      </c>
      <c r="P186" s="302">
        <v>126579907</v>
      </c>
      <c r="Q186" s="303"/>
    </row>
    <row r="187" spans="1:17" s="304" customFormat="1" x14ac:dyDescent="0.25">
      <c r="A187" s="300">
        <v>180</v>
      </c>
      <c r="B187" s="300">
        <v>811036030</v>
      </c>
      <c r="C187" s="300" t="s">
        <v>1000</v>
      </c>
      <c r="D187" s="300" t="s">
        <v>763</v>
      </c>
      <c r="E187" s="300" t="s">
        <v>1001</v>
      </c>
      <c r="F187" s="301" t="s">
        <v>779</v>
      </c>
      <c r="G187" s="302">
        <v>569825224</v>
      </c>
      <c r="H187" s="302">
        <v>66700878</v>
      </c>
      <c r="I187" s="302">
        <v>1144327428</v>
      </c>
      <c r="J187" s="302">
        <v>349247632</v>
      </c>
      <c r="K187" s="302">
        <v>795079796</v>
      </c>
      <c r="L187" s="302">
        <v>565567217</v>
      </c>
      <c r="M187" s="302">
        <v>94182507</v>
      </c>
      <c r="N187" s="302">
        <v>957501719</v>
      </c>
      <c r="O187" s="302">
        <v>245231015</v>
      </c>
      <c r="P187" s="302">
        <v>712270704</v>
      </c>
      <c r="Q187" s="303"/>
    </row>
    <row r="188" spans="1:17" s="304" customFormat="1" x14ac:dyDescent="0.25">
      <c r="A188" s="300">
        <v>181</v>
      </c>
      <c r="B188" s="300">
        <v>811014994</v>
      </c>
      <c r="C188" s="300" t="s">
        <v>1002</v>
      </c>
      <c r="D188" s="300" t="s">
        <v>763</v>
      </c>
      <c r="E188" s="300" t="s">
        <v>905</v>
      </c>
      <c r="F188" s="301" t="s">
        <v>779</v>
      </c>
      <c r="G188" s="302">
        <v>562529062</v>
      </c>
      <c r="H188" s="302">
        <v>70032290</v>
      </c>
      <c r="I188" s="302">
        <v>1379605829</v>
      </c>
      <c r="J188" s="302">
        <v>428670333</v>
      </c>
      <c r="K188" s="302">
        <v>950935496</v>
      </c>
      <c r="L188" s="302">
        <v>580310198</v>
      </c>
      <c r="M188" s="302">
        <v>52854373</v>
      </c>
      <c r="N188" s="302">
        <v>1115852672</v>
      </c>
      <c r="O188" s="302">
        <v>284977067</v>
      </c>
      <c r="P188" s="302">
        <v>830875605</v>
      </c>
      <c r="Q188" s="303"/>
    </row>
    <row r="189" spans="1:17" s="304" customFormat="1" x14ac:dyDescent="0.25">
      <c r="A189" s="300">
        <v>182</v>
      </c>
      <c r="B189" s="300">
        <v>891300382</v>
      </c>
      <c r="C189" s="300" t="s">
        <v>1003</v>
      </c>
      <c r="D189" s="300" t="s">
        <v>808</v>
      </c>
      <c r="E189" s="300" t="s">
        <v>965</v>
      </c>
      <c r="F189" s="301" t="s">
        <v>779</v>
      </c>
      <c r="G189" s="302">
        <v>560600875</v>
      </c>
      <c r="H189" s="302">
        <v>-86127061</v>
      </c>
      <c r="I189" s="302">
        <v>934592730</v>
      </c>
      <c r="J189" s="302">
        <v>247101789</v>
      </c>
      <c r="K189" s="302">
        <v>687490941</v>
      </c>
      <c r="L189" s="302">
        <v>522673679</v>
      </c>
      <c r="M189" s="302">
        <v>29989957</v>
      </c>
      <c r="N189" s="302">
        <v>907462836</v>
      </c>
      <c r="O189" s="302">
        <v>236929879</v>
      </c>
      <c r="P189" s="302">
        <v>670532957</v>
      </c>
      <c r="Q189" s="303"/>
    </row>
    <row r="190" spans="1:17" s="304" customFormat="1" x14ac:dyDescent="0.25">
      <c r="A190" s="300">
        <v>183</v>
      </c>
      <c r="B190" s="300">
        <v>890900118</v>
      </c>
      <c r="C190" s="300" t="s">
        <v>1004</v>
      </c>
      <c r="D190" s="300" t="s">
        <v>763</v>
      </c>
      <c r="E190" s="300" t="s">
        <v>1005</v>
      </c>
      <c r="F190" s="300" t="s">
        <v>779</v>
      </c>
      <c r="G190" s="302">
        <v>547508568</v>
      </c>
      <c r="H190" s="302">
        <v>84969712</v>
      </c>
      <c r="I190" s="302">
        <v>914374695</v>
      </c>
      <c r="J190" s="302">
        <v>306349793</v>
      </c>
      <c r="K190" s="302">
        <v>608024902</v>
      </c>
      <c r="L190" s="302">
        <v>628100736</v>
      </c>
      <c r="M190" s="302">
        <v>93496827</v>
      </c>
      <c r="N190" s="302">
        <v>881140532</v>
      </c>
      <c r="O190" s="302">
        <v>285465646</v>
      </c>
      <c r="P190" s="302">
        <v>595674886</v>
      </c>
      <c r="Q190" s="303"/>
    </row>
    <row r="191" spans="1:17" s="304" customFormat="1" x14ac:dyDescent="0.25">
      <c r="A191" s="300">
        <v>184</v>
      </c>
      <c r="B191" s="300">
        <v>830025448</v>
      </c>
      <c r="C191" s="300" t="s">
        <v>1006</v>
      </c>
      <c r="D191" s="300" t="s">
        <v>758</v>
      </c>
      <c r="E191" s="300" t="s">
        <v>759</v>
      </c>
      <c r="F191" s="301" t="s">
        <v>766</v>
      </c>
      <c r="G191" s="302">
        <v>546099070</v>
      </c>
      <c r="H191" s="302">
        <v>448725860</v>
      </c>
      <c r="I191" s="302">
        <v>5007709850</v>
      </c>
      <c r="J191" s="302">
        <v>646224850</v>
      </c>
      <c r="K191" s="302">
        <v>4361485000</v>
      </c>
      <c r="L191" s="302">
        <v>521596624</v>
      </c>
      <c r="M191" s="302">
        <v>439288131</v>
      </c>
      <c r="N191" s="302">
        <v>4840751053</v>
      </c>
      <c r="O191" s="302">
        <v>801285484</v>
      </c>
      <c r="P191" s="302">
        <v>4039465568</v>
      </c>
      <c r="Q191" s="303"/>
    </row>
    <row r="192" spans="1:17" s="304" customFormat="1" x14ac:dyDescent="0.25">
      <c r="A192" s="300">
        <v>185</v>
      </c>
      <c r="B192" s="300">
        <v>832006599</v>
      </c>
      <c r="C192" s="300" t="s">
        <v>1007</v>
      </c>
      <c r="D192" s="300" t="s">
        <v>758</v>
      </c>
      <c r="E192" s="300" t="s">
        <v>876</v>
      </c>
      <c r="F192" s="311" t="s">
        <v>877</v>
      </c>
      <c r="G192" s="302">
        <v>544333164</v>
      </c>
      <c r="H192" s="302">
        <v>71276915</v>
      </c>
      <c r="I192" s="302">
        <v>1293992515</v>
      </c>
      <c r="J192" s="302">
        <v>458536312</v>
      </c>
      <c r="K192" s="302">
        <v>835456203</v>
      </c>
      <c r="L192" s="302">
        <v>476830706</v>
      </c>
      <c r="M192" s="302">
        <v>61513883</v>
      </c>
      <c r="N192" s="302">
        <v>1111070925</v>
      </c>
      <c r="O192" s="302">
        <v>378747419</v>
      </c>
      <c r="P192" s="302">
        <v>732323506</v>
      </c>
      <c r="Q192" s="303"/>
    </row>
    <row r="193" spans="1:17" s="304" customFormat="1" x14ac:dyDescent="0.25">
      <c r="A193" s="300">
        <v>186</v>
      </c>
      <c r="B193" s="300">
        <v>830081407</v>
      </c>
      <c r="C193" s="300" t="s">
        <v>1008</v>
      </c>
      <c r="D193" s="300" t="s">
        <v>758</v>
      </c>
      <c r="E193" s="300" t="s">
        <v>819</v>
      </c>
      <c r="F193" s="301" t="s">
        <v>779</v>
      </c>
      <c r="G193" s="302">
        <v>536174303</v>
      </c>
      <c r="H193" s="302">
        <v>5396415</v>
      </c>
      <c r="I193" s="302">
        <v>277784393</v>
      </c>
      <c r="J193" s="302">
        <v>212472483</v>
      </c>
      <c r="K193" s="302">
        <v>65311910</v>
      </c>
      <c r="L193" s="302">
        <v>522762326</v>
      </c>
      <c r="M193" s="302">
        <v>21487222</v>
      </c>
      <c r="N193" s="302">
        <v>240180264</v>
      </c>
      <c r="O193" s="302">
        <v>182796038</v>
      </c>
      <c r="P193" s="302">
        <v>57384226</v>
      </c>
      <c r="Q193" s="303"/>
    </row>
    <row r="194" spans="1:17" s="304" customFormat="1" x14ac:dyDescent="0.25">
      <c r="A194" s="300">
        <v>187</v>
      </c>
      <c r="B194" s="300">
        <v>900129967</v>
      </c>
      <c r="C194" s="300" t="s">
        <v>1009</v>
      </c>
      <c r="D194" s="300" t="s">
        <v>758</v>
      </c>
      <c r="E194" s="300" t="s">
        <v>771</v>
      </c>
      <c r="F194" s="300" t="s">
        <v>760</v>
      </c>
      <c r="G194" s="302">
        <v>533356295</v>
      </c>
      <c r="H194" s="302">
        <v>138489121</v>
      </c>
      <c r="I194" s="302">
        <v>379557805</v>
      </c>
      <c r="J194" s="302">
        <v>141401404</v>
      </c>
      <c r="K194" s="302">
        <v>238156401</v>
      </c>
      <c r="L194" s="302">
        <v>457579267</v>
      </c>
      <c r="M194" s="302">
        <v>158531633</v>
      </c>
      <c r="N194" s="302">
        <v>293533140</v>
      </c>
      <c r="O194" s="302">
        <v>135554520</v>
      </c>
      <c r="P194" s="302">
        <v>157978620</v>
      </c>
      <c r="Q194" s="303"/>
    </row>
    <row r="195" spans="1:17" s="304" customFormat="1" x14ac:dyDescent="0.25">
      <c r="A195" s="300">
        <v>188</v>
      </c>
      <c r="B195" s="300">
        <v>860000452</v>
      </c>
      <c r="C195" s="300" t="s">
        <v>1010</v>
      </c>
      <c r="D195" s="300" t="s">
        <v>758</v>
      </c>
      <c r="E195" s="300" t="s">
        <v>1011</v>
      </c>
      <c r="F195" s="301" t="s">
        <v>779</v>
      </c>
      <c r="G195" s="302">
        <v>530806664</v>
      </c>
      <c r="H195" s="302">
        <v>4421035</v>
      </c>
      <c r="I195" s="302">
        <v>622936019</v>
      </c>
      <c r="J195" s="302">
        <v>378624815</v>
      </c>
      <c r="K195" s="302">
        <v>244311204</v>
      </c>
      <c r="L195" s="302">
        <v>544686673</v>
      </c>
      <c r="M195" s="302">
        <v>7838854</v>
      </c>
      <c r="N195" s="302">
        <v>627619443</v>
      </c>
      <c r="O195" s="302">
        <v>387725360</v>
      </c>
      <c r="P195" s="302">
        <v>239894083</v>
      </c>
      <c r="Q195" s="303"/>
    </row>
    <row r="196" spans="1:17" s="304" customFormat="1" x14ac:dyDescent="0.25">
      <c r="A196" s="300">
        <v>189</v>
      </c>
      <c r="B196" s="300">
        <v>800194208</v>
      </c>
      <c r="C196" s="300" t="s">
        <v>1012</v>
      </c>
      <c r="D196" s="300" t="s">
        <v>763</v>
      </c>
      <c r="E196" s="300" t="s">
        <v>759</v>
      </c>
      <c r="F196" s="301" t="s">
        <v>766</v>
      </c>
      <c r="G196" s="302">
        <v>529417404.171</v>
      </c>
      <c r="H196" s="302">
        <v>15075813.653000001</v>
      </c>
      <c r="I196" s="302">
        <v>511347155.185</v>
      </c>
      <c r="J196" s="302">
        <v>177050105.05199999</v>
      </c>
      <c r="K196" s="302">
        <v>334297050.13300002</v>
      </c>
      <c r="L196" s="302">
        <v>486337423.41299999</v>
      </c>
      <c r="M196" s="302">
        <v>-61205979.468000002</v>
      </c>
      <c r="N196" s="302">
        <v>530031922.57099998</v>
      </c>
      <c r="O196" s="302">
        <v>210810686.09099999</v>
      </c>
      <c r="P196" s="302">
        <v>319221236.48000002</v>
      </c>
      <c r="Q196" s="303"/>
    </row>
    <row r="197" spans="1:17" s="304" customFormat="1" x14ac:dyDescent="0.25">
      <c r="A197" s="300">
        <v>190</v>
      </c>
      <c r="B197" s="300">
        <v>860001022</v>
      </c>
      <c r="C197" s="300" t="s">
        <v>1013</v>
      </c>
      <c r="D197" s="300" t="s">
        <v>758</v>
      </c>
      <c r="E197" s="300" t="s">
        <v>1014</v>
      </c>
      <c r="F197" s="301" t="s">
        <v>766</v>
      </c>
      <c r="G197" s="302">
        <v>528450494</v>
      </c>
      <c r="H197" s="302">
        <v>27263999</v>
      </c>
      <c r="I197" s="302">
        <v>525457389</v>
      </c>
      <c r="J197" s="302">
        <v>192707571</v>
      </c>
      <c r="K197" s="302">
        <v>332749818</v>
      </c>
      <c r="L197" s="302">
        <v>524162564</v>
      </c>
      <c r="M197" s="302">
        <v>37977155</v>
      </c>
      <c r="N197" s="302">
        <v>478113046</v>
      </c>
      <c r="O197" s="302">
        <v>190910726</v>
      </c>
      <c r="P197" s="302">
        <v>287202320</v>
      </c>
      <c r="Q197" s="303"/>
    </row>
    <row r="198" spans="1:17" s="304" customFormat="1" x14ac:dyDescent="0.25">
      <c r="A198" s="300">
        <v>191</v>
      </c>
      <c r="B198" s="300">
        <v>890400869</v>
      </c>
      <c r="C198" s="300" t="s">
        <v>1015</v>
      </c>
      <c r="D198" s="300" t="s">
        <v>768</v>
      </c>
      <c r="E198" s="300" t="s">
        <v>759</v>
      </c>
      <c r="F198" s="301" t="s">
        <v>766</v>
      </c>
      <c r="G198" s="302">
        <v>527934089.50099999</v>
      </c>
      <c r="H198" s="302">
        <v>50581006.555</v>
      </c>
      <c r="I198" s="302">
        <v>694701831.995</v>
      </c>
      <c r="J198" s="302">
        <v>519227846.60500002</v>
      </c>
      <c r="K198" s="302">
        <v>175473985.38999999</v>
      </c>
      <c r="L198" s="302">
        <v>473242281.68199998</v>
      </c>
      <c r="M198" s="302">
        <v>47388640.445</v>
      </c>
      <c r="N198" s="302">
        <v>598059007.83099997</v>
      </c>
      <c r="O198" s="302">
        <v>414532827.19999999</v>
      </c>
      <c r="P198" s="302">
        <v>183526180.63100001</v>
      </c>
      <c r="Q198" s="303"/>
    </row>
    <row r="199" spans="1:17" s="304" customFormat="1" x14ac:dyDescent="0.25">
      <c r="A199" s="300">
        <v>192</v>
      </c>
      <c r="B199" s="300">
        <v>890301690</v>
      </c>
      <c r="C199" s="300" t="s">
        <v>1016</v>
      </c>
      <c r="D199" s="300" t="s">
        <v>808</v>
      </c>
      <c r="E199" s="300" t="s">
        <v>1017</v>
      </c>
      <c r="F199" s="301" t="s">
        <v>779</v>
      </c>
      <c r="G199" s="302">
        <v>526798215</v>
      </c>
      <c r="H199" s="302">
        <v>14489766</v>
      </c>
      <c r="I199" s="302">
        <v>404345814</v>
      </c>
      <c r="J199" s="302">
        <v>93658176</v>
      </c>
      <c r="K199" s="302">
        <v>310687638</v>
      </c>
      <c r="L199" s="302">
        <v>537639484</v>
      </c>
      <c r="M199" s="302">
        <v>16301733</v>
      </c>
      <c r="N199" s="302">
        <v>420729609</v>
      </c>
      <c r="O199" s="302">
        <v>144535411</v>
      </c>
      <c r="P199" s="302">
        <v>276194198</v>
      </c>
      <c r="Q199" s="303"/>
    </row>
    <row r="200" spans="1:17" s="304" customFormat="1" x14ac:dyDescent="0.25">
      <c r="A200" s="300">
        <v>193</v>
      </c>
      <c r="B200" s="300">
        <v>900203441</v>
      </c>
      <c r="C200" s="300" t="s">
        <v>1018</v>
      </c>
      <c r="D200" s="300" t="s">
        <v>758</v>
      </c>
      <c r="E200" s="300" t="s">
        <v>805</v>
      </c>
      <c r="F200" s="300" t="s">
        <v>766</v>
      </c>
      <c r="G200" s="302">
        <v>524528303</v>
      </c>
      <c r="H200" s="302">
        <v>215280347</v>
      </c>
      <c r="I200" s="302">
        <v>2224217417</v>
      </c>
      <c r="J200" s="302">
        <v>1133229784</v>
      </c>
      <c r="K200" s="302">
        <v>1090987633</v>
      </c>
      <c r="L200" s="302">
        <v>502957598</v>
      </c>
      <c r="M200" s="302">
        <v>192546213</v>
      </c>
      <c r="N200" s="302">
        <v>2168671407</v>
      </c>
      <c r="O200" s="302">
        <v>1301154229</v>
      </c>
      <c r="P200" s="302">
        <v>867517178</v>
      </c>
      <c r="Q200" s="303"/>
    </row>
    <row r="201" spans="1:17" s="304" customFormat="1" x14ac:dyDescent="0.25">
      <c r="A201" s="300">
        <v>194</v>
      </c>
      <c r="B201" s="300">
        <v>860004828</v>
      </c>
      <c r="C201" s="300" t="s">
        <v>1019</v>
      </c>
      <c r="D201" s="300" t="s">
        <v>763</v>
      </c>
      <c r="E201" s="300" t="s">
        <v>860</v>
      </c>
      <c r="F201" s="301" t="s">
        <v>779</v>
      </c>
      <c r="G201" s="302">
        <v>519605050</v>
      </c>
      <c r="H201" s="302">
        <v>14404889</v>
      </c>
      <c r="I201" s="302">
        <v>311439897</v>
      </c>
      <c r="J201" s="302">
        <v>114105509</v>
      </c>
      <c r="K201" s="302">
        <v>197334388</v>
      </c>
      <c r="L201" s="302">
        <v>455188073</v>
      </c>
      <c r="M201" s="302">
        <v>14158562</v>
      </c>
      <c r="N201" s="302">
        <v>292139983</v>
      </c>
      <c r="O201" s="302">
        <v>87131415</v>
      </c>
      <c r="P201" s="302">
        <v>205008568</v>
      </c>
      <c r="Q201" s="303"/>
    </row>
    <row r="202" spans="1:17" s="304" customFormat="1" x14ac:dyDescent="0.25">
      <c r="A202" s="300">
        <v>195</v>
      </c>
      <c r="B202" s="300">
        <v>890900266</v>
      </c>
      <c r="C202" s="300" t="s">
        <v>1020</v>
      </c>
      <c r="D202" s="300" t="s">
        <v>763</v>
      </c>
      <c r="E202" s="300" t="s">
        <v>759</v>
      </c>
      <c r="F202" s="301" t="s">
        <v>779</v>
      </c>
      <c r="G202" s="302">
        <v>517302930</v>
      </c>
      <c r="H202" s="302">
        <v>294949850</v>
      </c>
      <c r="I202" s="302">
        <v>15469383700</v>
      </c>
      <c r="J202" s="302">
        <v>1750844500</v>
      </c>
      <c r="K202" s="302">
        <v>13718539200</v>
      </c>
      <c r="L202" s="302">
        <v>602325556</v>
      </c>
      <c r="M202" s="302">
        <v>343937641</v>
      </c>
      <c r="N202" s="302">
        <v>16142170795</v>
      </c>
      <c r="O202" s="302">
        <v>2081780125</v>
      </c>
      <c r="P202" s="302">
        <v>14060390669</v>
      </c>
      <c r="Q202" s="303"/>
    </row>
    <row r="203" spans="1:17" s="304" customFormat="1" x14ac:dyDescent="0.25">
      <c r="A203" s="300">
        <v>196</v>
      </c>
      <c r="B203" s="300">
        <v>900332718</v>
      </c>
      <c r="C203" s="300" t="s">
        <v>1021</v>
      </c>
      <c r="D203" s="300" t="s">
        <v>763</v>
      </c>
      <c r="E203" s="300" t="s">
        <v>776</v>
      </c>
      <c r="F203" s="301" t="s">
        <v>760</v>
      </c>
      <c r="G203" s="302">
        <v>515952641</v>
      </c>
      <c r="H203" s="302">
        <v>1098844</v>
      </c>
      <c r="I203" s="302">
        <v>13785329</v>
      </c>
      <c r="J203" s="302">
        <v>11912367</v>
      </c>
      <c r="K203" s="302">
        <v>1872962</v>
      </c>
      <c r="L203" s="302">
        <v>535554242</v>
      </c>
      <c r="M203" s="302">
        <v>21033</v>
      </c>
      <c r="N203" s="302">
        <v>13069416</v>
      </c>
      <c r="O203" s="302">
        <v>12295298</v>
      </c>
      <c r="P203" s="302">
        <v>774118</v>
      </c>
      <c r="Q203" s="303"/>
    </row>
    <row r="204" spans="1:17" s="304" customFormat="1" x14ac:dyDescent="0.25">
      <c r="A204" s="300">
        <v>197</v>
      </c>
      <c r="B204" s="300">
        <v>890500514</v>
      </c>
      <c r="C204" s="300" t="s">
        <v>1022</v>
      </c>
      <c r="D204" s="300" t="s">
        <v>891</v>
      </c>
      <c r="E204" s="300" t="s">
        <v>759</v>
      </c>
      <c r="F204" s="301" t="s">
        <v>766</v>
      </c>
      <c r="G204" s="302">
        <v>514000112.99599999</v>
      </c>
      <c r="H204" s="302">
        <v>47151614.645999998</v>
      </c>
      <c r="I204" s="302">
        <v>851708888.71800005</v>
      </c>
      <c r="J204" s="302">
        <v>359775332.68000001</v>
      </c>
      <c r="K204" s="302">
        <v>491933556.03799999</v>
      </c>
      <c r="L204" s="302">
        <v>479748954.273</v>
      </c>
      <c r="M204" s="302">
        <v>37079334.369000003</v>
      </c>
      <c r="N204" s="302">
        <v>800499783.55900002</v>
      </c>
      <c r="O204" s="302">
        <v>345395546.30900002</v>
      </c>
      <c r="P204" s="302">
        <v>455104237.25</v>
      </c>
      <c r="Q204" s="303"/>
    </row>
    <row r="205" spans="1:17" s="304" customFormat="1" x14ac:dyDescent="0.25">
      <c r="A205" s="300">
        <v>198</v>
      </c>
      <c r="B205" s="300">
        <v>900203461</v>
      </c>
      <c r="C205" s="300" t="s">
        <v>1023</v>
      </c>
      <c r="D205" s="300" t="s">
        <v>758</v>
      </c>
      <c r="E205" s="300" t="s">
        <v>1024</v>
      </c>
      <c r="F205" s="301" t="s">
        <v>760</v>
      </c>
      <c r="G205" s="302">
        <v>512746539</v>
      </c>
      <c r="H205" s="302">
        <v>4657738</v>
      </c>
      <c r="I205" s="302">
        <v>393842387</v>
      </c>
      <c r="J205" s="302">
        <v>133831011</v>
      </c>
      <c r="K205" s="302">
        <v>260011376</v>
      </c>
      <c r="L205" s="302">
        <v>400087596</v>
      </c>
      <c r="M205" s="302">
        <v>-30510612</v>
      </c>
      <c r="N205" s="302">
        <v>354199346</v>
      </c>
      <c r="O205" s="302">
        <v>115900988</v>
      </c>
      <c r="P205" s="302">
        <v>238298358</v>
      </c>
      <c r="Q205" s="303"/>
    </row>
    <row r="206" spans="1:17" s="304" customFormat="1" x14ac:dyDescent="0.25">
      <c r="A206" s="300">
        <v>199</v>
      </c>
      <c r="B206" s="300">
        <v>830037946</v>
      </c>
      <c r="C206" s="300" t="s">
        <v>1025</v>
      </c>
      <c r="D206" s="300" t="s">
        <v>758</v>
      </c>
      <c r="E206" s="300" t="s">
        <v>1026</v>
      </c>
      <c r="F206" s="301" t="s">
        <v>764</v>
      </c>
      <c r="G206" s="302">
        <v>508134232</v>
      </c>
      <c r="H206" s="302">
        <v>28790250</v>
      </c>
      <c r="I206" s="302">
        <v>543957992</v>
      </c>
      <c r="J206" s="302">
        <v>143309089</v>
      </c>
      <c r="K206" s="302">
        <v>400648903</v>
      </c>
      <c r="L206" s="302">
        <v>491897820</v>
      </c>
      <c r="M206" s="302">
        <v>29101486</v>
      </c>
      <c r="N206" s="302">
        <v>549189164</v>
      </c>
      <c r="O206" s="302">
        <v>178014722</v>
      </c>
      <c r="P206" s="302">
        <v>371174442</v>
      </c>
      <c r="Q206" s="303"/>
    </row>
    <row r="207" spans="1:17" s="304" customFormat="1" x14ac:dyDescent="0.25">
      <c r="A207" s="300">
        <v>200</v>
      </c>
      <c r="B207" s="300">
        <v>900174478</v>
      </c>
      <c r="C207" s="300" t="s">
        <v>1027</v>
      </c>
      <c r="D207" s="300" t="s">
        <v>758</v>
      </c>
      <c r="E207" s="300" t="s">
        <v>1028</v>
      </c>
      <c r="F207" s="301" t="s">
        <v>764</v>
      </c>
      <c r="G207" s="302">
        <v>506887752</v>
      </c>
      <c r="H207" s="302">
        <v>-15730414</v>
      </c>
      <c r="I207" s="302">
        <v>295628427</v>
      </c>
      <c r="J207" s="302">
        <v>279655273</v>
      </c>
      <c r="K207" s="302">
        <v>15973154</v>
      </c>
      <c r="L207" s="302">
        <v>573613817</v>
      </c>
      <c r="M207" s="302">
        <v>6534836</v>
      </c>
      <c r="N207" s="302">
        <v>335456023</v>
      </c>
      <c r="O207" s="302">
        <v>303752455</v>
      </c>
      <c r="P207" s="302">
        <v>31703568</v>
      </c>
      <c r="Q207" s="303"/>
    </row>
    <row r="208" spans="1:17" s="304" customFormat="1" x14ac:dyDescent="0.25">
      <c r="A208" s="300">
        <v>201</v>
      </c>
      <c r="B208" s="300">
        <v>900067659</v>
      </c>
      <c r="C208" s="300" t="s">
        <v>1029</v>
      </c>
      <c r="D208" s="300" t="s">
        <v>758</v>
      </c>
      <c r="E208" s="300" t="s">
        <v>759</v>
      </c>
      <c r="F208" s="301" t="s">
        <v>764</v>
      </c>
      <c r="G208" s="302">
        <v>503660353.15103996</v>
      </c>
      <c r="H208" s="302">
        <v>1072275.1706399999</v>
      </c>
      <c r="I208" s="302">
        <v>206294214.93632999</v>
      </c>
      <c r="J208" s="302">
        <v>200291692.67778</v>
      </c>
      <c r="K208" s="302">
        <v>6002522.2585500004</v>
      </c>
      <c r="L208" s="302">
        <v>479679974.52617997</v>
      </c>
      <c r="M208" s="302">
        <v>32110.487109999998</v>
      </c>
      <c r="N208" s="302">
        <v>199937831.90406001</v>
      </c>
      <c r="O208" s="302">
        <v>195160542.79501</v>
      </c>
      <c r="P208" s="302">
        <v>4777289.1090500001</v>
      </c>
      <c r="Q208" s="303"/>
    </row>
    <row r="209" spans="1:17" s="304" customFormat="1" x14ac:dyDescent="0.25">
      <c r="A209" s="300">
        <v>202</v>
      </c>
      <c r="B209" s="300">
        <v>891300238</v>
      </c>
      <c r="C209" s="300" t="s">
        <v>1030</v>
      </c>
      <c r="D209" s="300" t="s">
        <v>808</v>
      </c>
      <c r="E209" s="300" t="s">
        <v>951</v>
      </c>
      <c r="F209" s="301" t="s">
        <v>779</v>
      </c>
      <c r="G209" s="302">
        <v>499974103</v>
      </c>
      <c r="H209" s="302">
        <v>33365721</v>
      </c>
      <c r="I209" s="302">
        <v>818121582</v>
      </c>
      <c r="J209" s="302">
        <v>248781397</v>
      </c>
      <c r="K209" s="302">
        <v>569340185</v>
      </c>
      <c r="L209" s="302">
        <v>523650514</v>
      </c>
      <c r="M209" s="302">
        <v>47513000</v>
      </c>
      <c r="N209" s="302">
        <v>780847829</v>
      </c>
      <c r="O209" s="302">
        <v>198338958</v>
      </c>
      <c r="P209" s="302">
        <v>582508871</v>
      </c>
      <c r="Q209" s="303"/>
    </row>
    <row r="210" spans="1:17" s="304" customFormat="1" x14ac:dyDescent="0.25">
      <c r="A210" s="300">
        <v>203</v>
      </c>
      <c r="B210" s="300">
        <v>892300678</v>
      </c>
      <c r="C210" s="300" t="s">
        <v>1031</v>
      </c>
      <c r="D210" s="300" t="s">
        <v>768</v>
      </c>
      <c r="E210" s="300" t="s">
        <v>1032</v>
      </c>
      <c r="F210" s="300" t="s">
        <v>764</v>
      </c>
      <c r="G210" s="302">
        <v>494799662</v>
      </c>
      <c r="H210" s="302">
        <v>3235982</v>
      </c>
      <c r="I210" s="302">
        <v>270504415</v>
      </c>
      <c r="J210" s="302">
        <v>199359985</v>
      </c>
      <c r="K210" s="302">
        <v>71144430</v>
      </c>
      <c r="L210" s="302">
        <v>536652273</v>
      </c>
      <c r="M210" s="302">
        <v>6605408</v>
      </c>
      <c r="N210" s="302">
        <v>246797855</v>
      </c>
      <c r="O210" s="302">
        <v>176369598</v>
      </c>
      <c r="P210" s="302">
        <v>70428257</v>
      </c>
      <c r="Q210" s="303"/>
    </row>
    <row r="211" spans="1:17" s="304" customFormat="1" x14ac:dyDescent="0.25">
      <c r="A211" s="300">
        <v>204</v>
      </c>
      <c r="B211" s="300">
        <v>890800128</v>
      </c>
      <c r="C211" s="300" t="s">
        <v>1033</v>
      </c>
      <c r="D211" s="300" t="s">
        <v>763</v>
      </c>
      <c r="E211" s="300" t="s">
        <v>759</v>
      </c>
      <c r="F211" s="301" t="s">
        <v>766</v>
      </c>
      <c r="G211" s="302">
        <v>491533581.579</v>
      </c>
      <c r="H211" s="302">
        <v>76353011.055000007</v>
      </c>
      <c r="I211" s="302">
        <v>1050994779.941</v>
      </c>
      <c r="J211" s="302">
        <v>212514038.49000001</v>
      </c>
      <c r="K211" s="302">
        <v>838480741.45099998</v>
      </c>
      <c r="L211" s="302">
        <v>526573917.30699998</v>
      </c>
      <c r="M211" s="302">
        <v>66748333.391000003</v>
      </c>
      <c r="N211" s="302">
        <v>1050653520.726</v>
      </c>
      <c r="O211" s="302">
        <v>228455343.41299999</v>
      </c>
      <c r="P211" s="302">
        <v>822198177.31299996</v>
      </c>
      <c r="Q211" s="303"/>
    </row>
    <row r="212" spans="1:17" s="304" customFormat="1" x14ac:dyDescent="0.25">
      <c r="A212" s="300">
        <v>205</v>
      </c>
      <c r="B212" s="300">
        <v>830010337</v>
      </c>
      <c r="C212" s="300" t="s">
        <v>1034</v>
      </c>
      <c r="D212" s="300" t="s">
        <v>758</v>
      </c>
      <c r="E212" s="300" t="s">
        <v>863</v>
      </c>
      <c r="F212" s="301" t="s">
        <v>764</v>
      </c>
      <c r="G212" s="302">
        <v>485830080</v>
      </c>
      <c r="H212" s="302">
        <v>63596062</v>
      </c>
      <c r="I212" s="302">
        <v>300824792</v>
      </c>
      <c r="J212" s="302">
        <v>61885474</v>
      </c>
      <c r="K212" s="302">
        <v>238939318</v>
      </c>
      <c r="L212" s="302">
        <v>425366524</v>
      </c>
      <c r="M212" s="302">
        <v>63287179</v>
      </c>
      <c r="N212" s="302">
        <v>238572827</v>
      </c>
      <c r="O212" s="302">
        <v>62119489</v>
      </c>
      <c r="P212" s="302">
        <v>176453338</v>
      </c>
      <c r="Q212" s="303"/>
    </row>
    <row r="213" spans="1:17" s="304" customFormat="1" x14ac:dyDescent="0.25">
      <c r="A213" s="300">
        <v>206</v>
      </c>
      <c r="B213" s="300">
        <v>830063506</v>
      </c>
      <c r="C213" s="300" t="s">
        <v>1035</v>
      </c>
      <c r="D213" s="300" t="s">
        <v>758</v>
      </c>
      <c r="E213" s="300" t="s">
        <v>759</v>
      </c>
      <c r="F213" s="301" t="s">
        <v>766</v>
      </c>
      <c r="G213" s="302">
        <v>478881867</v>
      </c>
      <c r="H213" s="302">
        <v>11028746</v>
      </c>
      <c r="I213" s="302">
        <v>1108200525</v>
      </c>
      <c r="J213" s="302">
        <v>531568938</v>
      </c>
      <c r="K213" s="302">
        <v>576631587</v>
      </c>
      <c r="L213" s="302">
        <v>206696272</v>
      </c>
      <c r="M213" s="302">
        <v>26653272</v>
      </c>
      <c r="N213" s="302">
        <v>1561021347</v>
      </c>
      <c r="O213" s="302">
        <v>1010305465</v>
      </c>
      <c r="P213" s="302">
        <v>550715882</v>
      </c>
      <c r="Q213" s="303"/>
    </row>
    <row r="214" spans="1:17" s="304" customFormat="1" x14ac:dyDescent="0.25">
      <c r="A214" s="300">
        <v>207</v>
      </c>
      <c r="B214" s="300">
        <v>860001697</v>
      </c>
      <c r="C214" s="300" t="s">
        <v>1036</v>
      </c>
      <c r="D214" s="300" t="s">
        <v>763</v>
      </c>
      <c r="E214" s="300" t="s">
        <v>819</v>
      </c>
      <c r="F214" s="300" t="s">
        <v>779</v>
      </c>
      <c r="G214" s="302">
        <v>478365031</v>
      </c>
      <c r="H214" s="302">
        <v>22673002</v>
      </c>
      <c r="I214" s="302">
        <v>451560055</v>
      </c>
      <c r="J214" s="302">
        <v>57032564</v>
      </c>
      <c r="K214" s="302">
        <v>394527491</v>
      </c>
      <c r="L214" s="302">
        <v>494633522</v>
      </c>
      <c r="M214" s="302">
        <v>45076742</v>
      </c>
      <c r="N214" s="302">
        <v>471301744</v>
      </c>
      <c r="O214" s="302">
        <v>96801124</v>
      </c>
      <c r="P214" s="302">
        <v>374500620</v>
      </c>
      <c r="Q214" s="303"/>
    </row>
    <row r="215" spans="1:17" s="304" customFormat="1" x14ac:dyDescent="0.25">
      <c r="A215" s="300">
        <v>208</v>
      </c>
      <c r="B215" s="300">
        <v>890903024</v>
      </c>
      <c r="C215" s="300" t="s">
        <v>1037</v>
      </c>
      <c r="D215" s="300" t="s">
        <v>763</v>
      </c>
      <c r="E215" s="300" t="s">
        <v>880</v>
      </c>
      <c r="F215" s="301" t="s">
        <v>764</v>
      </c>
      <c r="G215" s="302">
        <v>477650779</v>
      </c>
      <c r="H215" s="302">
        <v>13070817</v>
      </c>
      <c r="I215" s="302">
        <v>283978098</v>
      </c>
      <c r="J215" s="302">
        <v>161661589</v>
      </c>
      <c r="K215" s="302">
        <v>122316509</v>
      </c>
      <c r="L215" s="302">
        <v>655069523</v>
      </c>
      <c r="M215" s="302">
        <v>29119806</v>
      </c>
      <c r="N215" s="302">
        <v>327920578</v>
      </c>
      <c r="O215" s="302">
        <v>188129340</v>
      </c>
      <c r="P215" s="302">
        <v>139791238</v>
      </c>
      <c r="Q215" s="303"/>
    </row>
    <row r="216" spans="1:17" s="304" customFormat="1" x14ac:dyDescent="0.25">
      <c r="A216" s="300">
        <v>209</v>
      </c>
      <c r="B216" s="300">
        <v>800230447</v>
      </c>
      <c r="C216" s="300" t="s">
        <v>1038</v>
      </c>
      <c r="D216" s="300" t="s">
        <v>758</v>
      </c>
      <c r="E216" s="300" t="s">
        <v>1039</v>
      </c>
      <c r="F216" s="301" t="s">
        <v>766</v>
      </c>
      <c r="G216" s="302">
        <v>476791914</v>
      </c>
      <c r="H216" s="302">
        <v>18159570</v>
      </c>
      <c r="I216" s="302">
        <v>119769731</v>
      </c>
      <c r="J216" s="302">
        <v>98587965</v>
      </c>
      <c r="K216" s="302">
        <v>21181766</v>
      </c>
      <c r="L216" s="302">
        <v>380993381</v>
      </c>
      <c r="M216" s="302">
        <v>10932642</v>
      </c>
      <c r="N216" s="302">
        <v>92236186</v>
      </c>
      <c r="O216" s="302">
        <v>78279348</v>
      </c>
      <c r="P216" s="302">
        <v>13956838</v>
      </c>
      <c r="Q216" s="303"/>
    </row>
    <row r="217" spans="1:17" s="304" customFormat="1" x14ac:dyDescent="0.25">
      <c r="A217" s="300">
        <v>210</v>
      </c>
      <c r="B217" s="308">
        <v>891180008</v>
      </c>
      <c r="C217" s="300" t="s">
        <v>1040</v>
      </c>
      <c r="D217" s="300" t="s">
        <v>758</v>
      </c>
      <c r="E217" s="300" t="s">
        <v>759</v>
      </c>
      <c r="F217" s="301" t="s">
        <v>766</v>
      </c>
      <c r="G217" s="309">
        <v>476085252</v>
      </c>
      <c r="H217" s="309">
        <v>6152178</v>
      </c>
      <c r="I217" s="309">
        <v>287096977</v>
      </c>
      <c r="J217" s="309">
        <v>138651529</v>
      </c>
      <c r="K217" s="309">
        <v>148445448</v>
      </c>
      <c r="L217" s="309">
        <v>364926618.75999999</v>
      </c>
      <c r="M217" s="309">
        <v>81903</v>
      </c>
      <c r="N217" s="309">
        <v>257684903.58144999</v>
      </c>
      <c r="O217" s="309">
        <v>115576995.75580001</v>
      </c>
      <c r="P217" s="309">
        <v>142107907.69942001</v>
      </c>
      <c r="Q217" s="303"/>
    </row>
    <row r="218" spans="1:17" s="304" customFormat="1" x14ac:dyDescent="0.25">
      <c r="A218" s="300">
        <v>211</v>
      </c>
      <c r="B218" s="300">
        <v>809011444</v>
      </c>
      <c r="C218" s="300" t="s">
        <v>1041</v>
      </c>
      <c r="D218" s="300" t="s">
        <v>758</v>
      </c>
      <c r="E218" s="300" t="s">
        <v>759</v>
      </c>
      <c r="F218" s="301" t="s">
        <v>766</v>
      </c>
      <c r="G218" s="302">
        <v>473711882.60799998</v>
      </c>
      <c r="H218" s="302">
        <v>7071641.2649999997</v>
      </c>
      <c r="I218" s="302">
        <v>742768673.26699996</v>
      </c>
      <c r="J218" s="302">
        <v>456568060.82700002</v>
      </c>
      <c r="K218" s="302">
        <v>286200612.44</v>
      </c>
      <c r="L218" s="302">
        <v>522833712.49900001</v>
      </c>
      <c r="M218" s="302">
        <v>5911108.79</v>
      </c>
      <c r="N218" s="302">
        <v>741743059.35500002</v>
      </c>
      <c r="O218" s="302">
        <v>463309316.12199998</v>
      </c>
      <c r="P218" s="302">
        <v>278433743.23299998</v>
      </c>
      <c r="Q218" s="303"/>
    </row>
    <row r="219" spans="1:17" s="304" customFormat="1" x14ac:dyDescent="0.25">
      <c r="A219" s="300">
        <v>212</v>
      </c>
      <c r="B219" s="300">
        <v>899999044</v>
      </c>
      <c r="C219" s="300" t="s">
        <v>1042</v>
      </c>
      <c r="D219" s="300" t="s">
        <v>758</v>
      </c>
      <c r="E219" s="300" t="s">
        <v>759</v>
      </c>
      <c r="F219" s="301" t="s">
        <v>779</v>
      </c>
      <c r="G219" s="315">
        <v>473629683</v>
      </c>
      <c r="H219" s="315">
        <v>34635470</v>
      </c>
      <c r="I219" s="315">
        <v>835914671</v>
      </c>
      <c r="J219" s="315">
        <v>354535004</v>
      </c>
      <c r="K219" s="315">
        <v>481379667</v>
      </c>
      <c r="L219" s="302">
        <v>403307786</v>
      </c>
      <c r="M219" s="302">
        <v>29088583</v>
      </c>
      <c r="N219" s="302">
        <v>783380221</v>
      </c>
      <c r="O219" s="302">
        <v>336636024</v>
      </c>
      <c r="P219" s="302">
        <v>446744197</v>
      </c>
      <c r="Q219" s="303"/>
    </row>
    <row r="220" spans="1:17" s="304" customFormat="1" x14ac:dyDescent="0.25">
      <c r="A220" s="300">
        <v>213</v>
      </c>
      <c r="B220" s="300">
        <v>830140108</v>
      </c>
      <c r="C220" s="300" t="s">
        <v>1043</v>
      </c>
      <c r="D220" s="300" t="s">
        <v>758</v>
      </c>
      <c r="E220" s="300" t="s">
        <v>781</v>
      </c>
      <c r="F220" s="301" t="s">
        <v>766</v>
      </c>
      <c r="G220" s="302">
        <v>470081943</v>
      </c>
      <c r="H220" s="302">
        <v>6502405</v>
      </c>
      <c r="I220" s="302">
        <v>76765274</v>
      </c>
      <c r="J220" s="302">
        <v>44536490</v>
      </c>
      <c r="K220" s="302">
        <v>32228784</v>
      </c>
      <c r="L220" s="302">
        <v>393978632</v>
      </c>
      <c r="M220" s="302">
        <v>8075234</v>
      </c>
      <c r="N220" s="302">
        <v>70836135</v>
      </c>
      <c r="O220" s="302">
        <v>45125662</v>
      </c>
      <c r="P220" s="302">
        <v>25710473</v>
      </c>
      <c r="Q220" s="303"/>
    </row>
    <row r="221" spans="1:17" s="304" customFormat="1" x14ac:dyDescent="0.25">
      <c r="A221" s="300">
        <v>214</v>
      </c>
      <c r="B221" s="305">
        <v>805009741</v>
      </c>
      <c r="C221" s="306" t="s">
        <v>1044</v>
      </c>
      <c r="D221" s="300" t="s">
        <v>808</v>
      </c>
      <c r="E221" s="300" t="s">
        <v>759</v>
      </c>
      <c r="F221" s="300" t="s">
        <v>766</v>
      </c>
      <c r="G221" s="302">
        <v>467461083</v>
      </c>
      <c r="H221" s="302">
        <v>-11625241</v>
      </c>
      <c r="I221" s="302">
        <v>233465535</v>
      </c>
      <c r="J221" s="302">
        <v>177631422</v>
      </c>
      <c r="K221" s="302">
        <v>55834113</v>
      </c>
      <c r="L221" s="309">
        <v>439021751</v>
      </c>
      <c r="M221" s="309">
        <v>1798938</v>
      </c>
      <c r="N221" s="302">
        <v>223845288</v>
      </c>
      <c r="O221" s="302">
        <v>180285450</v>
      </c>
      <c r="P221" s="302">
        <v>43559838</v>
      </c>
      <c r="Q221" s="303"/>
    </row>
    <row r="222" spans="1:17" s="304" customFormat="1" x14ac:dyDescent="0.25">
      <c r="A222" s="300">
        <v>215</v>
      </c>
      <c r="B222" s="300">
        <v>805003626</v>
      </c>
      <c r="C222" s="300" t="s">
        <v>1045</v>
      </c>
      <c r="D222" s="300" t="s">
        <v>808</v>
      </c>
      <c r="E222" s="300" t="s">
        <v>933</v>
      </c>
      <c r="F222" s="301" t="s">
        <v>779</v>
      </c>
      <c r="G222" s="302">
        <v>466618260</v>
      </c>
      <c r="H222" s="302">
        <v>14996400</v>
      </c>
      <c r="I222" s="302">
        <v>279469281</v>
      </c>
      <c r="J222" s="302">
        <v>185235530</v>
      </c>
      <c r="K222" s="302">
        <v>94233751</v>
      </c>
      <c r="L222" s="302">
        <v>378186187</v>
      </c>
      <c r="M222" s="302">
        <v>13960200</v>
      </c>
      <c r="N222" s="302">
        <v>221147622</v>
      </c>
      <c r="O222" s="302">
        <v>141910270</v>
      </c>
      <c r="P222" s="302">
        <v>79237352</v>
      </c>
      <c r="Q222" s="303"/>
    </row>
    <row r="223" spans="1:17" s="304" customFormat="1" x14ac:dyDescent="0.25">
      <c r="A223" s="300">
        <v>216</v>
      </c>
      <c r="B223" s="300">
        <v>890301463</v>
      </c>
      <c r="C223" s="300" t="s">
        <v>1046</v>
      </c>
      <c r="D223" s="300" t="s">
        <v>808</v>
      </c>
      <c r="E223" s="300" t="s">
        <v>995</v>
      </c>
      <c r="F223" s="301" t="s">
        <v>779</v>
      </c>
      <c r="G223" s="302">
        <v>462410551</v>
      </c>
      <c r="H223" s="302">
        <v>42704991</v>
      </c>
      <c r="I223" s="302">
        <v>296502011</v>
      </c>
      <c r="J223" s="302">
        <v>174065673</v>
      </c>
      <c r="K223" s="302">
        <v>122436338</v>
      </c>
      <c r="L223" s="302">
        <v>331934660</v>
      </c>
      <c r="M223" s="302">
        <v>-15186655</v>
      </c>
      <c r="N223" s="302">
        <v>211996153</v>
      </c>
      <c r="O223" s="302">
        <v>134998368</v>
      </c>
      <c r="P223" s="302">
        <v>76997785</v>
      </c>
      <c r="Q223" s="303"/>
    </row>
    <row r="224" spans="1:17" s="304" customFormat="1" x14ac:dyDescent="0.25">
      <c r="A224" s="300">
        <v>217</v>
      </c>
      <c r="B224" s="300">
        <v>891300241</v>
      </c>
      <c r="C224" s="300" t="s">
        <v>1047</v>
      </c>
      <c r="D224" s="300" t="s">
        <v>808</v>
      </c>
      <c r="E224" s="300" t="s">
        <v>951</v>
      </c>
      <c r="F224" s="301" t="s">
        <v>779</v>
      </c>
      <c r="G224" s="302">
        <v>461106473</v>
      </c>
      <c r="H224" s="302">
        <v>1391591</v>
      </c>
      <c r="I224" s="302">
        <v>923460917</v>
      </c>
      <c r="J224" s="302">
        <v>346234744</v>
      </c>
      <c r="K224" s="302">
        <v>577226173</v>
      </c>
      <c r="L224" s="302">
        <v>482462497</v>
      </c>
      <c r="M224" s="302">
        <v>26122034</v>
      </c>
      <c r="N224" s="302">
        <v>863396667</v>
      </c>
      <c r="O224" s="302">
        <v>242950920</v>
      </c>
      <c r="P224" s="302">
        <v>620445747</v>
      </c>
      <c r="Q224" s="303"/>
    </row>
    <row r="225" spans="1:17" s="304" customFormat="1" x14ac:dyDescent="0.25">
      <c r="A225" s="300">
        <v>218</v>
      </c>
      <c r="B225" s="300">
        <v>860002538</v>
      </c>
      <c r="C225" s="300" t="s">
        <v>1048</v>
      </c>
      <c r="D225" s="300" t="s">
        <v>758</v>
      </c>
      <c r="E225" s="300" t="s">
        <v>863</v>
      </c>
      <c r="F225" s="301" t="s">
        <v>764</v>
      </c>
      <c r="G225" s="302">
        <v>458136593</v>
      </c>
      <c r="H225" s="302">
        <v>-6135720</v>
      </c>
      <c r="I225" s="302">
        <v>270494619</v>
      </c>
      <c r="J225" s="302">
        <v>151405178</v>
      </c>
      <c r="K225" s="302">
        <v>119089441</v>
      </c>
      <c r="L225" s="302">
        <v>413041421</v>
      </c>
      <c r="M225" s="302">
        <v>13200767</v>
      </c>
      <c r="N225" s="302">
        <v>235951760</v>
      </c>
      <c r="O225" s="302">
        <v>109631833</v>
      </c>
      <c r="P225" s="302">
        <v>126319927</v>
      </c>
      <c r="Q225" s="303"/>
    </row>
    <row r="226" spans="1:17" s="304" customFormat="1" x14ac:dyDescent="0.25">
      <c r="A226" s="300">
        <v>219</v>
      </c>
      <c r="B226" s="300">
        <v>900118612</v>
      </c>
      <c r="C226" s="300" t="s">
        <v>1049</v>
      </c>
      <c r="D226" s="300" t="s">
        <v>763</v>
      </c>
      <c r="E226" s="300" t="s">
        <v>1050</v>
      </c>
      <c r="F226" s="301" t="s">
        <v>760</v>
      </c>
      <c r="G226" s="302">
        <v>454778882</v>
      </c>
      <c r="H226" s="302">
        <v>1377861</v>
      </c>
      <c r="I226" s="302">
        <v>29002593</v>
      </c>
      <c r="J226" s="302">
        <v>22416922</v>
      </c>
      <c r="K226" s="302">
        <v>6585671</v>
      </c>
      <c r="L226" s="302">
        <v>496005023</v>
      </c>
      <c r="M226" s="302">
        <v>1896451</v>
      </c>
      <c r="N226" s="302">
        <v>24660759</v>
      </c>
      <c r="O226" s="302">
        <v>19452950</v>
      </c>
      <c r="P226" s="302">
        <v>5207809</v>
      </c>
      <c r="Q226" s="303"/>
    </row>
    <row r="227" spans="1:17" s="304" customFormat="1" x14ac:dyDescent="0.25">
      <c r="A227" s="300">
        <v>220</v>
      </c>
      <c r="B227" s="300">
        <v>890301960</v>
      </c>
      <c r="C227" s="300" t="s">
        <v>1051</v>
      </c>
      <c r="D227" s="300" t="s">
        <v>808</v>
      </c>
      <c r="E227" s="300" t="s">
        <v>1052</v>
      </c>
      <c r="F227" s="300" t="s">
        <v>779</v>
      </c>
      <c r="G227" s="302">
        <v>454199789</v>
      </c>
      <c r="H227" s="302">
        <v>-46403124</v>
      </c>
      <c r="I227" s="302">
        <v>1083273199</v>
      </c>
      <c r="J227" s="302">
        <v>266689535</v>
      </c>
      <c r="K227" s="302">
        <v>816583664</v>
      </c>
      <c r="L227" s="302">
        <v>486287734</v>
      </c>
      <c r="M227" s="302">
        <v>-23308131</v>
      </c>
      <c r="N227" s="302">
        <v>1112788898</v>
      </c>
      <c r="O227" s="302">
        <v>265376952</v>
      </c>
      <c r="P227" s="302">
        <v>847411946</v>
      </c>
      <c r="Q227" s="303"/>
    </row>
    <row r="228" spans="1:17" s="304" customFormat="1" x14ac:dyDescent="0.25">
      <c r="A228" s="300">
        <v>221</v>
      </c>
      <c r="B228" s="300">
        <v>891102723</v>
      </c>
      <c r="C228" s="300" t="s">
        <v>1053</v>
      </c>
      <c r="D228" s="300" t="s">
        <v>758</v>
      </c>
      <c r="E228" s="300" t="s">
        <v>846</v>
      </c>
      <c r="F228" s="301" t="s">
        <v>760</v>
      </c>
      <c r="G228" s="302">
        <v>453576258</v>
      </c>
      <c r="H228" s="302">
        <v>3598457</v>
      </c>
      <c r="I228" s="302">
        <v>248148954</v>
      </c>
      <c r="J228" s="302">
        <v>183943015</v>
      </c>
      <c r="K228" s="302">
        <v>64205939</v>
      </c>
      <c r="L228" s="302">
        <v>363788871</v>
      </c>
      <c r="M228" s="302">
        <v>9310179</v>
      </c>
      <c r="N228" s="302">
        <v>203294245</v>
      </c>
      <c r="O228" s="302">
        <v>142636722</v>
      </c>
      <c r="P228" s="302">
        <v>60657523</v>
      </c>
      <c r="Q228" s="303"/>
    </row>
    <row r="229" spans="1:17" s="304" customFormat="1" x14ac:dyDescent="0.25">
      <c r="A229" s="300">
        <v>222</v>
      </c>
      <c r="B229" s="300">
        <v>900319312</v>
      </c>
      <c r="C229" s="300" t="s">
        <v>1054</v>
      </c>
      <c r="D229" s="300" t="s">
        <v>763</v>
      </c>
      <c r="E229" s="300" t="s">
        <v>1055</v>
      </c>
      <c r="F229" s="301" t="s">
        <v>766</v>
      </c>
      <c r="G229" s="302">
        <v>452100011</v>
      </c>
      <c r="H229" s="302">
        <v>-573897</v>
      </c>
      <c r="I229" s="302">
        <v>22494276</v>
      </c>
      <c r="J229" s="302">
        <v>10977</v>
      </c>
      <c r="K229" s="302">
        <v>22483299</v>
      </c>
      <c r="L229" s="302">
        <v>543061021</v>
      </c>
      <c r="M229" s="302">
        <v>1345154</v>
      </c>
      <c r="N229" s="302">
        <v>23169583</v>
      </c>
      <c r="O229" s="302">
        <v>121413</v>
      </c>
      <c r="P229" s="302">
        <v>23048170</v>
      </c>
      <c r="Q229" s="303"/>
    </row>
    <row r="230" spans="1:17" s="304" customFormat="1" x14ac:dyDescent="0.25">
      <c r="A230" s="300">
        <v>223</v>
      </c>
      <c r="B230" s="300">
        <v>860000006</v>
      </c>
      <c r="C230" s="300" t="s">
        <v>1056</v>
      </c>
      <c r="D230" s="300" t="s">
        <v>758</v>
      </c>
      <c r="E230" s="300" t="s">
        <v>1057</v>
      </c>
      <c r="F230" s="301" t="s">
        <v>779</v>
      </c>
      <c r="G230" s="302">
        <v>448264711</v>
      </c>
      <c r="H230" s="302">
        <v>8580165</v>
      </c>
      <c r="I230" s="302">
        <v>403763384</v>
      </c>
      <c r="J230" s="302">
        <v>206165258</v>
      </c>
      <c r="K230" s="302">
        <v>197598126</v>
      </c>
      <c r="L230" s="302">
        <v>445633473</v>
      </c>
      <c r="M230" s="302">
        <v>4787893</v>
      </c>
      <c r="N230" s="302">
        <v>344535657</v>
      </c>
      <c r="O230" s="302">
        <v>148650301</v>
      </c>
      <c r="P230" s="302">
        <v>195885356</v>
      </c>
      <c r="Q230" s="303"/>
    </row>
    <row r="231" spans="1:17" s="304" customFormat="1" x14ac:dyDescent="0.25">
      <c r="A231" s="300">
        <v>224</v>
      </c>
      <c r="B231" s="300">
        <v>891304762</v>
      </c>
      <c r="C231" s="300" t="s">
        <v>1058</v>
      </c>
      <c r="D231" s="300" t="s">
        <v>808</v>
      </c>
      <c r="E231" s="300" t="s">
        <v>1059</v>
      </c>
      <c r="F231" s="301" t="s">
        <v>779</v>
      </c>
      <c r="G231" s="302">
        <v>444455356</v>
      </c>
      <c r="H231" s="302">
        <v>8326212</v>
      </c>
      <c r="I231" s="302">
        <v>117679932</v>
      </c>
      <c r="J231" s="302">
        <v>43959070</v>
      </c>
      <c r="K231" s="302">
        <v>73720862</v>
      </c>
      <c r="L231" s="302">
        <v>395774282</v>
      </c>
      <c r="M231" s="302">
        <v>9025747</v>
      </c>
      <c r="N231" s="302">
        <v>124326390</v>
      </c>
      <c r="O231" s="302">
        <v>56040083</v>
      </c>
      <c r="P231" s="302">
        <v>68286307</v>
      </c>
      <c r="Q231" s="303"/>
    </row>
    <row r="232" spans="1:17" s="304" customFormat="1" x14ac:dyDescent="0.25">
      <c r="A232" s="300">
        <v>225</v>
      </c>
      <c r="B232" s="300">
        <v>860002134</v>
      </c>
      <c r="C232" s="300" t="s">
        <v>1060</v>
      </c>
      <c r="D232" s="300" t="s">
        <v>758</v>
      </c>
      <c r="E232" s="300" t="s">
        <v>776</v>
      </c>
      <c r="F232" s="301" t="s">
        <v>764</v>
      </c>
      <c r="G232" s="302">
        <v>444427176</v>
      </c>
      <c r="H232" s="302">
        <v>21691170</v>
      </c>
      <c r="I232" s="302">
        <v>279127122</v>
      </c>
      <c r="J232" s="302">
        <v>67349541</v>
      </c>
      <c r="K232" s="302">
        <v>211777581</v>
      </c>
      <c r="L232" s="302">
        <v>505858980</v>
      </c>
      <c r="M232" s="302">
        <v>40090128</v>
      </c>
      <c r="N232" s="302">
        <v>342246580</v>
      </c>
      <c r="O232" s="302">
        <v>110586660</v>
      </c>
      <c r="P232" s="302">
        <v>231659920</v>
      </c>
      <c r="Q232" s="303"/>
    </row>
    <row r="233" spans="1:17" s="304" customFormat="1" x14ac:dyDescent="0.25">
      <c r="A233" s="300">
        <v>226</v>
      </c>
      <c r="B233" s="300">
        <v>860026753</v>
      </c>
      <c r="C233" s="300" t="s">
        <v>1061</v>
      </c>
      <c r="D233" s="300" t="s">
        <v>758</v>
      </c>
      <c r="E233" s="300" t="s">
        <v>1062</v>
      </c>
      <c r="F233" s="301" t="s">
        <v>779</v>
      </c>
      <c r="G233" s="302">
        <v>441585098</v>
      </c>
      <c r="H233" s="302">
        <v>-1753720</v>
      </c>
      <c r="I233" s="302">
        <v>544592349</v>
      </c>
      <c r="J233" s="302">
        <v>255837631</v>
      </c>
      <c r="K233" s="302">
        <v>288754718</v>
      </c>
      <c r="L233" s="302">
        <v>492392323</v>
      </c>
      <c r="M233" s="302">
        <v>24910563</v>
      </c>
      <c r="N233" s="302">
        <v>557908036</v>
      </c>
      <c r="O233" s="302">
        <v>254469848</v>
      </c>
      <c r="P233" s="302">
        <v>303438188</v>
      </c>
      <c r="Q233" s="303"/>
    </row>
    <row r="234" spans="1:17" s="304" customFormat="1" x14ac:dyDescent="0.25">
      <c r="A234" s="300">
        <v>227</v>
      </c>
      <c r="B234" s="300">
        <v>890106527</v>
      </c>
      <c r="C234" s="300" t="s">
        <v>1063</v>
      </c>
      <c r="D234" s="300" t="s">
        <v>768</v>
      </c>
      <c r="E234" s="300" t="s">
        <v>995</v>
      </c>
      <c r="F234" s="301" t="s">
        <v>779</v>
      </c>
      <c r="G234" s="302">
        <v>440018639</v>
      </c>
      <c r="H234" s="302">
        <v>6929506</v>
      </c>
      <c r="I234" s="302">
        <v>675706563</v>
      </c>
      <c r="J234" s="302">
        <v>515474835</v>
      </c>
      <c r="K234" s="302">
        <v>160231728</v>
      </c>
      <c r="L234" s="302">
        <v>433596570</v>
      </c>
      <c r="M234" s="302">
        <v>8397757</v>
      </c>
      <c r="N234" s="302">
        <v>504213500</v>
      </c>
      <c r="O234" s="302">
        <v>342125436</v>
      </c>
      <c r="P234" s="302">
        <v>162088064</v>
      </c>
      <c r="Q234" s="303"/>
    </row>
    <row r="235" spans="1:17" s="304" customFormat="1" x14ac:dyDescent="0.25">
      <c r="A235" s="300">
        <v>228</v>
      </c>
      <c r="B235" s="300">
        <v>800137960</v>
      </c>
      <c r="C235" s="300" t="s">
        <v>1064</v>
      </c>
      <c r="D235" s="300" t="s">
        <v>808</v>
      </c>
      <c r="E235" s="300" t="s">
        <v>1065</v>
      </c>
      <c r="F235" s="301" t="s">
        <v>766</v>
      </c>
      <c r="G235" s="302">
        <v>437631807</v>
      </c>
      <c r="H235" s="302">
        <v>2645484</v>
      </c>
      <c r="I235" s="302">
        <v>64109370</v>
      </c>
      <c r="J235" s="302">
        <v>46222230</v>
      </c>
      <c r="K235" s="302">
        <v>17887140</v>
      </c>
      <c r="L235" s="302">
        <v>457941484</v>
      </c>
      <c r="M235" s="302">
        <v>5768040</v>
      </c>
      <c r="N235" s="302">
        <v>76817379</v>
      </c>
      <c r="O235" s="302">
        <v>61544335</v>
      </c>
      <c r="P235" s="302">
        <v>15273044</v>
      </c>
      <c r="Q235" s="303"/>
    </row>
    <row r="236" spans="1:17" s="304" customFormat="1" x14ac:dyDescent="0.25">
      <c r="A236" s="300">
        <v>229</v>
      </c>
      <c r="B236" s="300">
        <v>890900308</v>
      </c>
      <c r="C236" s="300" t="s">
        <v>1066</v>
      </c>
      <c r="D236" s="300" t="s">
        <v>763</v>
      </c>
      <c r="E236" s="300" t="s">
        <v>759</v>
      </c>
      <c r="F236" s="301" t="s">
        <v>779</v>
      </c>
      <c r="G236" s="302">
        <v>436217890</v>
      </c>
      <c r="H236" s="302">
        <v>-126860540</v>
      </c>
      <c r="I236" s="302">
        <v>969673300</v>
      </c>
      <c r="J236" s="302">
        <v>247454240</v>
      </c>
      <c r="K236" s="302">
        <v>722219060</v>
      </c>
      <c r="L236" s="302">
        <v>545538969</v>
      </c>
      <c r="M236" s="302">
        <v>-93373252</v>
      </c>
      <c r="N236" s="302">
        <v>1106638220</v>
      </c>
      <c r="O236" s="302">
        <v>324531962</v>
      </c>
      <c r="P236" s="302">
        <v>782106262</v>
      </c>
      <c r="Q236" s="303"/>
    </row>
    <row r="237" spans="1:17" s="304" customFormat="1" x14ac:dyDescent="0.25">
      <c r="A237" s="300">
        <v>230</v>
      </c>
      <c r="B237" s="308">
        <v>890303093</v>
      </c>
      <c r="C237" s="300" t="s">
        <v>1067</v>
      </c>
      <c r="D237" s="300" t="s">
        <v>808</v>
      </c>
      <c r="E237" s="300" t="s">
        <v>759</v>
      </c>
      <c r="F237" s="301" t="s">
        <v>766</v>
      </c>
      <c r="G237" s="302">
        <v>432794605</v>
      </c>
      <c r="H237" s="302">
        <v>8020953</v>
      </c>
      <c r="I237" s="302">
        <v>430140919</v>
      </c>
      <c r="J237" s="302">
        <v>202036468</v>
      </c>
      <c r="K237" s="302">
        <v>228104451</v>
      </c>
      <c r="L237" s="302">
        <v>426643807</v>
      </c>
      <c r="M237" s="302">
        <v>4522634</v>
      </c>
      <c r="N237" s="302">
        <v>407640123</v>
      </c>
      <c r="O237" s="302">
        <v>188145170</v>
      </c>
      <c r="P237" s="302">
        <v>219494953</v>
      </c>
      <c r="Q237" s="303"/>
    </row>
    <row r="238" spans="1:17" s="304" customFormat="1" x14ac:dyDescent="0.25">
      <c r="A238" s="300">
        <v>231</v>
      </c>
      <c r="B238" s="300">
        <v>890900043</v>
      </c>
      <c r="C238" s="300" t="s">
        <v>1068</v>
      </c>
      <c r="D238" s="300" t="s">
        <v>763</v>
      </c>
      <c r="E238" s="300" t="s">
        <v>1069</v>
      </c>
      <c r="F238" s="301" t="s">
        <v>779</v>
      </c>
      <c r="G238" s="302">
        <v>432082916</v>
      </c>
      <c r="H238" s="302">
        <v>36942240</v>
      </c>
      <c r="I238" s="302">
        <v>471945998</v>
      </c>
      <c r="J238" s="302">
        <v>313149324</v>
      </c>
      <c r="K238" s="302">
        <v>158796674</v>
      </c>
      <c r="L238" s="302">
        <v>407117317</v>
      </c>
      <c r="M238" s="302">
        <v>34838321</v>
      </c>
      <c r="N238" s="302">
        <v>452781738</v>
      </c>
      <c r="O238" s="302">
        <v>328879117</v>
      </c>
      <c r="P238" s="302">
        <v>123902621</v>
      </c>
      <c r="Q238" s="303"/>
    </row>
    <row r="239" spans="1:17" s="304" customFormat="1" x14ac:dyDescent="0.25">
      <c r="A239" s="300">
        <v>232</v>
      </c>
      <c r="B239" s="300">
        <v>800087795</v>
      </c>
      <c r="C239" s="300" t="s">
        <v>1070</v>
      </c>
      <c r="D239" s="300" t="s">
        <v>758</v>
      </c>
      <c r="E239" s="300" t="s">
        <v>873</v>
      </c>
      <c r="F239" s="301" t="s">
        <v>779</v>
      </c>
      <c r="G239" s="302">
        <v>428510870</v>
      </c>
      <c r="H239" s="302">
        <v>42164108</v>
      </c>
      <c r="I239" s="302">
        <v>263820551</v>
      </c>
      <c r="J239" s="302">
        <v>140215292</v>
      </c>
      <c r="K239" s="302">
        <v>123605259</v>
      </c>
      <c r="L239" s="302">
        <v>391986947</v>
      </c>
      <c r="M239" s="302">
        <v>6660444</v>
      </c>
      <c r="N239" s="302">
        <v>241282860</v>
      </c>
      <c r="O239" s="302">
        <v>152446040</v>
      </c>
      <c r="P239" s="302">
        <v>88836820</v>
      </c>
      <c r="Q239" s="303"/>
    </row>
    <row r="240" spans="1:17" s="304" customFormat="1" x14ac:dyDescent="0.25">
      <c r="A240" s="300">
        <v>233</v>
      </c>
      <c r="B240" s="300">
        <v>860007955</v>
      </c>
      <c r="C240" s="300" t="s">
        <v>1071</v>
      </c>
      <c r="D240" s="300" t="s">
        <v>758</v>
      </c>
      <c r="E240" s="300" t="s">
        <v>868</v>
      </c>
      <c r="F240" s="301" t="s">
        <v>779</v>
      </c>
      <c r="G240" s="302">
        <v>428123152</v>
      </c>
      <c r="H240" s="302">
        <v>28593645</v>
      </c>
      <c r="I240" s="302">
        <v>456454963</v>
      </c>
      <c r="J240" s="302">
        <v>207795595</v>
      </c>
      <c r="K240" s="302">
        <v>248659368</v>
      </c>
      <c r="L240" s="302">
        <v>428948342</v>
      </c>
      <c r="M240" s="302">
        <v>30097661</v>
      </c>
      <c r="N240" s="302">
        <v>406695138</v>
      </c>
      <c r="O240" s="302">
        <v>196248522</v>
      </c>
      <c r="P240" s="302">
        <v>210446616</v>
      </c>
      <c r="Q240" s="303"/>
    </row>
    <row r="241" spans="1:17" s="304" customFormat="1" x14ac:dyDescent="0.25">
      <c r="A241" s="300">
        <v>234</v>
      </c>
      <c r="B241" s="300">
        <v>900342297</v>
      </c>
      <c r="C241" s="300" t="s">
        <v>1072</v>
      </c>
      <c r="D241" s="300" t="s">
        <v>758</v>
      </c>
      <c r="E241" s="300" t="s">
        <v>1073</v>
      </c>
      <c r="F241" s="301" t="s">
        <v>779</v>
      </c>
      <c r="G241" s="302">
        <v>422836845</v>
      </c>
      <c r="H241" s="302">
        <v>29980433</v>
      </c>
      <c r="I241" s="302">
        <v>205862903</v>
      </c>
      <c r="J241" s="302">
        <v>137785367</v>
      </c>
      <c r="K241" s="302">
        <v>68077536</v>
      </c>
      <c r="L241" s="302">
        <v>363304842</v>
      </c>
      <c r="M241" s="302">
        <v>23095322</v>
      </c>
      <c r="N241" s="302">
        <v>201197236</v>
      </c>
      <c r="O241" s="302">
        <v>158100134</v>
      </c>
      <c r="P241" s="302">
        <v>43097102</v>
      </c>
      <c r="Q241" s="303"/>
    </row>
    <row r="242" spans="1:17" s="304" customFormat="1" x14ac:dyDescent="0.25">
      <c r="A242" s="300">
        <v>235</v>
      </c>
      <c r="B242" s="300">
        <v>830004993</v>
      </c>
      <c r="C242" s="300" t="s">
        <v>1074</v>
      </c>
      <c r="D242" s="300" t="s">
        <v>758</v>
      </c>
      <c r="E242" s="300" t="s">
        <v>880</v>
      </c>
      <c r="F242" s="301" t="s">
        <v>764</v>
      </c>
      <c r="G242" s="302">
        <v>422170534</v>
      </c>
      <c r="H242" s="302">
        <v>18421087</v>
      </c>
      <c r="I242" s="302">
        <v>223706217</v>
      </c>
      <c r="J242" s="302">
        <v>101294758</v>
      </c>
      <c r="K242" s="302">
        <v>122411459</v>
      </c>
      <c r="L242" s="302">
        <v>428358369</v>
      </c>
      <c r="M242" s="302">
        <v>24863807</v>
      </c>
      <c r="N242" s="302">
        <v>214529754</v>
      </c>
      <c r="O242" s="302">
        <v>110279321</v>
      </c>
      <c r="P242" s="302">
        <v>104250433</v>
      </c>
      <c r="Q242" s="303"/>
    </row>
    <row r="243" spans="1:17" s="304" customFormat="1" x14ac:dyDescent="0.25">
      <c r="A243" s="300">
        <v>236</v>
      </c>
      <c r="B243" s="300">
        <v>860038515</v>
      </c>
      <c r="C243" s="300" t="s">
        <v>1075</v>
      </c>
      <c r="D243" s="300" t="s">
        <v>758</v>
      </c>
      <c r="E243" s="300" t="s">
        <v>801</v>
      </c>
      <c r="F243" s="301" t="s">
        <v>779</v>
      </c>
      <c r="G243" s="302">
        <v>421163134</v>
      </c>
      <c r="H243" s="302">
        <v>-79383689</v>
      </c>
      <c r="I243" s="302">
        <v>371291054</v>
      </c>
      <c r="J243" s="302">
        <v>93807046</v>
      </c>
      <c r="K243" s="302">
        <v>277484008</v>
      </c>
      <c r="L243" s="302">
        <v>475270721</v>
      </c>
      <c r="M243" s="302">
        <v>11907821</v>
      </c>
      <c r="N243" s="302">
        <v>452976425</v>
      </c>
      <c r="O243" s="302">
        <v>85704751</v>
      </c>
      <c r="P243" s="302">
        <v>367271674</v>
      </c>
      <c r="Q243" s="303"/>
    </row>
    <row r="244" spans="1:17" s="304" customFormat="1" x14ac:dyDescent="0.25">
      <c r="A244" s="300">
        <v>237</v>
      </c>
      <c r="B244" s="300">
        <v>900261429</v>
      </c>
      <c r="C244" s="300" t="s">
        <v>1076</v>
      </c>
      <c r="D244" s="300" t="s">
        <v>758</v>
      </c>
      <c r="E244" s="300" t="s">
        <v>814</v>
      </c>
      <c r="F244" s="301" t="s">
        <v>764</v>
      </c>
      <c r="G244" s="302">
        <v>420312198</v>
      </c>
      <c r="H244" s="302">
        <v>-4749756</v>
      </c>
      <c r="I244" s="302">
        <v>171424057</v>
      </c>
      <c r="J244" s="302">
        <v>173166594</v>
      </c>
      <c r="K244" s="302">
        <v>-1742537</v>
      </c>
      <c r="L244" s="302">
        <v>487475407</v>
      </c>
      <c r="M244" s="302">
        <v>-2519085</v>
      </c>
      <c r="N244" s="302">
        <v>144381374</v>
      </c>
      <c r="O244" s="302">
        <v>141374155</v>
      </c>
      <c r="P244" s="302">
        <v>3007219</v>
      </c>
      <c r="Q244" s="303"/>
    </row>
    <row r="245" spans="1:17" s="304" customFormat="1" x14ac:dyDescent="0.25">
      <c r="A245" s="300">
        <v>238</v>
      </c>
      <c r="B245" s="300">
        <v>860005050</v>
      </c>
      <c r="C245" s="300" t="s">
        <v>1077</v>
      </c>
      <c r="D245" s="300" t="s">
        <v>758</v>
      </c>
      <c r="E245" s="300" t="s">
        <v>1078</v>
      </c>
      <c r="F245" s="301" t="s">
        <v>779</v>
      </c>
      <c r="G245" s="302">
        <v>417832143</v>
      </c>
      <c r="H245" s="302">
        <v>22691874</v>
      </c>
      <c r="I245" s="302">
        <v>515347373</v>
      </c>
      <c r="J245" s="302">
        <v>120163464</v>
      </c>
      <c r="K245" s="302">
        <v>395183909</v>
      </c>
      <c r="L245" s="302">
        <v>395445708</v>
      </c>
      <c r="M245" s="302">
        <v>13471975</v>
      </c>
      <c r="N245" s="302">
        <v>474759697</v>
      </c>
      <c r="O245" s="302">
        <v>109965702</v>
      </c>
      <c r="P245" s="302">
        <v>364793995</v>
      </c>
      <c r="Q245" s="303"/>
    </row>
    <row r="246" spans="1:17" s="304" customFormat="1" x14ac:dyDescent="0.25">
      <c r="A246" s="300">
        <v>239</v>
      </c>
      <c r="B246" s="305">
        <v>800106339</v>
      </c>
      <c r="C246" s="306" t="s">
        <v>1079</v>
      </c>
      <c r="D246" s="300" t="s">
        <v>758</v>
      </c>
      <c r="E246" s="300" t="s">
        <v>759</v>
      </c>
      <c r="F246" s="300" t="s">
        <v>766</v>
      </c>
      <c r="G246" s="302">
        <v>416188666</v>
      </c>
      <c r="H246" s="302">
        <v>27011557</v>
      </c>
      <c r="I246" s="302">
        <v>201337667</v>
      </c>
      <c r="J246" s="302">
        <v>126735348</v>
      </c>
      <c r="K246" s="302">
        <v>74602319</v>
      </c>
      <c r="L246" s="309">
        <v>361967872</v>
      </c>
      <c r="M246" s="309">
        <v>20075752</v>
      </c>
      <c r="N246" s="302">
        <v>158352372</v>
      </c>
      <c r="O246" s="302">
        <v>96385931</v>
      </c>
      <c r="P246" s="302">
        <v>61966441</v>
      </c>
      <c r="Q246" s="303"/>
    </row>
    <row r="247" spans="1:17" s="304" customFormat="1" x14ac:dyDescent="0.25">
      <c r="A247" s="300">
        <v>240</v>
      </c>
      <c r="B247" s="300">
        <v>860032550</v>
      </c>
      <c r="C247" s="300" t="s">
        <v>1080</v>
      </c>
      <c r="D247" s="300" t="s">
        <v>758</v>
      </c>
      <c r="E247" s="300" t="s">
        <v>1081</v>
      </c>
      <c r="F247" s="301" t="s">
        <v>779</v>
      </c>
      <c r="G247" s="302">
        <v>414759535</v>
      </c>
      <c r="H247" s="302">
        <v>1647687</v>
      </c>
      <c r="I247" s="302">
        <v>555877046</v>
      </c>
      <c r="J247" s="302">
        <v>186144361</v>
      </c>
      <c r="K247" s="302">
        <v>369732685</v>
      </c>
      <c r="L247" s="302">
        <v>400439555</v>
      </c>
      <c r="M247" s="302">
        <v>1868650</v>
      </c>
      <c r="N247" s="302">
        <v>431919004</v>
      </c>
      <c r="O247" s="302">
        <v>181173548</v>
      </c>
      <c r="P247" s="302">
        <v>250745456</v>
      </c>
      <c r="Q247" s="303"/>
    </row>
    <row r="248" spans="1:17" s="304" customFormat="1" x14ac:dyDescent="0.25">
      <c r="A248" s="300">
        <v>241</v>
      </c>
      <c r="B248" s="300">
        <v>860000996</v>
      </c>
      <c r="C248" s="300" t="s">
        <v>1082</v>
      </c>
      <c r="D248" s="300" t="s">
        <v>758</v>
      </c>
      <c r="E248" s="300" t="s">
        <v>1028</v>
      </c>
      <c r="F248" s="301" t="s">
        <v>764</v>
      </c>
      <c r="G248" s="302">
        <v>407491808</v>
      </c>
      <c r="H248" s="302">
        <v>756217</v>
      </c>
      <c r="I248" s="302">
        <v>203459306</v>
      </c>
      <c r="J248" s="302">
        <v>130552651</v>
      </c>
      <c r="K248" s="302">
        <v>72906655</v>
      </c>
      <c r="L248" s="302">
        <v>331110196</v>
      </c>
      <c r="M248" s="302">
        <v>433795</v>
      </c>
      <c r="N248" s="302">
        <v>171311775</v>
      </c>
      <c r="O248" s="302">
        <v>100175098</v>
      </c>
      <c r="P248" s="302">
        <v>71136677</v>
      </c>
      <c r="Q248" s="303"/>
    </row>
    <row r="249" spans="1:17" s="304" customFormat="1" x14ac:dyDescent="0.25">
      <c r="A249" s="300">
        <v>242</v>
      </c>
      <c r="B249" s="300">
        <v>830018214</v>
      </c>
      <c r="C249" s="300" t="s">
        <v>1083</v>
      </c>
      <c r="D249" s="300" t="s">
        <v>758</v>
      </c>
      <c r="E249" s="300" t="s">
        <v>1084</v>
      </c>
      <c r="F249" s="301" t="s">
        <v>764</v>
      </c>
      <c r="G249" s="302">
        <v>406903818</v>
      </c>
      <c r="H249" s="302">
        <v>1970581</v>
      </c>
      <c r="I249" s="302">
        <v>167484838</v>
      </c>
      <c r="J249" s="302">
        <v>154225701</v>
      </c>
      <c r="K249" s="302">
        <v>13259137</v>
      </c>
      <c r="L249" s="302">
        <v>329812045</v>
      </c>
      <c r="M249" s="302">
        <v>1122970</v>
      </c>
      <c r="N249" s="302">
        <v>108292510</v>
      </c>
      <c r="O249" s="302">
        <v>97003956</v>
      </c>
      <c r="P249" s="302">
        <v>11288554</v>
      </c>
      <c r="Q249" s="303"/>
    </row>
    <row r="250" spans="1:17" s="304" customFormat="1" x14ac:dyDescent="0.25">
      <c r="A250" s="300">
        <v>243</v>
      </c>
      <c r="B250" s="300">
        <v>860090915</v>
      </c>
      <c r="C250" s="300" t="s">
        <v>1085</v>
      </c>
      <c r="D250" s="300" t="s">
        <v>758</v>
      </c>
      <c r="E250" s="300" t="s">
        <v>1086</v>
      </c>
      <c r="F250" s="301" t="s">
        <v>766</v>
      </c>
      <c r="G250" s="302">
        <v>405526180</v>
      </c>
      <c r="H250" s="302">
        <v>1659632</v>
      </c>
      <c r="I250" s="302">
        <v>65577493</v>
      </c>
      <c r="J250" s="302">
        <v>44455184</v>
      </c>
      <c r="K250" s="302">
        <v>21122309</v>
      </c>
      <c r="L250" s="302">
        <v>390292315</v>
      </c>
      <c r="M250" s="302">
        <v>3987936</v>
      </c>
      <c r="N250" s="302">
        <v>69267396</v>
      </c>
      <c r="O250" s="302">
        <v>49772650</v>
      </c>
      <c r="P250" s="302">
        <v>19494746</v>
      </c>
      <c r="Q250" s="303"/>
    </row>
    <row r="251" spans="1:17" s="304" customFormat="1" x14ac:dyDescent="0.25">
      <c r="A251" s="300">
        <v>244</v>
      </c>
      <c r="B251" s="300">
        <v>890900050</v>
      </c>
      <c r="C251" s="300" t="s">
        <v>1087</v>
      </c>
      <c r="D251" s="300" t="s">
        <v>763</v>
      </c>
      <c r="E251" s="300" t="s">
        <v>759</v>
      </c>
      <c r="F251" s="301" t="s">
        <v>779</v>
      </c>
      <c r="G251" s="302">
        <v>403781270</v>
      </c>
      <c r="H251" s="302">
        <v>379896170</v>
      </c>
      <c r="I251" s="302">
        <v>7507098000</v>
      </c>
      <c r="J251" s="302">
        <v>83553720</v>
      </c>
      <c r="K251" s="302">
        <v>7423544280</v>
      </c>
      <c r="L251" s="302">
        <v>356475556</v>
      </c>
      <c r="M251" s="302">
        <v>345484348</v>
      </c>
      <c r="N251" s="302">
        <v>7497156051</v>
      </c>
      <c r="O251" s="302">
        <v>75030605</v>
      </c>
      <c r="P251" s="302">
        <v>7422125447</v>
      </c>
      <c r="Q251" s="303"/>
    </row>
    <row r="252" spans="1:17" s="304" customFormat="1" x14ac:dyDescent="0.25">
      <c r="A252" s="300">
        <v>245</v>
      </c>
      <c r="B252" s="300">
        <v>890302594</v>
      </c>
      <c r="C252" s="300" t="s">
        <v>1088</v>
      </c>
      <c r="D252" s="300" t="s">
        <v>808</v>
      </c>
      <c r="E252" s="300" t="s">
        <v>759</v>
      </c>
      <c r="F252" s="301" t="s">
        <v>958</v>
      </c>
      <c r="G252" s="302">
        <v>400004820</v>
      </c>
      <c r="H252" s="302">
        <v>24624610</v>
      </c>
      <c r="I252" s="302">
        <v>876178850</v>
      </c>
      <c r="J252" s="302">
        <v>178841280</v>
      </c>
      <c r="K252" s="302">
        <v>697337570</v>
      </c>
      <c r="L252" s="302">
        <v>435342314</v>
      </c>
      <c r="M252" s="302">
        <v>52950174</v>
      </c>
      <c r="N252" s="302">
        <v>869381721</v>
      </c>
      <c r="O252" s="302">
        <v>169798167</v>
      </c>
      <c r="P252" s="302">
        <v>699583554</v>
      </c>
      <c r="Q252" s="303"/>
    </row>
    <row r="253" spans="1:17" s="304" customFormat="1" x14ac:dyDescent="0.25">
      <c r="A253" s="300">
        <v>246</v>
      </c>
      <c r="B253" s="300">
        <v>890900148</v>
      </c>
      <c r="C253" s="300" t="s">
        <v>1089</v>
      </c>
      <c r="D253" s="300" t="s">
        <v>763</v>
      </c>
      <c r="E253" s="300" t="s">
        <v>1090</v>
      </c>
      <c r="F253" s="301" t="s">
        <v>779</v>
      </c>
      <c r="G253" s="302">
        <v>399517575</v>
      </c>
      <c r="H253" s="302">
        <v>37744997</v>
      </c>
      <c r="I253" s="302">
        <v>619589070</v>
      </c>
      <c r="J253" s="302">
        <v>274826982</v>
      </c>
      <c r="K253" s="302">
        <v>344762088</v>
      </c>
      <c r="L253" s="302">
        <v>402973002</v>
      </c>
      <c r="M253" s="302">
        <v>29176562</v>
      </c>
      <c r="N253" s="302">
        <v>586530570</v>
      </c>
      <c r="O253" s="302">
        <v>261094522</v>
      </c>
      <c r="P253" s="302">
        <v>325436048</v>
      </c>
      <c r="Q253" s="303"/>
    </row>
    <row r="254" spans="1:17" s="304" customFormat="1" x14ac:dyDescent="0.25">
      <c r="A254" s="300">
        <v>247</v>
      </c>
      <c r="B254" s="300">
        <v>890914526</v>
      </c>
      <c r="C254" s="300" t="s">
        <v>1091</v>
      </c>
      <c r="D254" s="300" t="s">
        <v>763</v>
      </c>
      <c r="E254" s="300" t="s">
        <v>784</v>
      </c>
      <c r="F254" s="301" t="s">
        <v>764</v>
      </c>
      <c r="G254" s="302">
        <v>397086195</v>
      </c>
      <c r="H254" s="302">
        <v>9227284</v>
      </c>
      <c r="I254" s="302">
        <v>382782073</v>
      </c>
      <c r="J254" s="302">
        <v>168321822</v>
      </c>
      <c r="K254" s="302">
        <v>214460251</v>
      </c>
      <c r="L254" s="302">
        <v>366511642</v>
      </c>
      <c r="M254" s="302">
        <v>17425115</v>
      </c>
      <c r="N254" s="302">
        <v>339389247</v>
      </c>
      <c r="O254" s="302">
        <v>154294456</v>
      </c>
      <c r="P254" s="302">
        <v>185094791</v>
      </c>
      <c r="Q254" s="303"/>
    </row>
    <row r="255" spans="1:17" s="304" customFormat="1" x14ac:dyDescent="0.25">
      <c r="A255" s="300">
        <v>248</v>
      </c>
      <c r="B255" s="300">
        <v>800197463</v>
      </c>
      <c r="C255" s="300" t="s">
        <v>1092</v>
      </c>
      <c r="D255" s="300" t="s">
        <v>808</v>
      </c>
      <c r="E255" s="300" t="s">
        <v>856</v>
      </c>
      <c r="F255" s="301" t="s">
        <v>779</v>
      </c>
      <c r="G255" s="302">
        <v>396827521</v>
      </c>
      <c r="H255" s="302">
        <v>5890631</v>
      </c>
      <c r="I255" s="302">
        <v>221355521</v>
      </c>
      <c r="J255" s="302">
        <v>143929271</v>
      </c>
      <c r="K255" s="302">
        <v>77426250</v>
      </c>
      <c r="L255" s="302">
        <v>359626950</v>
      </c>
      <c r="M255" s="302">
        <v>7084432</v>
      </c>
      <c r="N255" s="302">
        <v>191228444</v>
      </c>
      <c r="O255" s="302">
        <v>121925792</v>
      </c>
      <c r="P255" s="302">
        <v>69302652</v>
      </c>
      <c r="Q255" s="303"/>
    </row>
    <row r="256" spans="1:17" s="304" customFormat="1" x14ac:dyDescent="0.25">
      <c r="A256" s="312">
        <v>249</v>
      </c>
      <c r="B256" s="312">
        <v>900390238</v>
      </c>
      <c r="C256" s="312" t="s">
        <v>1093</v>
      </c>
      <c r="D256" s="312" t="s">
        <v>758</v>
      </c>
      <c r="E256" s="312" t="s">
        <v>876</v>
      </c>
      <c r="F256" s="313" t="s">
        <v>877</v>
      </c>
      <c r="G256" s="314">
        <v>396541978</v>
      </c>
      <c r="H256" s="314">
        <v>75669005</v>
      </c>
      <c r="I256" s="314">
        <v>78027645</v>
      </c>
      <c r="J256" s="314">
        <v>39366770</v>
      </c>
      <c r="K256" s="314">
        <v>38660875</v>
      </c>
      <c r="L256" s="314">
        <v>303458792</v>
      </c>
      <c r="M256" s="314">
        <v>55256510</v>
      </c>
      <c r="N256" s="314">
        <v>63513268</v>
      </c>
      <c r="O256" s="314">
        <v>35108496</v>
      </c>
      <c r="P256" s="314">
        <v>28404772</v>
      </c>
      <c r="Q256" s="303"/>
    </row>
    <row r="257" spans="1:17" s="304" customFormat="1" x14ac:dyDescent="0.25">
      <c r="A257" s="300">
        <v>250</v>
      </c>
      <c r="B257" s="300">
        <v>830002366</v>
      </c>
      <c r="C257" s="300" t="s">
        <v>1094</v>
      </c>
      <c r="D257" s="300" t="s">
        <v>758</v>
      </c>
      <c r="E257" s="300" t="s">
        <v>1095</v>
      </c>
      <c r="F257" s="301" t="s">
        <v>779</v>
      </c>
      <c r="G257" s="302">
        <v>394961437</v>
      </c>
      <c r="H257" s="302">
        <v>5817489</v>
      </c>
      <c r="I257" s="302">
        <v>288757160</v>
      </c>
      <c r="J257" s="302">
        <v>108783698</v>
      </c>
      <c r="K257" s="302">
        <v>179973462</v>
      </c>
      <c r="L257" s="302">
        <v>374820835</v>
      </c>
      <c r="M257" s="302">
        <v>17766583</v>
      </c>
      <c r="N257" s="302">
        <v>257155944</v>
      </c>
      <c r="O257" s="302">
        <v>77771395</v>
      </c>
      <c r="P257" s="302">
        <v>179384549</v>
      </c>
      <c r="Q257" s="303"/>
    </row>
    <row r="258" spans="1:17" s="304" customFormat="1" x14ac:dyDescent="0.25">
      <c r="A258" s="300">
        <v>251</v>
      </c>
      <c r="B258" s="300">
        <v>890309556</v>
      </c>
      <c r="C258" s="300" t="s">
        <v>1096</v>
      </c>
      <c r="D258" s="300" t="s">
        <v>808</v>
      </c>
      <c r="E258" s="300" t="s">
        <v>1097</v>
      </c>
      <c r="F258" s="301" t="s">
        <v>766</v>
      </c>
      <c r="G258" s="302">
        <v>394752716</v>
      </c>
      <c r="H258" s="302">
        <v>1314674</v>
      </c>
      <c r="I258" s="302">
        <v>121936939</v>
      </c>
      <c r="J258" s="302">
        <v>92048215</v>
      </c>
      <c r="K258" s="302">
        <v>29888724</v>
      </c>
      <c r="L258" s="302">
        <v>459285054</v>
      </c>
      <c r="M258" s="302">
        <v>2850577</v>
      </c>
      <c r="N258" s="302">
        <v>95389385</v>
      </c>
      <c r="O258" s="302">
        <v>65471551</v>
      </c>
      <c r="P258" s="302">
        <v>29917834</v>
      </c>
      <c r="Q258" s="303"/>
    </row>
    <row r="259" spans="1:17" s="304" customFormat="1" x14ac:dyDescent="0.25">
      <c r="A259" s="300">
        <v>252</v>
      </c>
      <c r="B259" s="305">
        <v>830009783</v>
      </c>
      <c r="C259" s="306" t="s">
        <v>1098</v>
      </c>
      <c r="D259" s="300" t="s">
        <v>758</v>
      </c>
      <c r="E259" s="300" t="s">
        <v>759</v>
      </c>
      <c r="F259" s="300" t="s">
        <v>766</v>
      </c>
      <c r="G259" s="302">
        <v>391878980</v>
      </c>
      <c r="H259" s="302">
        <v>-57463298</v>
      </c>
      <c r="I259" s="302">
        <v>98249154</v>
      </c>
      <c r="J259" s="302">
        <v>153618690</v>
      </c>
      <c r="K259" s="302">
        <v>-55369536</v>
      </c>
      <c r="L259" s="302">
        <v>388661936</v>
      </c>
      <c r="M259" s="302">
        <v>2440871</v>
      </c>
      <c r="N259" s="302">
        <v>128230163</v>
      </c>
      <c r="O259" s="302">
        <v>126573929</v>
      </c>
      <c r="P259" s="302">
        <v>1656234</v>
      </c>
      <c r="Q259" s="303"/>
    </row>
    <row r="260" spans="1:17" s="304" customFormat="1" x14ac:dyDescent="0.25">
      <c r="A260" s="300">
        <v>253</v>
      </c>
      <c r="B260" s="300">
        <v>800048943</v>
      </c>
      <c r="C260" s="300" t="s">
        <v>1099</v>
      </c>
      <c r="D260" s="300" t="s">
        <v>768</v>
      </c>
      <c r="E260" s="300" t="s">
        <v>1100</v>
      </c>
      <c r="F260" s="301" t="s">
        <v>779</v>
      </c>
      <c r="G260" s="302">
        <v>391790567</v>
      </c>
      <c r="H260" s="302">
        <v>-52293571</v>
      </c>
      <c r="I260" s="302">
        <v>624055820</v>
      </c>
      <c r="J260" s="302">
        <v>368862899</v>
      </c>
      <c r="K260" s="302">
        <v>255192921</v>
      </c>
      <c r="L260" s="302">
        <v>361619002</v>
      </c>
      <c r="M260" s="302">
        <v>-27474954</v>
      </c>
      <c r="N260" s="302">
        <v>623253245</v>
      </c>
      <c r="O260" s="302">
        <v>309747664</v>
      </c>
      <c r="P260" s="302">
        <v>313505581</v>
      </c>
      <c r="Q260" s="303"/>
    </row>
    <row r="261" spans="1:17" s="304" customFormat="1" x14ac:dyDescent="0.25">
      <c r="A261" s="300">
        <v>254</v>
      </c>
      <c r="B261" s="300">
        <v>800039996</v>
      </c>
      <c r="C261" s="300" t="s">
        <v>1101</v>
      </c>
      <c r="D261" s="300" t="s">
        <v>758</v>
      </c>
      <c r="E261" s="300" t="s">
        <v>1102</v>
      </c>
      <c r="F261" s="301" t="s">
        <v>766</v>
      </c>
      <c r="G261" s="302">
        <v>388259222</v>
      </c>
      <c r="H261" s="302">
        <v>-2632450</v>
      </c>
      <c r="I261" s="302">
        <v>73964993</v>
      </c>
      <c r="J261" s="302">
        <v>43159066</v>
      </c>
      <c r="K261" s="302">
        <v>30805927</v>
      </c>
      <c r="L261" s="302">
        <v>361117192</v>
      </c>
      <c r="M261" s="302">
        <v>3207273</v>
      </c>
      <c r="N261" s="302">
        <v>79357815</v>
      </c>
      <c r="O261" s="302">
        <v>46343873</v>
      </c>
      <c r="P261" s="302">
        <v>33013942</v>
      </c>
      <c r="Q261" s="303"/>
    </row>
    <row r="262" spans="1:17" s="304" customFormat="1" x14ac:dyDescent="0.25">
      <c r="A262" s="300">
        <v>255</v>
      </c>
      <c r="B262" s="300">
        <v>800103052</v>
      </c>
      <c r="C262" s="300" t="s">
        <v>1103</v>
      </c>
      <c r="D262" s="300" t="s">
        <v>758</v>
      </c>
      <c r="E262" s="300" t="s">
        <v>1065</v>
      </c>
      <c r="F262" s="301" t="s">
        <v>766</v>
      </c>
      <c r="G262" s="302">
        <v>387986496</v>
      </c>
      <c r="H262" s="302">
        <v>20377907</v>
      </c>
      <c r="I262" s="302">
        <v>227354180</v>
      </c>
      <c r="J262" s="302">
        <v>187782812</v>
      </c>
      <c r="K262" s="302">
        <v>39571368</v>
      </c>
      <c r="L262" s="302">
        <v>330719282</v>
      </c>
      <c r="M262" s="302">
        <v>4677896</v>
      </c>
      <c r="N262" s="302">
        <v>223149815</v>
      </c>
      <c r="O262" s="302">
        <v>203956354</v>
      </c>
      <c r="P262" s="302">
        <v>19193461</v>
      </c>
      <c r="Q262" s="303"/>
    </row>
    <row r="263" spans="1:17" s="304" customFormat="1" x14ac:dyDescent="0.25">
      <c r="A263" s="300">
        <v>256</v>
      </c>
      <c r="B263" s="300">
        <v>900333530</v>
      </c>
      <c r="C263" s="300" t="s">
        <v>1104</v>
      </c>
      <c r="D263" s="300" t="s">
        <v>768</v>
      </c>
      <c r="E263" s="300" t="s">
        <v>788</v>
      </c>
      <c r="F263" s="301" t="s">
        <v>760</v>
      </c>
      <c r="G263" s="302">
        <v>384826168</v>
      </c>
      <c r="H263" s="302">
        <v>-104236054</v>
      </c>
      <c r="I263" s="302">
        <v>369229251</v>
      </c>
      <c r="J263" s="302">
        <v>448508291</v>
      </c>
      <c r="K263" s="302">
        <v>-79279040</v>
      </c>
      <c r="L263" s="302">
        <v>485877549</v>
      </c>
      <c r="M263" s="302">
        <v>-27637072</v>
      </c>
      <c r="N263" s="302">
        <v>416690217</v>
      </c>
      <c r="O263" s="302">
        <v>390011444</v>
      </c>
      <c r="P263" s="302">
        <v>26678773</v>
      </c>
      <c r="Q263" s="303"/>
    </row>
    <row r="264" spans="1:17" s="304" customFormat="1" x14ac:dyDescent="0.25">
      <c r="A264" s="300">
        <v>257</v>
      </c>
      <c r="B264" s="300">
        <v>830012969</v>
      </c>
      <c r="C264" s="300" t="s">
        <v>1105</v>
      </c>
      <c r="D264" s="300" t="s">
        <v>758</v>
      </c>
      <c r="E264" s="300" t="s">
        <v>863</v>
      </c>
      <c r="F264" s="301" t="s">
        <v>764</v>
      </c>
      <c r="G264" s="302">
        <v>384585624</v>
      </c>
      <c r="H264" s="302">
        <v>24133726</v>
      </c>
      <c r="I264" s="302">
        <v>249606382</v>
      </c>
      <c r="J264" s="302">
        <v>101647108</v>
      </c>
      <c r="K264" s="302">
        <v>147959274</v>
      </c>
      <c r="L264" s="302">
        <v>357726028</v>
      </c>
      <c r="M264" s="302">
        <v>22928067</v>
      </c>
      <c r="N264" s="302">
        <v>238645290</v>
      </c>
      <c r="O264" s="302">
        <v>92279380</v>
      </c>
      <c r="P264" s="302">
        <v>146365910</v>
      </c>
      <c r="Q264" s="303"/>
    </row>
    <row r="265" spans="1:17" s="304" customFormat="1" x14ac:dyDescent="0.25">
      <c r="A265" s="300">
        <v>258</v>
      </c>
      <c r="B265" s="300">
        <v>800221789</v>
      </c>
      <c r="C265" s="300" t="s">
        <v>1106</v>
      </c>
      <c r="D265" s="300" t="s">
        <v>758</v>
      </c>
      <c r="E265" s="300" t="s">
        <v>1107</v>
      </c>
      <c r="F265" s="301" t="s">
        <v>779</v>
      </c>
      <c r="G265" s="302">
        <v>380730349</v>
      </c>
      <c r="H265" s="302">
        <v>29790741</v>
      </c>
      <c r="I265" s="302">
        <v>551662593</v>
      </c>
      <c r="J265" s="302">
        <v>241876041</v>
      </c>
      <c r="K265" s="302">
        <v>309786552</v>
      </c>
      <c r="L265" s="302">
        <v>356434946</v>
      </c>
      <c r="M265" s="302">
        <v>29249714</v>
      </c>
      <c r="N265" s="302">
        <v>512755451</v>
      </c>
      <c r="O265" s="302">
        <v>210370634</v>
      </c>
      <c r="P265" s="302">
        <v>302384817</v>
      </c>
      <c r="Q265" s="303"/>
    </row>
    <row r="266" spans="1:17" s="304" customFormat="1" x14ac:dyDescent="0.25">
      <c r="A266" s="300">
        <v>259</v>
      </c>
      <c r="B266" s="300">
        <v>800135913</v>
      </c>
      <c r="C266" s="300" t="s">
        <v>1108</v>
      </c>
      <c r="D266" s="300" t="s">
        <v>768</v>
      </c>
      <c r="E266" s="300" t="s">
        <v>759</v>
      </c>
      <c r="F266" s="301" t="s">
        <v>766</v>
      </c>
      <c r="G266" s="302">
        <v>380479049.98199999</v>
      </c>
      <c r="H266" s="302">
        <v>25703921</v>
      </c>
      <c r="I266" s="302">
        <v>467044684.31900001</v>
      </c>
      <c r="J266" s="302">
        <v>300002600.45899999</v>
      </c>
      <c r="K266" s="302">
        <v>167042083.86000001</v>
      </c>
      <c r="L266" s="302">
        <v>352692592.65700001</v>
      </c>
      <c r="M266" s="302">
        <v>20410745.671999998</v>
      </c>
      <c r="N266" s="302">
        <v>446764761.23100001</v>
      </c>
      <c r="O266" s="302">
        <v>285036214.699</v>
      </c>
      <c r="P266" s="302">
        <v>161728546.53200001</v>
      </c>
      <c r="Q266" s="303"/>
    </row>
    <row r="267" spans="1:17" s="304" customFormat="1" x14ac:dyDescent="0.25">
      <c r="A267" s="300">
        <v>260</v>
      </c>
      <c r="B267" s="300">
        <v>900462511</v>
      </c>
      <c r="C267" s="300" t="s">
        <v>1109</v>
      </c>
      <c r="D267" s="300" t="s">
        <v>758</v>
      </c>
      <c r="E267" s="300" t="s">
        <v>1069</v>
      </c>
      <c r="F267" s="301" t="s">
        <v>779</v>
      </c>
      <c r="G267" s="302">
        <v>378796201</v>
      </c>
      <c r="H267" s="302">
        <v>-42956573</v>
      </c>
      <c r="I267" s="302">
        <v>827472993</v>
      </c>
      <c r="J267" s="302">
        <v>710635251</v>
      </c>
      <c r="K267" s="302">
        <v>116837742</v>
      </c>
      <c r="L267" s="302">
        <v>321705797</v>
      </c>
      <c r="M267" s="302">
        <v>-224603525</v>
      </c>
      <c r="N267" s="302">
        <v>887316859</v>
      </c>
      <c r="O267" s="302">
        <v>747542740</v>
      </c>
      <c r="P267" s="302">
        <v>139774119</v>
      </c>
      <c r="Q267" s="303"/>
    </row>
    <row r="268" spans="1:17" s="304" customFormat="1" x14ac:dyDescent="0.25">
      <c r="A268" s="300">
        <v>261</v>
      </c>
      <c r="B268" s="300">
        <v>900329889</v>
      </c>
      <c r="C268" s="300" t="s">
        <v>1110</v>
      </c>
      <c r="D268" s="300" t="s">
        <v>758</v>
      </c>
      <c r="E268" s="300" t="s">
        <v>876</v>
      </c>
      <c r="F268" s="311" t="s">
        <v>877</v>
      </c>
      <c r="G268" s="302">
        <v>378054805</v>
      </c>
      <c r="H268" s="302">
        <v>-1929091</v>
      </c>
      <c r="I268" s="302">
        <v>241543401</v>
      </c>
      <c r="J268" s="302">
        <v>245478392</v>
      </c>
      <c r="K268" s="302">
        <v>-3934991</v>
      </c>
      <c r="L268" s="302">
        <v>280534985</v>
      </c>
      <c r="M268" s="302">
        <v>-156400497</v>
      </c>
      <c r="N268" s="302">
        <v>267256003</v>
      </c>
      <c r="O268" s="302">
        <v>420308188</v>
      </c>
      <c r="P268" s="302">
        <v>-153052185</v>
      </c>
      <c r="Q268" s="303"/>
    </row>
    <row r="269" spans="1:17" s="304" customFormat="1" x14ac:dyDescent="0.25">
      <c r="A269" s="300">
        <v>262</v>
      </c>
      <c r="B269" s="300">
        <v>900171154</v>
      </c>
      <c r="C269" s="300" t="s">
        <v>1111</v>
      </c>
      <c r="D269" s="300" t="s">
        <v>758</v>
      </c>
      <c r="E269" s="300" t="s">
        <v>769</v>
      </c>
      <c r="F269" s="301" t="s">
        <v>760</v>
      </c>
      <c r="G269" s="302">
        <v>377921722</v>
      </c>
      <c r="H269" s="302">
        <v>5169782</v>
      </c>
      <c r="I269" s="302">
        <v>165235038</v>
      </c>
      <c r="J269" s="302">
        <v>132894817</v>
      </c>
      <c r="K269" s="302">
        <v>32340221</v>
      </c>
      <c r="L269" s="302">
        <v>482923896</v>
      </c>
      <c r="M269" s="302">
        <v>26614365</v>
      </c>
      <c r="N269" s="302">
        <v>142788206</v>
      </c>
      <c r="O269" s="302">
        <v>107156929</v>
      </c>
      <c r="P269" s="302">
        <v>35631277</v>
      </c>
      <c r="Q269" s="303"/>
    </row>
    <row r="270" spans="1:17" s="304" customFormat="1" x14ac:dyDescent="0.25">
      <c r="A270" s="300">
        <v>263</v>
      </c>
      <c r="B270" s="300">
        <v>860008448</v>
      </c>
      <c r="C270" s="300" t="s">
        <v>1112</v>
      </c>
      <c r="D270" s="300" t="s">
        <v>758</v>
      </c>
      <c r="E270" s="300" t="s">
        <v>853</v>
      </c>
      <c r="F270" s="301" t="s">
        <v>958</v>
      </c>
      <c r="G270" s="302">
        <v>375596982</v>
      </c>
      <c r="H270" s="302">
        <v>23584149</v>
      </c>
      <c r="I270" s="302">
        <v>507807772</v>
      </c>
      <c r="J270" s="302">
        <v>228355331</v>
      </c>
      <c r="K270" s="302">
        <v>279452441</v>
      </c>
      <c r="L270" s="302">
        <v>336187092</v>
      </c>
      <c r="M270" s="302">
        <v>13207519</v>
      </c>
      <c r="N270" s="302">
        <v>402681583</v>
      </c>
      <c r="O270" s="302">
        <v>146199289</v>
      </c>
      <c r="P270" s="302">
        <v>256482294</v>
      </c>
      <c r="Q270" s="303"/>
    </row>
    <row r="271" spans="1:17" s="304" customFormat="1" x14ac:dyDescent="0.25">
      <c r="A271" s="300">
        <v>264</v>
      </c>
      <c r="B271" s="300">
        <v>891800219</v>
      </c>
      <c r="C271" s="300" t="s">
        <v>1113</v>
      </c>
      <c r="D271" s="300" t="s">
        <v>758</v>
      </c>
      <c r="E271" s="300" t="s">
        <v>759</v>
      </c>
      <c r="F271" s="301" t="s">
        <v>766</v>
      </c>
      <c r="G271" s="302">
        <v>374346345.89499998</v>
      </c>
      <c r="H271" s="302">
        <v>61323953.670000002</v>
      </c>
      <c r="I271" s="302">
        <v>1396040455.5190001</v>
      </c>
      <c r="J271" s="302">
        <v>335464740.76099998</v>
      </c>
      <c r="K271" s="302">
        <v>1060575714.758</v>
      </c>
      <c r="L271" s="302">
        <v>399266890.861</v>
      </c>
      <c r="M271" s="302">
        <v>80339774.806999996</v>
      </c>
      <c r="N271" s="302">
        <v>1222818568.184</v>
      </c>
      <c r="O271" s="302">
        <v>270518119.05699998</v>
      </c>
      <c r="P271" s="302">
        <v>952300449.12699997</v>
      </c>
      <c r="Q271" s="303"/>
    </row>
    <row r="272" spans="1:17" s="304" customFormat="1" x14ac:dyDescent="0.25">
      <c r="A272" s="300">
        <v>265</v>
      </c>
      <c r="B272" s="300">
        <v>830052651</v>
      </c>
      <c r="C272" s="300" t="s">
        <v>1114</v>
      </c>
      <c r="D272" s="300" t="s">
        <v>758</v>
      </c>
      <c r="E272" s="300" t="s">
        <v>776</v>
      </c>
      <c r="F272" s="301" t="s">
        <v>764</v>
      </c>
      <c r="G272" s="302">
        <v>374323283</v>
      </c>
      <c r="H272" s="302">
        <v>6095542</v>
      </c>
      <c r="I272" s="302">
        <v>184040386</v>
      </c>
      <c r="J272" s="302">
        <v>67516001</v>
      </c>
      <c r="K272" s="302">
        <v>116524385</v>
      </c>
      <c r="L272" s="302">
        <v>331080672</v>
      </c>
      <c r="M272" s="302">
        <v>-4745903</v>
      </c>
      <c r="N272" s="302">
        <v>225991475</v>
      </c>
      <c r="O272" s="302">
        <v>54847868</v>
      </c>
      <c r="P272" s="302">
        <v>171143607</v>
      </c>
      <c r="Q272" s="303"/>
    </row>
    <row r="273" spans="1:17" s="304" customFormat="1" x14ac:dyDescent="0.25">
      <c r="A273" s="300">
        <v>266</v>
      </c>
      <c r="B273" s="300">
        <v>860005265</v>
      </c>
      <c r="C273" s="300" t="s">
        <v>1115</v>
      </c>
      <c r="D273" s="300" t="s">
        <v>758</v>
      </c>
      <c r="E273" s="300" t="s">
        <v>819</v>
      </c>
      <c r="F273" s="300" t="s">
        <v>779</v>
      </c>
      <c r="G273" s="302">
        <v>372931549</v>
      </c>
      <c r="H273" s="302">
        <v>18939194</v>
      </c>
      <c r="I273" s="302">
        <v>378883989</v>
      </c>
      <c r="J273" s="302">
        <v>43012628</v>
      </c>
      <c r="K273" s="302">
        <v>335871361</v>
      </c>
      <c r="L273" s="302">
        <v>407230788</v>
      </c>
      <c r="M273" s="302">
        <v>41541609</v>
      </c>
      <c r="N273" s="302">
        <v>383707810</v>
      </c>
      <c r="O273" s="302">
        <v>64011494</v>
      </c>
      <c r="P273" s="302">
        <v>319696316</v>
      </c>
      <c r="Q273" s="303"/>
    </row>
    <row r="274" spans="1:17" s="304" customFormat="1" x14ac:dyDescent="0.25">
      <c r="A274" s="300">
        <v>267</v>
      </c>
      <c r="B274" s="300">
        <v>860509514</v>
      </c>
      <c r="C274" s="300" t="s">
        <v>1116</v>
      </c>
      <c r="D274" s="300" t="s">
        <v>758</v>
      </c>
      <c r="E274" s="300" t="s">
        <v>880</v>
      </c>
      <c r="F274" s="301" t="s">
        <v>764</v>
      </c>
      <c r="G274" s="302">
        <v>370455877</v>
      </c>
      <c r="H274" s="302">
        <v>2573345</v>
      </c>
      <c r="I274" s="302">
        <v>273853767</v>
      </c>
      <c r="J274" s="302">
        <v>206146553</v>
      </c>
      <c r="K274" s="302">
        <v>67707214</v>
      </c>
      <c r="L274" s="302">
        <v>329836558</v>
      </c>
      <c r="M274" s="302">
        <v>3173268</v>
      </c>
      <c r="N274" s="302">
        <v>208844428</v>
      </c>
      <c r="O274" s="302">
        <v>174196192</v>
      </c>
      <c r="P274" s="302">
        <v>34648236</v>
      </c>
      <c r="Q274" s="303"/>
    </row>
    <row r="275" spans="1:17" s="304" customFormat="1" x14ac:dyDescent="0.25">
      <c r="A275" s="300">
        <v>268</v>
      </c>
      <c r="B275" s="300">
        <v>805011074</v>
      </c>
      <c r="C275" s="300" t="s">
        <v>1117</v>
      </c>
      <c r="D275" s="300" t="s">
        <v>758</v>
      </c>
      <c r="E275" s="300" t="s">
        <v>1118</v>
      </c>
      <c r="F275" s="301" t="s">
        <v>764</v>
      </c>
      <c r="G275" s="302">
        <v>367312715</v>
      </c>
      <c r="H275" s="302">
        <v>-27280241</v>
      </c>
      <c r="I275" s="302">
        <v>183017984</v>
      </c>
      <c r="J275" s="302">
        <v>182909074</v>
      </c>
      <c r="K275" s="302">
        <v>108910</v>
      </c>
      <c r="L275" s="302">
        <v>262382929</v>
      </c>
      <c r="M275" s="302">
        <v>4707449</v>
      </c>
      <c r="N275" s="302">
        <v>102513885</v>
      </c>
      <c r="O275" s="302">
        <v>75098101</v>
      </c>
      <c r="P275" s="302">
        <v>27415784</v>
      </c>
      <c r="Q275" s="303"/>
    </row>
    <row r="276" spans="1:17" s="304" customFormat="1" x14ac:dyDescent="0.25">
      <c r="A276" s="300">
        <v>269</v>
      </c>
      <c r="B276" s="300">
        <v>891100190</v>
      </c>
      <c r="C276" s="300" t="s">
        <v>1119</v>
      </c>
      <c r="D276" s="300" t="s">
        <v>758</v>
      </c>
      <c r="E276" s="300" t="s">
        <v>965</v>
      </c>
      <c r="F276" s="301" t="s">
        <v>779</v>
      </c>
      <c r="G276" s="302">
        <v>367050650</v>
      </c>
      <c r="H276" s="302">
        <v>1787365</v>
      </c>
      <c r="I276" s="302">
        <v>266489207</v>
      </c>
      <c r="J276" s="302">
        <v>177867433</v>
      </c>
      <c r="K276" s="302">
        <v>88621774</v>
      </c>
      <c r="L276" s="302">
        <v>344231416</v>
      </c>
      <c r="M276" s="302">
        <v>2176330</v>
      </c>
      <c r="N276" s="302">
        <v>268394421</v>
      </c>
      <c r="O276" s="302">
        <v>182896695</v>
      </c>
      <c r="P276" s="302">
        <v>85497726</v>
      </c>
      <c r="Q276" s="303"/>
    </row>
    <row r="277" spans="1:17" s="304" customFormat="1" x14ac:dyDescent="0.25">
      <c r="A277" s="300">
        <v>270</v>
      </c>
      <c r="B277" s="300">
        <v>817000680</v>
      </c>
      <c r="C277" s="300" t="s">
        <v>1120</v>
      </c>
      <c r="D277" s="300" t="s">
        <v>808</v>
      </c>
      <c r="E277" s="300" t="s">
        <v>919</v>
      </c>
      <c r="F277" s="300" t="s">
        <v>779</v>
      </c>
      <c r="G277" s="302">
        <v>365926188</v>
      </c>
      <c r="H277" s="302">
        <v>81561457</v>
      </c>
      <c r="I277" s="302">
        <v>350915422</v>
      </c>
      <c r="J277" s="302">
        <v>62866252</v>
      </c>
      <c r="K277" s="302">
        <v>288049170</v>
      </c>
      <c r="L277" s="302">
        <v>347291275</v>
      </c>
      <c r="M277" s="302">
        <v>75211777</v>
      </c>
      <c r="N277" s="302">
        <v>283295836</v>
      </c>
      <c r="O277" s="302">
        <v>59506262</v>
      </c>
      <c r="P277" s="302">
        <v>223789574</v>
      </c>
      <c r="Q277" s="303"/>
    </row>
    <row r="278" spans="1:17" s="304" customFormat="1" x14ac:dyDescent="0.25">
      <c r="A278" s="300">
        <v>271</v>
      </c>
      <c r="B278" s="300">
        <v>890110188</v>
      </c>
      <c r="C278" s="300" t="s">
        <v>1121</v>
      </c>
      <c r="D278" s="300" t="s">
        <v>758</v>
      </c>
      <c r="E278" s="300" t="s">
        <v>846</v>
      </c>
      <c r="F278" s="301" t="s">
        <v>760</v>
      </c>
      <c r="G278" s="302">
        <v>364767359</v>
      </c>
      <c r="H278" s="302">
        <v>-13773776</v>
      </c>
      <c r="I278" s="302">
        <v>351689015</v>
      </c>
      <c r="J278" s="302">
        <v>245198937</v>
      </c>
      <c r="K278" s="302">
        <v>106490078</v>
      </c>
      <c r="L278" s="302">
        <v>424794436</v>
      </c>
      <c r="M278" s="302">
        <v>12436062</v>
      </c>
      <c r="N278" s="302">
        <v>329604663</v>
      </c>
      <c r="O278" s="302">
        <v>208436269</v>
      </c>
      <c r="P278" s="302">
        <v>121168394</v>
      </c>
      <c r="Q278" s="303"/>
    </row>
    <row r="279" spans="1:17" s="304" customFormat="1" x14ac:dyDescent="0.25">
      <c r="A279" s="300">
        <v>272</v>
      </c>
      <c r="B279" s="300">
        <v>830140321</v>
      </c>
      <c r="C279" s="300" t="s">
        <v>1122</v>
      </c>
      <c r="D279" s="300" t="s">
        <v>758</v>
      </c>
      <c r="E279" s="300" t="s">
        <v>776</v>
      </c>
      <c r="F279" s="301" t="s">
        <v>764</v>
      </c>
      <c r="G279" s="302">
        <v>363311728</v>
      </c>
      <c r="H279" s="302">
        <v>7783433</v>
      </c>
      <c r="I279" s="302">
        <v>405292318</v>
      </c>
      <c r="J279" s="302">
        <v>352400607</v>
      </c>
      <c r="K279" s="302">
        <v>52891711</v>
      </c>
      <c r="L279" s="302">
        <v>223618768</v>
      </c>
      <c r="M279" s="302">
        <v>3892600</v>
      </c>
      <c r="N279" s="302">
        <v>218302232</v>
      </c>
      <c r="O279" s="302">
        <v>172308124</v>
      </c>
      <c r="P279" s="302">
        <v>45994108</v>
      </c>
      <c r="Q279" s="303"/>
    </row>
    <row r="280" spans="1:17" s="304" customFormat="1" x14ac:dyDescent="0.25">
      <c r="A280" s="300">
        <v>273</v>
      </c>
      <c r="B280" s="300">
        <v>890300686</v>
      </c>
      <c r="C280" s="300" t="s">
        <v>1123</v>
      </c>
      <c r="D280" s="300" t="s">
        <v>808</v>
      </c>
      <c r="E280" s="300" t="s">
        <v>1001</v>
      </c>
      <c r="F280" s="301" t="s">
        <v>779</v>
      </c>
      <c r="G280" s="302">
        <v>362529552</v>
      </c>
      <c r="H280" s="302">
        <v>-19279054</v>
      </c>
      <c r="I280" s="302">
        <v>274776677</v>
      </c>
      <c r="J280" s="302">
        <v>184022797</v>
      </c>
      <c r="K280" s="302">
        <v>90753880</v>
      </c>
      <c r="L280" s="302">
        <v>316831757</v>
      </c>
      <c r="M280" s="302">
        <v>410661</v>
      </c>
      <c r="N280" s="302">
        <v>259816645</v>
      </c>
      <c r="O280" s="302">
        <v>147001940</v>
      </c>
      <c r="P280" s="302">
        <v>112814705</v>
      </c>
      <c r="Q280" s="303"/>
    </row>
    <row r="281" spans="1:17" s="304" customFormat="1" x14ac:dyDescent="0.25">
      <c r="A281" s="300">
        <v>274</v>
      </c>
      <c r="B281" s="300">
        <v>900268901</v>
      </c>
      <c r="C281" s="300" t="s">
        <v>1124</v>
      </c>
      <c r="D281" s="300" t="s">
        <v>758</v>
      </c>
      <c r="E281" s="300" t="s">
        <v>788</v>
      </c>
      <c r="F281" s="301" t="s">
        <v>760</v>
      </c>
      <c r="G281" s="302">
        <v>358338199</v>
      </c>
      <c r="H281" s="302">
        <v>-77023864</v>
      </c>
      <c r="I281" s="302">
        <v>691549844</v>
      </c>
      <c r="J281" s="302">
        <v>90869494</v>
      </c>
      <c r="K281" s="302">
        <v>600680350</v>
      </c>
      <c r="L281" s="302">
        <v>392901432</v>
      </c>
      <c r="M281" s="302">
        <v>-234876354</v>
      </c>
      <c r="N281" s="302">
        <v>749966001</v>
      </c>
      <c r="O281" s="302">
        <v>172849163</v>
      </c>
      <c r="P281" s="302">
        <v>577116838</v>
      </c>
      <c r="Q281" s="303"/>
    </row>
    <row r="282" spans="1:17" s="304" customFormat="1" x14ac:dyDescent="0.25">
      <c r="A282" s="300">
        <v>275</v>
      </c>
      <c r="B282" s="300">
        <v>900164755</v>
      </c>
      <c r="C282" s="300" t="s">
        <v>1125</v>
      </c>
      <c r="D282" s="300" t="s">
        <v>768</v>
      </c>
      <c r="E282" s="300" t="s">
        <v>943</v>
      </c>
      <c r="F282" s="301" t="s">
        <v>779</v>
      </c>
      <c r="G282" s="302">
        <v>356245715</v>
      </c>
      <c r="H282" s="302">
        <v>13528302</v>
      </c>
      <c r="I282" s="302">
        <v>1382218373</v>
      </c>
      <c r="J282" s="302">
        <v>72078097</v>
      </c>
      <c r="K282" s="302">
        <v>1310140276</v>
      </c>
      <c r="L282" s="302">
        <v>344701248</v>
      </c>
      <c r="M282" s="302">
        <v>20829330</v>
      </c>
      <c r="N282" s="302">
        <v>1385076334</v>
      </c>
      <c r="O282" s="302">
        <v>69622906</v>
      </c>
      <c r="P282" s="302">
        <v>1315453428</v>
      </c>
      <c r="Q282" s="303"/>
    </row>
    <row r="283" spans="1:17" s="304" customFormat="1" x14ac:dyDescent="0.25">
      <c r="A283" s="300">
        <v>276</v>
      </c>
      <c r="B283" s="300">
        <v>900412461</v>
      </c>
      <c r="C283" s="300" t="s">
        <v>1126</v>
      </c>
      <c r="D283" s="300" t="s">
        <v>758</v>
      </c>
      <c r="E283" s="300" t="s">
        <v>876</v>
      </c>
      <c r="F283" s="311" t="s">
        <v>877</v>
      </c>
      <c r="G283" s="302">
        <v>355843522</v>
      </c>
      <c r="H283" s="302">
        <v>15515708</v>
      </c>
      <c r="I283" s="302">
        <v>108022208</v>
      </c>
      <c r="J283" s="302">
        <v>58003474</v>
      </c>
      <c r="K283" s="302">
        <v>50018734</v>
      </c>
      <c r="L283" s="302">
        <v>697566937</v>
      </c>
      <c r="M283" s="302">
        <v>24558848</v>
      </c>
      <c r="N283" s="302">
        <v>194757662</v>
      </c>
      <c r="O283" s="302">
        <v>135425259</v>
      </c>
      <c r="P283" s="302">
        <v>59332403</v>
      </c>
      <c r="Q283" s="303"/>
    </row>
    <row r="284" spans="1:17" s="304" customFormat="1" x14ac:dyDescent="0.25">
      <c r="A284" s="300">
        <v>277</v>
      </c>
      <c r="B284" s="300">
        <v>900341086</v>
      </c>
      <c r="C284" s="300" t="s">
        <v>1127</v>
      </c>
      <c r="D284" s="300" t="s">
        <v>763</v>
      </c>
      <c r="E284" s="300" t="s">
        <v>776</v>
      </c>
      <c r="F284" s="301" t="s">
        <v>764</v>
      </c>
      <c r="G284" s="302">
        <v>355121885</v>
      </c>
      <c r="H284" s="302">
        <v>5979263</v>
      </c>
      <c r="I284" s="302">
        <v>204786205</v>
      </c>
      <c r="J284" s="302">
        <v>161222533</v>
      </c>
      <c r="K284" s="302">
        <v>43563672</v>
      </c>
      <c r="L284" s="302">
        <v>333221125</v>
      </c>
      <c r="M284" s="302">
        <v>505950</v>
      </c>
      <c r="N284" s="302">
        <v>214897483</v>
      </c>
      <c r="O284" s="302">
        <v>177498536</v>
      </c>
      <c r="P284" s="302">
        <v>37398947</v>
      </c>
      <c r="Q284" s="303"/>
    </row>
    <row r="285" spans="1:17" s="304" customFormat="1" x14ac:dyDescent="0.25">
      <c r="A285" s="300">
        <v>278</v>
      </c>
      <c r="B285" s="300">
        <v>891180001</v>
      </c>
      <c r="C285" s="300" t="s">
        <v>1128</v>
      </c>
      <c r="D285" s="300" t="s">
        <v>758</v>
      </c>
      <c r="E285" s="300" t="s">
        <v>759</v>
      </c>
      <c r="F285" s="301" t="s">
        <v>766</v>
      </c>
      <c r="G285" s="302">
        <v>355057418.29500002</v>
      </c>
      <c r="H285" s="302">
        <v>47296139.155000001</v>
      </c>
      <c r="I285" s="302">
        <v>709911596.33299994</v>
      </c>
      <c r="J285" s="302">
        <v>210521302.84</v>
      </c>
      <c r="K285" s="302">
        <v>499390293.49299997</v>
      </c>
      <c r="L285" s="302">
        <v>328380131.15399998</v>
      </c>
      <c r="M285" s="302">
        <v>43207493.805</v>
      </c>
      <c r="N285" s="302">
        <v>664501834.98599994</v>
      </c>
      <c r="O285" s="302">
        <v>152214481.456</v>
      </c>
      <c r="P285" s="302">
        <v>512287353.52999997</v>
      </c>
      <c r="Q285" s="303"/>
    </row>
    <row r="286" spans="1:17" s="304" customFormat="1" x14ac:dyDescent="0.25">
      <c r="A286" s="300">
        <v>279</v>
      </c>
      <c r="B286" s="300">
        <v>860037232</v>
      </c>
      <c r="C286" s="300" t="s">
        <v>1129</v>
      </c>
      <c r="D286" s="300" t="s">
        <v>758</v>
      </c>
      <c r="E286" s="300" t="s">
        <v>876</v>
      </c>
      <c r="F286" s="311" t="s">
        <v>877</v>
      </c>
      <c r="G286" s="302">
        <v>354468481</v>
      </c>
      <c r="H286" s="302">
        <v>7712949</v>
      </c>
      <c r="I286" s="302">
        <v>217932766</v>
      </c>
      <c r="J286" s="302">
        <v>152126473</v>
      </c>
      <c r="K286" s="302">
        <v>65806293</v>
      </c>
      <c r="L286" s="302">
        <v>357493941</v>
      </c>
      <c r="M286" s="302">
        <v>6930817</v>
      </c>
      <c r="N286" s="302">
        <v>190628044</v>
      </c>
      <c r="O286" s="302">
        <v>132407430</v>
      </c>
      <c r="P286" s="302">
        <v>58220614</v>
      </c>
      <c r="Q286" s="303"/>
    </row>
    <row r="287" spans="1:17" s="304" customFormat="1" x14ac:dyDescent="0.25">
      <c r="A287" s="300">
        <v>280</v>
      </c>
      <c r="B287" s="300">
        <v>802024439</v>
      </c>
      <c r="C287" s="300" t="s">
        <v>1130</v>
      </c>
      <c r="D287" s="300" t="s">
        <v>768</v>
      </c>
      <c r="E287" s="300" t="s">
        <v>788</v>
      </c>
      <c r="F287" s="301" t="s">
        <v>760</v>
      </c>
      <c r="G287" s="302">
        <v>354464440</v>
      </c>
      <c r="H287" s="302">
        <v>-40213911</v>
      </c>
      <c r="I287" s="302">
        <v>696016626</v>
      </c>
      <c r="J287" s="302">
        <v>364854327</v>
      </c>
      <c r="K287" s="302">
        <v>331162299</v>
      </c>
      <c r="L287" s="302">
        <v>298075055</v>
      </c>
      <c r="M287" s="302">
        <v>-20049551</v>
      </c>
      <c r="N287" s="302">
        <v>610956782</v>
      </c>
      <c r="O287" s="302">
        <v>235823622</v>
      </c>
      <c r="P287" s="302">
        <v>375133160</v>
      </c>
      <c r="Q287" s="303"/>
    </row>
    <row r="288" spans="1:17" s="304" customFormat="1" x14ac:dyDescent="0.25">
      <c r="A288" s="300">
        <v>281</v>
      </c>
      <c r="B288" s="300">
        <v>890926766</v>
      </c>
      <c r="C288" s="300" t="s">
        <v>1131</v>
      </c>
      <c r="D288" s="300" t="s">
        <v>763</v>
      </c>
      <c r="E288" s="300" t="s">
        <v>1059</v>
      </c>
      <c r="F288" s="301" t="s">
        <v>764</v>
      </c>
      <c r="G288" s="302">
        <v>353976035</v>
      </c>
      <c r="H288" s="302">
        <v>-16781670</v>
      </c>
      <c r="I288" s="302">
        <v>493524026</v>
      </c>
      <c r="J288" s="302">
        <v>243916002</v>
      </c>
      <c r="K288" s="302">
        <v>249608024</v>
      </c>
      <c r="L288" s="302">
        <v>304693000</v>
      </c>
      <c r="M288" s="302">
        <v>-9487591</v>
      </c>
      <c r="N288" s="302">
        <v>447208856</v>
      </c>
      <c r="O288" s="302">
        <v>185312377</v>
      </c>
      <c r="P288" s="302">
        <v>261896479</v>
      </c>
      <c r="Q288" s="303"/>
    </row>
    <row r="289" spans="1:17" s="304" customFormat="1" x14ac:dyDescent="0.25">
      <c r="A289" s="300">
        <v>282</v>
      </c>
      <c r="B289" s="300">
        <v>890300225</v>
      </c>
      <c r="C289" s="300" t="s">
        <v>1132</v>
      </c>
      <c r="D289" s="300" t="s">
        <v>808</v>
      </c>
      <c r="E289" s="300" t="s">
        <v>1133</v>
      </c>
      <c r="F289" s="301" t="s">
        <v>764</v>
      </c>
      <c r="G289" s="302">
        <v>353444381</v>
      </c>
      <c r="H289" s="302">
        <v>10532286</v>
      </c>
      <c r="I289" s="302">
        <v>176338749</v>
      </c>
      <c r="J289" s="302">
        <v>99123608</v>
      </c>
      <c r="K289" s="302">
        <v>77215141</v>
      </c>
      <c r="L289" s="302">
        <v>361044779</v>
      </c>
      <c r="M289" s="302">
        <v>8404968</v>
      </c>
      <c r="N289" s="302">
        <v>177118776</v>
      </c>
      <c r="O289" s="302">
        <v>109176960</v>
      </c>
      <c r="P289" s="302">
        <v>67941816</v>
      </c>
      <c r="Q289" s="303"/>
    </row>
    <row r="290" spans="1:17" s="304" customFormat="1" x14ac:dyDescent="0.25">
      <c r="A290" s="300">
        <v>283</v>
      </c>
      <c r="B290" s="300">
        <v>860032463</v>
      </c>
      <c r="C290" s="300" t="s">
        <v>1134</v>
      </c>
      <c r="D290" s="300" t="s">
        <v>758</v>
      </c>
      <c r="E290" s="300" t="s">
        <v>771</v>
      </c>
      <c r="F290" s="300" t="s">
        <v>760</v>
      </c>
      <c r="G290" s="302">
        <v>352721932</v>
      </c>
      <c r="H290" s="302">
        <v>56214868</v>
      </c>
      <c r="I290" s="302">
        <v>444323311</v>
      </c>
      <c r="J290" s="302">
        <v>293470407</v>
      </c>
      <c r="K290" s="302">
        <v>150852904</v>
      </c>
      <c r="L290" s="302">
        <v>400918598</v>
      </c>
      <c r="M290" s="302">
        <v>54349312</v>
      </c>
      <c r="N290" s="302">
        <v>344743431</v>
      </c>
      <c r="O290" s="302">
        <v>193983617</v>
      </c>
      <c r="P290" s="302">
        <v>150759814</v>
      </c>
      <c r="Q290" s="303"/>
    </row>
    <row r="291" spans="1:17" s="304" customFormat="1" x14ac:dyDescent="0.25">
      <c r="A291" s="300">
        <v>284</v>
      </c>
      <c r="B291" s="300">
        <v>860047657</v>
      </c>
      <c r="C291" s="300" t="s">
        <v>1135</v>
      </c>
      <c r="D291" s="300" t="s">
        <v>758</v>
      </c>
      <c r="E291" s="300" t="s">
        <v>880</v>
      </c>
      <c r="F291" s="301" t="s">
        <v>764</v>
      </c>
      <c r="G291" s="302">
        <v>351636552</v>
      </c>
      <c r="H291" s="302">
        <v>-11682782</v>
      </c>
      <c r="I291" s="302">
        <v>324571212</v>
      </c>
      <c r="J291" s="302">
        <v>190724447</v>
      </c>
      <c r="K291" s="302">
        <v>133846765</v>
      </c>
      <c r="L291" s="302">
        <v>386270086</v>
      </c>
      <c r="M291" s="302">
        <v>1704415</v>
      </c>
      <c r="N291" s="302">
        <v>304619758</v>
      </c>
      <c r="O291" s="302">
        <v>196105634</v>
      </c>
      <c r="P291" s="302">
        <v>108514124</v>
      </c>
      <c r="Q291" s="303"/>
    </row>
    <row r="292" spans="1:17" s="304" customFormat="1" x14ac:dyDescent="0.25">
      <c r="A292" s="300">
        <v>285</v>
      </c>
      <c r="B292" s="300">
        <v>811043174</v>
      </c>
      <c r="C292" s="300" t="s">
        <v>1136</v>
      </c>
      <c r="D292" s="300" t="s">
        <v>763</v>
      </c>
      <c r="E292" s="300" t="s">
        <v>884</v>
      </c>
      <c r="F292" s="301" t="s">
        <v>764</v>
      </c>
      <c r="G292" s="302">
        <v>348875898</v>
      </c>
      <c r="H292" s="302">
        <v>3385940</v>
      </c>
      <c r="I292" s="302">
        <v>49540134</v>
      </c>
      <c r="J292" s="302">
        <v>23814615</v>
      </c>
      <c r="K292" s="302">
        <v>25725519</v>
      </c>
      <c r="L292" s="302">
        <v>369122938</v>
      </c>
      <c r="M292" s="302">
        <v>3748603</v>
      </c>
      <c r="N292" s="302">
        <v>47477158</v>
      </c>
      <c r="O292" s="302">
        <v>23375735</v>
      </c>
      <c r="P292" s="302">
        <v>24101423</v>
      </c>
      <c r="Q292" s="303"/>
    </row>
    <row r="293" spans="1:17" s="304" customFormat="1" x14ac:dyDescent="0.25">
      <c r="A293" s="300">
        <v>286</v>
      </c>
      <c r="B293" s="300">
        <v>830107528</v>
      </c>
      <c r="C293" s="300" t="s">
        <v>1137</v>
      </c>
      <c r="D293" s="300" t="s">
        <v>758</v>
      </c>
      <c r="E293" s="300" t="s">
        <v>759</v>
      </c>
      <c r="F293" s="301" t="s">
        <v>766</v>
      </c>
      <c r="G293" s="302">
        <v>348836126.98900002</v>
      </c>
      <c r="H293" s="302">
        <v>1478613.794</v>
      </c>
      <c r="I293" s="302">
        <v>99857198.414000005</v>
      </c>
      <c r="J293" s="302">
        <v>96178101.912</v>
      </c>
      <c r="K293" s="302">
        <v>3679096.5019999999</v>
      </c>
      <c r="L293" s="302">
        <v>153126662.76499999</v>
      </c>
      <c r="M293" s="302">
        <v>1748787.017</v>
      </c>
      <c r="N293" s="302">
        <v>72906237.453999996</v>
      </c>
      <c r="O293" s="302">
        <v>70705754.746000007</v>
      </c>
      <c r="P293" s="302">
        <v>2200482.7080000001</v>
      </c>
      <c r="Q293" s="303"/>
    </row>
    <row r="294" spans="1:17" s="304" customFormat="1" x14ac:dyDescent="0.25">
      <c r="A294" s="300">
        <v>287</v>
      </c>
      <c r="B294" s="300">
        <v>890904815</v>
      </c>
      <c r="C294" s="300" t="s">
        <v>1138</v>
      </c>
      <c r="D294" s="300" t="s">
        <v>763</v>
      </c>
      <c r="E294" s="300" t="s">
        <v>876</v>
      </c>
      <c r="F294" s="311" t="s">
        <v>877</v>
      </c>
      <c r="G294" s="302">
        <v>346278268</v>
      </c>
      <c r="H294" s="302">
        <v>1543411</v>
      </c>
      <c r="I294" s="302">
        <v>278709576</v>
      </c>
      <c r="J294" s="302">
        <v>172177728</v>
      </c>
      <c r="K294" s="302">
        <v>106531848</v>
      </c>
      <c r="L294" s="302">
        <v>413601769</v>
      </c>
      <c r="M294" s="302">
        <v>970082</v>
      </c>
      <c r="N294" s="302">
        <v>289333736</v>
      </c>
      <c r="O294" s="302">
        <v>186809095</v>
      </c>
      <c r="P294" s="302">
        <v>102524641</v>
      </c>
      <c r="Q294" s="303"/>
    </row>
    <row r="295" spans="1:17" s="304" customFormat="1" x14ac:dyDescent="0.25">
      <c r="A295" s="300">
        <v>288</v>
      </c>
      <c r="B295" s="300">
        <v>860056150</v>
      </c>
      <c r="C295" s="300" t="s">
        <v>1139</v>
      </c>
      <c r="D295" s="300" t="s">
        <v>758</v>
      </c>
      <c r="E295" s="300" t="s">
        <v>1140</v>
      </c>
      <c r="F295" s="301" t="s">
        <v>764</v>
      </c>
      <c r="G295" s="302">
        <v>345220789</v>
      </c>
      <c r="H295" s="302">
        <v>4573590</v>
      </c>
      <c r="I295" s="302">
        <v>224463176</v>
      </c>
      <c r="J295" s="302">
        <v>182979068</v>
      </c>
      <c r="K295" s="302">
        <v>41484108</v>
      </c>
      <c r="L295" s="302">
        <v>408375331</v>
      </c>
      <c r="M295" s="302">
        <v>2821578</v>
      </c>
      <c r="N295" s="302">
        <v>232653417</v>
      </c>
      <c r="O295" s="302">
        <v>193131666</v>
      </c>
      <c r="P295" s="302">
        <v>39521751</v>
      </c>
      <c r="Q295" s="303"/>
    </row>
    <row r="296" spans="1:17" s="304" customFormat="1" x14ac:dyDescent="0.25">
      <c r="A296" s="300">
        <v>289</v>
      </c>
      <c r="B296" s="308">
        <v>891080005</v>
      </c>
      <c r="C296" s="300" t="s">
        <v>1141</v>
      </c>
      <c r="D296" s="300" t="s">
        <v>768</v>
      </c>
      <c r="E296" s="300" t="s">
        <v>759</v>
      </c>
      <c r="F296" s="301" t="s">
        <v>766</v>
      </c>
      <c r="G296" s="309">
        <v>344108122</v>
      </c>
      <c r="H296" s="309">
        <v>2586149</v>
      </c>
      <c r="I296" s="309">
        <v>107671153</v>
      </c>
      <c r="J296" s="309">
        <v>55116612</v>
      </c>
      <c r="K296" s="309">
        <v>52554541</v>
      </c>
      <c r="L296" s="309">
        <v>247394793</v>
      </c>
      <c r="M296" s="309">
        <v>3544133</v>
      </c>
      <c r="N296" s="309">
        <v>97341556</v>
      </c>
      <c r="O296" s="309">
        <v>47120169</v>
      </c>
      <c r="P296" s="309">
        <v>50221387</v>
      </c>
      <c r="Q296" s="303"/>
    </row>
    <row r="297" spans="1:17" s="304" customFormat="1" x14ac:dyDescent="0.25">
      <c r="A297" s="300">
        <v>290</v>
      </c>
      <c r="B297" s="300">
        <v>891903333</v>
      </c>
      <c r="C297" s="300" t="s">
        <v>1142</v>
      </c>
      <c r="D297" s="300" t="s">
        <v>758</v>
      </c>
      <c r="E297" s="300" t="s">
        <v>1143</v>
      </c>
      <c r="F297" s="301" t="s">
        <v>779</v>
      </c>
      <c r="G297" s="302">
        <v>343623249</v>
      </c>
      <c r="H297" s="302">
        <v>21857625</v>
      </c>
      <c r="I297" s="302">
        <v>140066113</v>
      </c>
      <c r="J297" s="302">
        <v>92542203</v>
      </c>
      <c r="K297" s="302">
        <v>47523910</v>
      </c>
      <c r="L297" s="302">
        <v>311629025</v>
      </c>
      <c r="M297" s="302">
        <v>12028907</v>
      </c>
      <c r="N297" s="302">
        <v>120745852</v>
      </c>
      <c r="O297" s="302">
        <v>96898582</v>
      </c>
      <c r="P297" s="302">
        <v>23847270</v>
      </c>
      <c r="Q297" s="303"/>
    </row>
    <row r="298" spans="1:17" s="304" customFormat="1" x14ac:dyDescent="0.25">
      <c r="A298" s="300">
        <v>291</v>
      </c>
      <c r="B298" s="300">
        <v>815000863</v>
      </c>
      <c r="C298" s="300" t="s">
        <v>1144</v>
      </c>
      <c r="D298" s="300" t="s">
        <v>808</v>
      </c>
      <c r="E298" s="300" t="s">
        <v>957</v>
      </c>
      <c r="F298" s="301" t="s">
        <v>958</v>
      </c>
      <c r="G298" s="302">
        <v>343537872</v>
      </c>
      <c r="H298" s="302">
        <v>13054083</v>
      </c>
      <c r="I298" s="302">
        <v>149632393</v>
      </c>
      <c r="J298" s="302">
        <v>68745065</v>
      </c>
      <c r="K298" s="302">
        <v>80887328</v>
      </c>
      <c r="L298" s="302">
        <v>267917839</v>
      </c>
      <c r="M298" s="302">
        <v>9120933</v>
      </c>
      <c r="N298" s="302">
        <v>131171390</v>
      </c>
      <c r="O298" s="302">
        <v>56928854</v>
      </c>
      <c r="P298" s="302">
        <v>74242536</v>
      </c>
      <c r="Q298" s="303"/>
    </row>
    <row r="299" spans="1:17" s="304" customFormat="1" x14ac:dyDescent="0.25">
      <c r="A299" s="300">
        <v>292</v>
      </c>
      <c r="B299" s="300">
        <v>800068713</v>
      </c>
      <c r="C299" s="300" t="s">
        <v>1145</v>
      </c>
      <c r="D299" s="300" t="s">
        <v>758</v>
      </c>
      <c r="E299" s="300" t="s">
        <v>805</v>
      </c>
      <c r="F299" s="301" t="s">
        <v>766</v>
      </c>
      <c r="G299" s="302">
        <v>341168333</v>
      </c>
      <c r="H299" s="302">
        <v>106343678</v>
      </c>
      <c r="I299" s="302">
        <v>1570995731</v>
      </c>
      <c r="J299" s="302">
        <v>60970204</v>
      </c>
      <c r="K299" s="302">
        <v>1510025527</v>
      </c>
      <c r="L299" s="302">
        <v>149628065</v>
      </c>
      <c r="M299" s="302">
        <v>17854696</v>
      </c>
      <c r="N299" s="302">
        <v>463655265</v>
      </c>
      <c r="O299" s="302">
        <v>37458048</v>
      </c>
      <c r="P299" s="302">
        <v>426197217</v>
      </c>
      <c r="Q299" s="303"/>
    </row>
    <row r="300" spans="1:17" s="304" customFormat="1" x14ac:dyDescent="0.25">
      <c r="A300" s="300">
        <v>293</v>
      </c>
      <c r="B300" s="300">
        <v>900216859</v>
      </c>
      <c r="C300" s="300" t="s">
        <v>1146</v>
      </c>
      <c r="D300" s="300" t="s">
        <v>758</v>
      </c>
      <c r="E300" s="300" t="s">
        <v>880</v>
      </c>
      <c r="F300" s="301" t="s">
        <v>764</v>
      </c>
      <c r="G300" s="302">
        <v>340439286</v>
      </c>
      <c r="H300" s="302">
        <v>-129698</v>
      </c>
      <c r="I300" s="302">
        <v>123667434</v>
      </c>
      <c r="J300" s="302">
        <v>98404885</v>
      </c>
      <c r="K300" s="302">
        <v>25262549</v>
      </c>
      <c r="L300" s="302">
        <v>319022379</v>
      </c>
      <c r="M300" s="302">
        <v>3111421</v>
      </c>
      <c r="N300" s="302">
        <v>140853971</v>
      </c>
      <c r="O300" s="302">
        <v>113364125</v>
      </c>
      <c r="P300" s="302">
        <v>27489846</v>
      </c>
      <c r="Q300" s="303"/>
    </row>
    <row r="301" spans="1:17" s="304" customFormat="1" x14ac:dyDescent="0.25">
      <c r="A301" s="300">
        <v>294</v>
      </c>
      <c r="B301" s="300">
        <v>900319753</v>
      </c>
      <c r="C301" s="300" t="s">
        <v>1147</v>
      </c>
      <c r="D301" s="300" t="s">
        <v>758</v>
      </c>
      <c r="E301" s="300" t="s">
        <v>786</v>
      </c>
      <c r="F301" s="301" t="s">
        <v>764</v>
      </c>
      <c r="G301" s="302">
        <v>339282524</v>
      </c>
      <c r="H301" s="302">
        <v>-1543435</v>
      </c>
      <c r="I301" s="302">
        <v>274429571</v>
      </c>
      <c r="J301" s="302">
        <v>239690167</v>
      </c>
      <c r="K301" s="302">
        <v>34739404</v>
      </c>
      <c r="L301" s="302">
        <v>173094869</v>
      </c>
      <c r="M301" s="302">
        <v>-6580762</v>
      </c>
      <c r="N301" s="302">
        <v>225170266</v>
      </c>
      <c r="O301" s="302">
        <v>205850382</v>
      </c>
      <c r="P301" s="302">
        <v>19319884</v>
      </c>
      <c r="Q301" s="303"/>
    </row>
    <row r="302" spans="1:17" s="304" customFormat="1" x14ac:dyDescent="0.25">
      <c r="A302" s="300">
        <v>295</v>
      </c>
      <c r="B302" s="300">
        <v>844000670</v>
      </c>
      <c r="C302" s="300" t="s">
        <v>1148</v>
      </c>
      <c r="D302" s="300" t="s">
        <v>1149</v>
      </c>
      <c r="E302" s="300" t="s">
        <v>876</v>
      </c>
      <c r="F302" s="311" t="s">
        <v>877</v>
      </c>
      <c r="G302" s="302">
        <v>338556074</v>
      </c>
      <c r="H302" s="302">
        <v>29205968</v>
      </c>
      <c r="I302" s="302">
        <v>255517272</v>
      </c>
      <c r="J302" s="302">
        <v>144414769</v>
      </c>
      <c r="K302" s="302">
        <v>111102503</v>
      </c>
      <c r="L302" s="302">
        <v>261305524</v>
      </c>
      <c r="M302" s="302">
        <v>2355585</v>
      </c>
      <c r="N302" s="302">
        <v>224472230</v>
      </c>
      <c r="O302" s="302">
        <v>133821411</v>
      </c>
      <c r="P302" s="302">
        <v>90650819</v>
      </c>
      <c r="Q302" s="303"/>
    </row>
    <row r="303" spans="1:17" s="304" customFormat="1" x14ac:dyDescent="0.25">
      <c r="A303" s="300">
        <v>296</v>
      </c>
      <c r="B303" s="300">
        <v>811019012</v>
      </c>
      <c r="C303" s="300" t="s">
        <v>1150</v>
      </c>
      <c r="D303" s="300" t="s">
        <v>763</v>
      </c>
      <c r="E303" s="300" t="s">
        <v>832</v>
      </c>
      <c r="F303" s="301" t="s">
        <v>766</v>
      </c>
      <c r="G303" s="302">
        <v>337542255</v>
      </c>
      <c r="H303" s="302">
        <v>262910459</v>
      </c>
      <c r="I303" s="302">
        <v>2188942089</v>
      </c>
      <c r="J303" s="302">
        <v>67258419</v>
      </c>
      <c r="K303" s="302">
        <v>2121683670</v>
      </c>
      <c r="L303" s="302">
        <v>291913169</v>
      </c>
      <c r="M303" s="302">
        <v>246998506</v>
      </c>
      <c r="N303" s="302">
        <v>1965566094</v>
      </c>
      <c r="O303" s="302">
        <v>43530447</v>
      </c>
      <c r="P303" s="302">
        <v>1922035647</v>
      </c>
      <c r="Q303" s="303"/>
    </row>
    <row r="304" spans="1:17" s="304" customFormat="1" x14ac:dyDescent="0.25">
      <c r="A304" s="300">
        <v>297</v>
      </c>
      <c r="B304" s="300">
        <v>811044814</v>
      </c>
      <c r="C304" s="300" t="s">
        <v>1151</v>
      </c>
      <c r="D304" s="300" t="s">
        <v>763</v>
      </c>
      <c r="E304" s="300" t="s">
        <v>933</v>
      </c>
      <c r="F304" s="301" t="s">
        <v>779</v>
      </c>
      <c r="G304" s="302">
        <v>336717182</v>
      </c>
      <c r="H304" s="302">
        <v>44525992</v>
      </c>
      <c r="I304" s="302">
        <v>529376348</v>
      </c>
      <c r="J304" s="302">
        <v>160779025</v>
      </c>
      <c r="K304" s="302">
        <v>368597323</v>
      </c>
      <c r="L304" s="302">
        <v>328113091</v>
      </c>
      <c r="M304" s="302">
        <v>75103394</v>
      </c>
      <c r="N304" s="302">
        <v>461898081</v>
      </c>
      <c r="O304" s="302">
        <v>144181737</v>
      </c>
      <c r="P304" s="302">
        <v>317716344</v>
      </c>
      <c r="Q304" s="303"/>
    </row>
    <row r="305" spans="1:17" s="304" customFormat="1" x14ac:dyDescent="0.25">
      <c r="A305" s="300">
        <v>298</v>
      </c>
      <c r="B305" s="300">
        <v>830113598</v>
      </c>
      <c r="C305" s="300" t="s">
        <v>1152</v>
      </c>
      <c r="D305" s="300" t="s">
        <v>758</v>
      </c>
      <c r="E305" s="300" t="s">
        <v>1055</v>
      </c>
      <c r="F305" s="300" t="s">
        <v>766</v>
      </c>
      <c r="G305" s="302">
        <v>335159210</v>
      </c>
      <c r="H305" s="302">
        <v>152046491</v>
      </c>
      <c r="I305" s="302">
        <v>9982758668</v>
      </c>
      <c r="J305" s="302">
        <v>1188718913</v>
      </c>
      <c r="K305" s="302">
        <v>8794039755</v>
      </c>
      <c r="L305" s="302">
        <v>394662180</v>
      </c>
      <c r="M305" s="302">
        <v>157421727</v>
      </c>
      <c r="N305" s="302">
        <v>9117421097</v>
      </c>
      <c r="O305" s="302">
        <v>215811354</v>
      </c>
      <c r="P305" s="302">
        <v>8901609743</v>
      </c>
      <c r="Q305" s="303"/>
    </row>
    <row r="306" spans="1:17" s="304" customFormat="1" x14ac:dyDescent="0.25">
      <c r="A306" s="300">
        <v>299</v>
      </c>
      <c r="B306" s="300">
        <v>811009244</v>
      </c>
      <c r="C306" s="300" t="s">
        <v>1153</v>
      </c>
      <c r="D306" s="300" t="s">
        <v>763</v>
      </c>
      <c r="E306" s="300" t="s">
        <v>989</v>
      </c>
      <c r="F306" s="301" t="s">
        <v>760</v>
      </c>
      <c r="G306" s="302">
        <v>335095651</v>
      </c>
      <c r="H306" s="302">
        <v>1105145</v>
      </c>
      <c r="I306" s="302">
        <v>14154868</v>
      </c>
      <c r="J306" s="302">
        <v>9678253</v>
      </c>
      <c r="K306" s="302">
        <v>4476615</v>
      </c>
      <c r="L306" s="302">
        <v>402082326</v>
      </c>
      <c r="M306" s="302">
        <v>1060977</v>
      </c>
      <c r="N306" s="302">
        <v>22937303</v>
      </c>
      <c r="O306" s="302">
        <v>18273062</v>
      </c>
      <c r="P306" s="302">
        <v>4664241</v>
      </c>
      <c r="Q306" s="303"/>
    </row>
    <row r="307" spans="1:17" s="304" customFormat="1" x14ac:dyDescent="0.25">
      <c r="A307" s="300">
        <v>300</v>
      </c>
      <c r="B307" s="300">
        <v>890321151</v>
      </c>
      <c r="C307" s="300" t="s">
        <v>1154</v>
      </c>
      <c r="D307" s="300" t="s">
        <v>808</v>
      </c>
      <c r="E307" s="300" t="s">
        <v>1155</v>
      </c>
      <c r="F307" s="301" t="s">
        <v>779</v>
      </c>
      <c r="G307" s="302">
        <v>334222592</v>
      </c>
      <c r="H307" s="302">
        <v>10287096</v>
      </c>
      <c r="I307" s="302">
        <v>331739881</v>
      </c>
      <c r="J307" s="302">
        <v>193217092</v>
      </c>
      <c r="K307" s="302">
        <v>138522789</v>
      </c>
      <c r="L307" s="302">
        <v>339166676</v>
      </c>
      <c r="M307" s="302">
        <v>24532936</v>
      </c>
      <c r="N307" s="302">
        <v>284466240</v>
      </c>
      <c r="O307" s="302">
        <v>172356840</v>
      </c>
      <c r="P307" s="302">
        <v>112109400</v>
      </c>
      <c r="Q307" s="303"/>
    </row>
    <row r="308" spans="1:17" s="304" customFormat="1" x14ac:dyDescent="0.25">
      <c r="A308" s="300">
        <v>301</v>
      </c>
      <c r="B308" s="300">
        <v>890200463</v>
      </c>
      <c r="C308" s="300" t="s">
        <v>1156</v>
      </c>
      <c r="D308" s="300" t="s">
        <v>891</v>
      </c>
      <c r="E308" s="300" t="s">
        <v>819</v>
      </c>
      <c r="F308" s="301" t="s">
        <v>779</v>
      </c>
      <c r="G308" s="302">
        <v>333814927</v>
      </c>
      <c r="H308" s="302">
        <v>12683868</v>
      </c>
      <c r="I308" s="302">
        <v>469312717</v>
      </c>
      <c r="J308" s="302">
        <v>69969202</v>
      </c>
      <c r="K308" s="302">
        <v>399343515</v>
      </c>
      <c r="L308" s="302">
        <v>357481425</v>
      </c>
      <c r="M308" s="302">
        <v>32907518</v>
      </c>
      <c r="N308" s="302">
        <v>473056595</v>
      </c>
      <c r="O308" s="302">
        <v>85760912</v>
      </c>
      <c r="P308" s="302">
        <v>387295683</v>
      </c>
      <c r="Q308" s="303"/>
    </row>
    <row r="309" spans="1:17" s="304" customFormat="1" x14ac:dyDescent="0.25">
      <c r="A309" s="300">
        <v>302</v>
      </c>
      <c r="B309" s="300">
        <v>900115498</v>
      </c>
      <c r="C309" s="300" t="s">
        <v>1157</v>
      </c>
      <c r="D309" s="300" t="s">
        <v>763</v>
      </c>
      <c r="E309" s="300" t="s">
        <v>759</v>
      </c>
      <c r="F309" s="301" t="s">
        <v>764</v>
      </c>
      <c r="G309" s="302">
        <v>333400623.22399998</v>
      </c>
      <c r="H309" s="302">
        <v>161850.35399999999</v>
      </c>
      <c r="I309" s="302">
        <v>10355402.252</v>
      </c>
      <c r="J309" s="302">
        <v>9457185.6909999996</v>
      </c>
      <c r="K309" s="302">
        <v>898216.56099999999</v>
      </c>
      <c r="L309" s="302">
        <v>489021327.28500003</v>
      </c>
      <c r="M309" s="302">
        <v>177152.76300000001</v>
      </c>
      <c r="N309" s="302">
        <v>15076474.222999999</v>
      </c>
      <c r="O309" s="302">
        <v>14176303.473999999</v>
      </c>
      <c r="P309" s="302">
        <v>900170.74899999995</v>
      </c>
      <c r="Q309" s="303"/>
    </row>
    <row r="310" spans="1:17" s="304" customFormat="1" x14ac:dyDescent="0.25">
      <c r="A310" s="300">
        <v>303</v>
      </c>
      <c r="B310" s="300">
        <v>900015051</v>
      </c>
      <c r="C310" s="300" t="s">
        <v>1158</v>
      </c>
      <c r="D310" s="300" t="s">
        <v>808</v>
      </c>
      <c r="E310" s="300" t="s">
        <v>1143</v>
      </c>
      <c r="F310" s="301" t="s">
        <v>779</v>
      </c>
      <c r="G310" s="302">
        <v>329265194</v>
      </c>
      <c r="H310" s="302">
        <v>10795050</v>
      </c>
      <c r="I310" s="302">
        <v>413230129</v>
      </c>
      <c r="J310" s="302">
        <v>257889375</v>
      </c>
      <c r="K310" s="302">
        <v>155340754</v>
      </c>
      <c r="L310" s="302">
        <v>355143106</v>
      </c>
      <c r="M310" s="302">
        <v>19932122</v>
      </c>
      <c r="N310" s="302">
        <v>398639834</v>
      </c>
      <c r="O310" s="302">
        <v>228580484</v>
      </c>
      <c r="P310" s="302">
        <v>170059350</v>
      </c>
      <c r="Q310" s="303"/>
    </row>
    <row r="311" spans="1:17" s="304" customFormat="1" x14ac:dyDescent="0.25">
      <c r="A311" s="300">
        <v>304</v>
      </c>
      <c r="B311" s="300">
        <v>900320612</v>
      </c>
      <c r="C311" s="300" t="s">
        <v>1159</v>
      </c>
      <c r="D311" s="300" t="s">
        <v>758</v>
      </c>
      <c r="E311" s="300" t="s">
        <v>1160</v>
      </c>
      <c r="F311" s="301" t="s">
        <v>766</v>
      </c>
      <c r="G311" s="302">
        <v>326165933</v>
      </c>
      <c r="H311" s="302">
        <v>-15074186</v>
      </c>
      <c r="I311" s="302">
        <v>196252182</v>
      </c>
      <c r="J311" s="302">
        <v>209332176</v>
      </c>
      <c r="K311" s="302">
        <v>-13079994</v>
      </c>
      <c r="L311" s="302">
        <v>217947340</v>
      </c>
      <c r="M311" s="302">
        <v>-3738480</v>
      </c>
      <c r="N311" s="302">
        <v>165832590</v>
      </c>
      <c r="O311" s="302">
        <v>165879200</v>
      </c>
      <c r="P311" s="302">
        <v>-46610</v>
      </c>
      <c r="Q311" s="303"/>
    </row>
    <row r="312" spans="1:17" s="304" customFormat="1" x14ac:dyDescent="0.25">
      <c r="A312" s="300">
        <v>305</v>
      </c>
      <c r="B312" s="300">
        <v>860015118</v>
      </c>
      <c r="C312" s="300" t="s">
        <v>1161</v>
      </c>
      <c r="D312" s="300" t="s">
        <v>758</v>
      </c>
      <c r="E312" s="300" t="s">
        <v>880</v>
      </c>
      <c r="F312" s="301" t="s">
        <v>764</v>
      </c>
      <c r="G312" s="302">
        <v>323375081</v>
      </c>
      <c r="H312" s="302">
        <v>145713</v>
      </c>
      <c r="I312" s="302">
        <v>183334190</v>
      </c>
      <c r="J312" s="302">
        <v>91460770</v>
      </c>
      <c r="K312" s="302">
        <v>91873420</v>
      </c>
      <c r="L312" s="302">
        <v>291128060</v>
      </c>
      <c r="M312" s="302">
        <v>-109548</v>
      </c>
      <c r="N312" s="302">
        <v>151505309</v>
      </c>
      <c r="O312" s="302">
        <v>87732216</v>
      </c>
      <c r="P312" s="302">
        <v>63773093</v>
      </c>
      <c r="Q312" s="303"/>
    </row>
    <row r="313" spans="1:17" s="304" customFormat="1" x14ac:dyDescent="0.25">
      <c r="A313" s="300">
        <v>306</v>
      </c>
      <c r="B313" s="305">
        <v>830113831</v>
      </c>
      <c r="C313" s="306" t="s">
        <v>1162</v>
      </c>
      <c r="D313" s="300" t="s">
        <v>758</v>
      </c>
      <c r="E313" s="300" t="s">
        <v>759</v>
      </c>
      <c r="F313" s="300" t="s">
        <v>766</v>
      </c>
      <c r="G313" s="302">
        <v>322229920</v>
      </c>
      <c r="H313" s="302">
        <v>1017162</v>
      </c>
      <c r="I313" s="302">
        <v>97730938</v>
      </c>
      <c r="J313" s="302">
        <v>79667705</v>
      </c>
      <c r="K313" s="302">
        <v>18063233</v>
      </c>
      <c r="L313" s="302">
        <v>310429117</v>
      </c>
      <c r="M313" s="302">
        <v>3298445</v>
      </c>
      <c r="N313" s="302">
        <v>86202756</v>
      </c>
      <c r="O313" s="302">
        <v>69156685</v>
      </c>
      <c r="P313" s="302">
        <v>17046071</v>
      </c>
      <c r="Q313" s="303"/>
    </row>
    <row r="314" spans="1:17" s="304" customFormat="1" x14ac:dyDescent="0.25">
      <c r="A314" s="300">
        <v>307</v>
      </c>
      <c r="B314" s="300">
        <v>830043252</v>
      </c>
      <c r="C314" s="300" t="s">
        <v>1163</v>
      </c>
      <c r="D314" s="300" t="s">
        <v>758</v>
      </c>
      <c r="E314" s="300" t="s">
        <v>916</v>
      </c>
      <c r="F314" s="301" t="s">
        <v>779</v>
      </c>
      <c r="G314" s="302">
        <v>320131091</v>
      </c>
      <c r="H314" s="302">
        <v>13583524</v>
      </c>
      <c r="I314" s="302">
        <v>332977798</v>
      </c>
      <c r="J314" s="302">
        <v>92463307</v>
      </c>
      <c r="K314" s="302">
        <v>240514491</v>
      </c>
      <c r="L314" s="302">
        <v>315673411</v>
      </c>
      <c r="M314" s="302">
        <v>15791130</v>
      </c>
      <c r="N314" s="302">
        <v>283769917</v>
      </c>
      <c r="O314" s="302">
        <v>58660586</v>
      </c>
      <c r="P314" s="302">
        <v>225109331</v>
      </c>
      <c r="Q314" s="303"/>
    </row>
    <row r="315" spans="1:17" s="304" customFormat="1" x14ac:dyDescent="0.25">
      <c r="A315" s="300">
        <v>308</v>
      </c>
      <c r="B315" s="300">
        <v>860002127</v>
      </c>
      <c r="C315" s="300" t="s">
        <v>1164</v>
      </c>
      <c r="D315" s="300" t="s">
        <v>808</v>
      </c>
      <c r="E315" s="300" t="s">
        <v>1133</v>
      </c>
      <c r="F315" s="301" t="s">
        <v>779</v>
      </c>
      <c r="G315" s="302">
        <v>319729626</v>
      </c>
      <c r="H315" s="302">
        <v>-237120866</v>
      </c>
      <c r="I315" s="302">
        <v>191191810</v>
      </c>
      <c r="J315" s="302">
        <v>152968589</v>
      </c>
      <c r="K315" s="302">
        <v>38223221</v>
      </c>
      <c r="L315" s="302">
        <v>401761534</v>
      </c>
      <c r="M315" s="302">
        <v>-39453109</v>
      </c>
      <c r="N315" s="302">
        <v>426060795</v>
      </c>
      <c r="O315" s="302">
        <v>218387635</v>
      </c>
      <c r="P315" s="302">
        <v>207673160</v>
      </c>
      <c r="Q315" s="303"/>
    </row>
    <row r="316" spans="1:17" s="304" customFormat="1" x14ac:dyDescent="0.25">
      <c r="A316" s="300">
        <v>309</v>
      </c>
      <c r="B316" s="300">
        <v>860000261</v>
      </c>
      <c r="C316" s="300" t="s">
        <v>1165</v>
      </c>
      <c r="D316" s="300" t="s">
        <v>758</v>
      </c>
      <c r="E316" s="300" t="s">
        <v>798</v>
      </c>
      <c r="F316" s="301" t="s">
        <v>764</v>
      </c>
      <c r="G316" s="302">
        <v>318479783</v>
      </c>
      <c r="H316" s="302">
        <v>8956113</v>
      </c>
      <c r="I316" s="302">
        <v>233638375</v>
      </c>
      <c r="J316" s="302">
        <v>102428317</v>
      </c>
      <c r="K316" s="302">
        <v>131210058</v>
      </c>
      <c r="L316" s="302">
        <v>295074890</v>
      </c>
      <c r="M316" s="302">
        <v>10549020</v>
      </c>
      <c r="N316" s="302">
        <v>209788180</v>
      </c>
      <c r="O316" s="302">
        <v>82051869</v>
      </c>
      <c r="P316" s="302">
        <v>127736311</v>
      </c>
      <c r="Q316" s="303"/>
    </row>
    <row r="317" spans="1:17" s="304" customFormat="1" x14ac:dyDescent="0.25">
      <c r="A317" s="300">
        <v>310</v>
      </c>
      <c r="B317" s="300">
        <v>900203661</v>
      </c>
      <c r="C317" s="300" t="s">
        <v>1166</v>
      </c>
      <c r="D317" s="300" t="s">
        <v>758</v>
      </c>
      <c r="E317" s="300" t="s">
        <v>1167</v>
      </c>
      <c r="F317" s="301" t="s">
        <v>764</v>
      </c>
      <c r="G317" s="302">
        <v>317457483</v>
      </c>
      <c r="H317" s="302">
        <v>667772</v>
      </c>
      <c r="I317" s="302">
        <v>20026408</v>
      </c>
      <c r="J317" s="302">
        <v>17820474</v>
      </c>
      <c r="K317" s="302">
        <v>2205934</v>
      </c>
      <c r="L317" s="302">
        <v>338335654</v>
      </c>
      <c r="M317" s="302">
        <v>548467</v>
      </c>
      <c r="N317" s="302">
        <v>19806635</v>
      </c>
      <c r="O317" s="302">
        <v>18268473</v>
      </c>
      <c r="P317" s="302">
        <v>1538162</v>
      </c>
      <c r="Q317" s="303"/>
    </row>
    <row r="318" spans="1:17" s="304" customFormat="1" x14ac:dyDescent="0.25">
      <c r="A318" s="300">
        <v>311</v>
      </c>
      <c r="B318" s="300">
        <v>800175746</v>
      </c>
      <c r="C318" s="300" t="s">
        <v>1168</v>
      </c>
      <c r="D318" s="300" t="s">
        <v>768</v>
      </c>
      <c r="E318" s="300" t="s">
        <v>759</v>
      </c>
      <c r="F318" s="301" t="s">
        <v>766</v>
      </c>
      <c r="G318" s="302">
        <v>316929375.12900001</v>
      </c>
      <c r="H318" s="302">
        <v>21114837.953000002</v>
      </c>
      <c r="I318" s="302">
        <v>2057321811.3710001</v>
      </c>
      <c r="J318" s="302">
        <v>742728010.29999995</v>
      </c>
      <c r="K318" s="302">
        <v>1314593801.0710001</v>
      </c>
      <c r="L318" s="302">
        <v>231615424.69299999</v>
      </c>
      <c r="M318" s="302">
        <v>1034322.661</v>
      </c>
      <c r="N318" s="302">
        <v>2090598294.615</v>
      </c>
      <c r="O318" s="302">
        <v>833029537.48899996</v>
      </c>
      <c r="P318" s="302">
        <v>1257568757.1259999</v>
      </c>
      <c r="Q318" s="303"/>
    </row>
    <row r="319" spans="1:17" s="304" customFormat="1" x14ac:dyDescent="0.25">
      <c r="A319" s="300">
        <v>312</v>
      </c>
      <c r="B319" s="300">
        <v>891101577</v>
      </c>
      <c r="C319" s="300" t="s">
        <v>1169</v>
      </c>
      <c r="D319" s="300" t="s">
        <v>758</v>
      </c>
      <c r="E319" s="300" t="s">
        <v>759</v>
      </c>
      <c r="F319" s="301" t="s">
        <v>766</v>
      </c>
      <c r="G319" s="302">
        <v>316854198.986</v>
      </c>
      <c r="H319" s="302">
        <v>49919717.813000001</v>
      </c>
      <c r="I319" s="302">
        <v>641134301.44599998</v>
      </c>
      <c r="J319" s="302">
        <v>203541829.27900001</v>
      </c>
      <c r="K319" s="302">
        <v>437592472.167</v>
      </c>
      <c r="L319" s="302">
        <v>293518420.91100001</v>
      </c>
      <c r="M319" s="302">
        <v>53391408.781999998</v>
      </c>
      <c r="N319" s="302">
        <v>500390442.31800002</v>
      </c>
      <c r="O319" s="302">
        <v>116938922.95299999</v>
      </c>
      <c r="P319" s="302">
        <v>383451519.36500001</v>
      </c>
      <c r="Q319" s="303"/>
    </row>
    <row r="320" spans="1:17" s="304" customFormat="1" x14ac:dyDescent="0.25">
      <c r="A320" s="300">
        <v>313</v>
      </c>
      <c r="B320" s="300">
        <v>860003563</v>
      </c>
      <c r="C320" s="300" t="s">
        <v>1170</v>
      </c>
      <c r="D320" s="300" t="s">
        <v>758</v>
      </c>
      <c r="E320" s="300" t="s">
        <v>1171</v>
      </c>
      <c r="F320" s="301" t="s">
        <v>779</v>
      </c>
      <c r="G320" s="302">
        <v>314587171</v>
      </c>
      <c r="H320" s="302">
        <v>3539980</v>
      </c>
      <c r="I320" s="302">
        <v>262066140</v>
      </c>
      <c r="J320" s="302">
        <v>201449020</v>
      </c>
      <c r="K320" s="302">
        <v>60617120</v>
      </c>
      <c r="L320" s="302">
        <v>301845863</v>
      </c>
      <c r="M320" s="302">
        <v>8062612</v>
      </c>
      <c r="N320" s="302">
        <v>238261567</v>
      </c>
      <c r="O320" s="302">
        <v>180793373</v>
      </c>
      <c r="P320" s="302">
        <v>57468194</v>
      </c>
      <c r="Q320" s="303"/>
    </row>
    <row r="321" spans="1:17" s="304" customFormat="1" x14ac:dyDescent="0.25">
      <c r="A321" s="300">
        <v>314</v>
      </c>
      <c r="B321" s="300">
        <v>860000751</v>
      </c>
      <c r="C321" s="300" t="s">
        <v>1172</v>
      </c>
      <c r="D321" s="300" t="s">
        <v>758</v>
      </c>
      <c r="E321" s="300" t="s">
        <v>868</v>
      </c>
      <c r="F321" s="301" t="s">
        <v>779</v>
      </c>
      <c r="G321" s="302">
        <v>312921612</v>
      </c>
      <c r="H321" s="302">
        <v>7705470</v>
      </c>
      <c r="I321" s="302">
        <v>182100004</v>
      </c>
      <c r="J321" s="302">
        <v>77292437</v>
      </c>
      <c r="K321" s="302">
        <v>104807567</v>
      </c>
      <c r="L321" s="302">
        <v>297451642</v>
      </c>
      <c r="M321" s="302">
        <v>10733701</v>
      </c>
      <c r="N321" s="302">
        <v>185886161</v>
      </c>
      <c r="O321" s="302">
        <v>91844068</v>
      </c>
      <c r="P321" s="302">
        <v>94042093</v>
      </c>
      <c r="Q321" s="303"/>
    </row>
    <row r="322" spans="1:17" s="304" customFormat="1" x14ac:dyDescent="0.25">
      <c r="A322" s="300">
        <v>315</v>
      </c>
      <c r="B322" s="300">
        <v>860004855</v>
      </c>
      <c r="C322" s="300" t="s">
        <v>1173</v>
      </c>
      <c r="D322" s="300" t="s">
        <v>808</v>
      </c>
      <c r="E322" s="300" t="s">
        <v>1174</v>
      </c>
      <c r="F322" s="301" t="s">
        <v>779</v>
      </c>
      <c r="G322" s="302">
        <v>311287758</v>
      </c>
      <c r="H322" s="302">
        <v>-4068051</v>
      </c>
      <c r="I322" s="302">
        <v>317769271</v>
      </c>
      <c r="J322" s="302">
        <v>132696009</v>
      </c>
      <c r="K322" s="302">
        <v>185073262</v>
      </c>
      <c r="L322" s="302">
        <v>320496282</v>
      </c>
      <c r="M322" s="302">
        <v>-5159110</v>
      </c>
      <c r="N322" s="302">
        <v>330155057</v>
      </c>
      <c r="O322" s="302">
        <v>124933275</v>
      </c>
      <c r="P322" s="302">
        <v>205221782</v>
      </c>
      <c r="Q322" s="303"/>
    </row>
    <row r="323" spans="1:17" s="304" customFormat="1" x14ac:dyDescent="0.25">
      <c r="A323" s="300">
        <v>316</v>
      </c>
      <c r="B323" s="300">
        <v>800020706</v>
      </c>
      <c r="C323" s="300" t="s">
        <v>1175</v>
      </c>
      <c r="D323" s="300" t="s">
        <v>758</v>
      </c>
      <c r="E323" s="300" t="s">
        <v>1176</v>
      </c>
      <c r="F323" s="301" t="s">
        <v>764</v>
      </c>
      <c r="G323" s="302">
        <v>310762331</v>
      </c>
      <c r="H323" s="302">
        <v>11122123</v>
      </c>
      <c r="I323" s="302">
        <v>285826870</v>
      </c>
      <c r="J323" s="302">
        <v>200161069</v>
      </c>
      <c r="K323" s="302">
        <v>85665801</v>
      </c>
      <c r="L323" s="302">
        <v>282639059</v>
      </c>
      <c r="M323" s="302">
        <v>8178800</v>
      </c>
      <c r="N323" s="302">
        <v>236246106</v>
      </c>
      <c r="O323" s="302">
        <v>181776733</v>
      </c>
      <c r="P323" s="302">
        <v>54469373</v>
      </c>
      <c r="Q323" s="303"/>
    </row>
    <row r="324" spans="1:17" s="304" customFormat="1" x14ac:dyDescent="0.25">
      <c r="A324" s="300">
        <v>317</v>
      </c>
      <c r="B324" s="300">
        <v>900104517</v>
      </c>
      <c r="C324" s="300" t="s">
        <v>1177</v>
      </c>
      <c r="D324" s="300" t="s">
        <v>758</v>
      </c>
      <c r="E324" s="300" t="s">
        <v>1107</v>
      </c>
      <c r="F324" s="301" t="s">
        <v>779</v>
      </c>
      <c r="G324" s="302">
        <v>310030236</v>
      </c>
      <c r="H324" s="302">
        <v>14022865</v>
      </c>
      <c r="I324" s="302">
        <v>174605019</v>
      </c>
      <c r="J324" s="302">
        <v>92593407</v>
      </c>
      <c r="K324" s="302">
        <v>82011612</v>
      </c>
      <c r="L324" s="302">
        <v>328186762</v>
      </c>
      <c r="M324" s="302">
        <v>11416916</v>
      </c>
      <c r="N324" s="302">
        <v>180281092</v>
      </c>
      <c r="O324" s="302">
        <v>112292346</v>
      </c>
      <c r="P324" s="302">
        <v>67988746</v>
      </c>
      <c r="Q324" s="303"/>
    </row>
    <row r="325" spans="1:17" s="304" customFormat="1" x14ac:dyDescent="0.25">
      <c r="A325" s="300">
        <v>318</v>
      </c>
      <c r="B325" s="300">
        <v>860002392</v>
      </c>
      <c r="C325" s="300" t="s">
        <v>1178</v>
      </c>
      <c r="D325" s="300" t="s">
        <v>758</v>
      </c>
      <c r="E325" s="300" t="s">
        <v>863</v>
      </c>
      <c r="F325" s="301" t="s">
        <v>779</v>
      </c>
      <c r="G325" s="302">
        <v>308520501</v>
      </c>
      <c r="H325" s="302">
        <v>27197867</v>
      </c>
      <c r="I325" s="302">
        <v>254108947</v>
      </c>
      <c r="J325" s="302">
        <v>128068789</v>
      </c>
      <c r="K325" s="302">
        <v>126040158</v>
      </c>
      <c r="L325" s="302">
        <v>230405035</v>
      </c>
      <c r="M325" s="302">
        <v>12604622</v>
      </c>
      <c r="N325" s="302">
        <v>206290104</v>
      </c>
      <c r="O325" s="302">
        <v>78770486</v>
      </c>
      <c r="P325" s="302">
        <v>127519618</v>
      </c>
      <c r="Q325" s="303"/>
    </row>
    <row r="326" spans="1:17" s="304" customFormat="1" x14ac:dyDescent="0.25">
      <c r="A326" s="312">
        <v>319</v>
      </c>
      <c r="B326" s="312">
        <v>890922447</v>
      </c>
      <c r="C326" s="312" t="s">
        <v>1179</v>
      </c>
      <c r="D326" s="312" t="s">
        <v>763</v>
      </c>
      <c r="E326" s="312" t="s">
        <v>759</v>
      </c>
      <c r="F326" s="313" t="s">
        <v>877</v>
      </c>
      <c r="G326" s="314">
        <v>306866993</v>
      </c>
      <c r="H326" s="314">
        <v>55803762</v>
      </c>
      <c r="I326" s="314">
        <v>856808995</v>
      </c>
      <c r="J326" s="314">
        <v>204438952</v>
      </c>
      <c r="K326" s="314">
        <v>652370043</v>
      </c>
      <c r="L326" s="314">
        <v>264981218</v>
      </c>
      <c r="M326" s="314">
        <v>31750875</v>
      </c>
      <c r="N326" s="314">
        <v>809041672</v>
      </c>
      <c r="O326" s="314">
        <v>188266253</v>
      </c>
      <c r="P326" s="314">
        <v>620775422</v>
      </c>
      <c r="Q326" s="303"/>
    </row>
    <row r="327" spans="1:17" s="304" customFormat="1" x14ac:dyDescent="0.25">
      <c r="A327" s="312">
        <v>320</v>
      </c>
      <c r="B327" s="312">
        <v>890930545</v>
      </c>
      <c r="C327" s="312" t="s">
        <v>1180</v>
      </c>
      <c r="D327" s="312" t="s">
        <v>758</v>
      </c>
      <c r="E327" s="312" t="s">
        <v>876</v>
      </c>
      <c r="F327" s="313" t="s">
        <v>877</v>
      </c>
      <c r="G327" s="314">
        <v>306557376</v>
      </c>
      <c r="H327" s="314">
        <v>97284544</v>
      </c>
      <c r="I327" s="314">
        <v>682859272</v>
      </c>
      <c r="J327" s="314">
        <v>160589824</v>
      </c>
      <c r="K327" s="314">
        <v>522269448</v>
      </c>
      <c r="L327" s="314">
        <v>272960897</v>
      </c>
      <c r="M327" s="314">
        <v>51243240</v>
      </c>
      <c r="N327" s="314">
        <v>636649439</v>
      </c>
      <c r="O327" s="314">
        <v>153024503</v>
      </c>
      <c r="P327" s="314">
        <v>483624936</v>
      </c>
      <c r="Q327" s="303"/>
    </row>
    <row r="328" spans="1:17" s="304" customFormat="1" x14ac:dyDescent="0.25">
      <c r="A328" s="300">
        <v>321</v>
      </c>
      <c r="B328" s="300">
        <v>860002590</v>
      </c>
      <c r="C328" s="300" t="s">
        <v>1181</v>
      </c>
      <c r="D328" s="300" t="s">
        <v>758</v>
      </c>
      <c r="E328" s="300" t="s">
        <v>1140</v>
      </c>
      <c r="F328" s="301" t="s">
        <v>764</v>
      </c>
      <c r="G328" s="302">
        <v>306178014</v>
      </c>
      <c r="H328" s="302">
        <v>2899586</v>
      </c>
      <c r="I328" s="302">
        <v>169649162</v>
      </c>
      <c r="J328" s="302">
        <v>91137535</v>
      </c>
      <c r="K328" s="302">
        <v>78511627</v>
      </c>
      <c r="L328" s="302">
        <v>327292637</v>
      </c>
      <c r="M328" s="302">
        <v>7668553</v>
      </c>
      <c r="N328" s="302">
        <v>171047882</v>
      </c>
      <c r="O328" s="302">
        <v>96620702</v>
      </c>
      <c r="P328" s="302">
        <v>74427180</v>
      </c>
      <c r="Q328" s="303"/>
    </row>
    <row r="329" spans="1:17" s="304" customFormat="1" x14ac:dyDescent="0.25">
      <c r="A329" s="300">
        <v>322</v>
      </c>
      <c r="B329" s="300">
        <v>800141770</v>
      </c>
      <c r="C329" s="300" t="s">
        <v>1182</v>
      </c>
      <c r="D329" s="300" t="s">
        <v>758</v>
      </c>
      <c r="E329" s="300" t="s">
        <v>1059</v>
      </c>
      <c r="F329" s="301" t="s">
        <v>764</v>
      </c>
      <c r="G329" s="302">
        <v>305980137</v>
      </c>
      <c r="H329" s="302">
        <v>3664893</v>
      </c>
      <c r="I329" s="302">
        <v>135641910</v>
      </c>
      <c r="J329" s="302">
        <v>104379800</v>
      </c>
      <c r="K329" s="302">
        <v>31262110</v>
      </c>
      <c r="L329" s="302">
        <v>342244426</v>
      </c>
      <c r="M329" s="302">
        <v>2929855</v>
      </c>
      <c r="N329" s="302">
        <v>120124806</v>
      </c>
      <c r="O329" s="302">
        <v>92469831</v>
      </c>
      <c r="P329" s="302">
        <v>27654975</v>
      </c>
      <c r="Q329" s="303"/>
    </row>
    <row r="330" spans="1:17" s="304" customFormat="1" x14ac:dyDescent="0.25">
      <c r="A330" s="300">
        <v>323</v>
      </c>
      <c r="B330" s="300">
        <v>892002210</v>
      </c>
      <c r="C330" s="300" t="s">
        <v>1183</v>
      </c>
      <c r="D330" s="300" t="s">
        <v>1149</v>
      </c>
      <c r="E330" s="300" t="s">
        <v>759</v>
      </c>
      <c r="F330" s="301" t="s">
        <v>766</v>
      </c>
      <c r="G330" s="302">
        <v>305228695.61699998</v>
      </c>
      <c r="H330" s="302">
        <v>41868397.162</v>
      </c>
      <c r="I330" s="302">
        <v>392340307.03299999</v>
      </c>
      <c r="J330" s="302">
        <v>154582499.82800001</v>
      </c>
      <c r="K330" s="302">
        <v>237757807.20500001</v>
      </c>
      <c r="L330" s="302">
        <v>276189696.80599999</v>
      </c>
      <c r="M330" s="302">
        <v>36096832.560000002</v>
      </c>
      <c r="N330" s="302">
        <v>372463879.54100001</v>
      </c>
      <c r="O330" s="302">
        <v>139251501.683</v>
      </c>
      <c r="P330" s="302">
        <v>233212377.85800001</v>
      </c>
      <c r="Q330" s="303"/>
    </row>
    <row r="331" spans="1:17" s="304" customFormat="1" x14ac:dyDescent="0.25">
      <c r="A331" s="300">
        <v>324</v>
      </c>
      <c r="B331" s="300">
        <v>900199343</v>
      </c>
      <c r="C331" s="300" t="s">
        <v>1184</v>
      </c>
      <c r="D331" s="300" t="s">
        <v>758</v>
      </c>
      <c r="E331" s="300" t="s">
        <v>829</v>
      </c>
      <c r="F331" s="301" t="s">
        <v>779</v>
      </c>
      <c r="G331" s="302">
        <v>301655516</v>
      </c>
      <c r="H331" s="302">
        <v>10749060</v>
      </c>
      <c r="I331" s="302">
        <v>175975640</v>
      </c>
      <c r="J331" s="302">
        <v>72389756</v>
      </c>
      <c r="K331" s="302">
        <v>103585884</v>
      </c>
      <c r="L331" s="302">
        <v>262314214</v>
      </c>
      <c r="M331" s="302">
        <v>12347274</v>
      </c>
      <c r="N331" s="302">
        <v>167529997</v>
      </c>
      <c r="O331" s="302">
        <v>74614785</v>
      </c>
      <c r="P331" s="302">
        <v>92915212</v>
      </c>
      <c r="Q331" s="303"/>
    </row>
    <row r="332" spans="1:17" s="304" customFormat="1" x14ac:dyDescent="0.25">
      <c r="A332" s="300">
        <v>325</v>
      </c>
      <c r="B332" s="300">
        <v>891300959</v>
      </c>
      <c r="C332" s="300" t="s">
        <v>1185</v>
      </c>
      <c r="D332" s="300" t="s">
        <v>808</v>
      </c>
      <c r="E332" s="300" t="s">
        <v>1107</v>
      </c>
      <c r="F332" s="301" t="s">
        <v>779</v>
      </c>
      <c r="G332" s="302">
        <v>300342403</v>
      </c>
      <c r="H332" s="302">
        <v>11003560</v>
      </c>
      <c r="I332" s="302">
        <v>300966230</v>
      </c>
      <c r="J332" s="302">
        <v>39875142</v>
      </c>
      <c r="K332" s="302">
        <v>261091088</v>
      </c>
      <c r="L332" s="302">
        <v>268065547</v>
      </c>
      <c r="M332" s="302">
        <v>14580413</v>
      </c>
      <c r="N332" s="302">
        <v>311306198</v>
      </c>
      <c r="O332" s="302">
        <v>49098956</v>
      </c>
      <c r="P332" s="302">
        <v>262207242</v>
      </c>
      <c r="Q332" s="303"/>
    </row>
    <row r="333" spans="1:17" s="304" customFormat="1" x14ac:dyDescent="0.25">
      <c r="A333" s="300">
        <v>326</v>
      </c>
      <c r="B333" s="300">
        <v>806004930</v>
      </c>
      <c r="C333" s="300" t="s">
        <v>1186</v>
      </c>
      <c r="D333" s="300" t="s">
        <v>768</v>
      </c>
      <c r="E333" s="300" t="s">
        <v>773</v>
      </c>
      <c r="F333" s="301" t="s">
        <v>764</v>
      </c>
      <c r="G333" s="302">
        <v>300147959</v>
      </c>
      <c r="H333" s="302">
        <v>960454</v>
      </c>
      <c r="I333" s="302">
        <v>87501078</v>
      </c>
      <c r="J333" s="302">
        <v>66914102</v>
      </c>
      <c r="K333" s="302">
        <v>20586976</v>
      </c>
      <c r="L333" s="302">
        <v>294628362</v>
      </c>
      <c r="M333" s="302">
        <v>721077</v>
      </c>
      <c r="N333" s="302">
        <v>75946941</v>
      </c>
      <c r="O333" s="302">
        <v>55945598</v>
      </c>
      <c r="P333" s="302">
        <v>20001343</v>
      </c>
      <c r="Q333" s="303"/>
    </row>
    <row r="334" spans="1:17" s="304" customFormat="1" x14ac:dyDescent="0.25">
      <c r="A334" s="300">
        <v>327</v>
      </c>
      <c r="B334" s="300">
        <v>891410137</v>
      </c>
      <c r="C334" s="300" t="s">
        <v>1187</v>
      </c>
      <c r="D334" s="300" t="s">
        <v>763</v>
      </c>
      <c r="E334" s="300" t="s">
        <v>889</v>
      </c>
      <c r="F334" s="301" t="s">
        <v>779</v>
      </c>
      <c r="G334" s="302">
        <v>299631323</v>
      </c>
      <c r="H334" s="302">
        <v>16905537</v>
      </c>
      <c r="I334" s="302">
        <v>390037454</v>
      </c>
      <c r="J334" s="302">
        <v>57434949</v>
      </c>
      <c r="K334" s="302">
        <v>332602505</v>
      </c>
      <c r="L334" s="302">
        <v>270268545</v>
      </c>
      <c r="M334" s="302">
        <v>13469648</v>
      </c>
      <c r="N334" s="302">
        <v>373671647</v>
      </c>
      <c r="O334" s="302">
        <v>59827823</v>
      </c>
      <c r="P334" s="302">
        <v>313843824</v>
      </c>
      <c r="Q334" s="303"/>
    </row>
    <row r="335" spans="1:17" s="304" customFormat="1" x14ac:dyDescent="0.25">
      <c r="A335" s="300">
        <v>328</v>
      </c>
      <c r="B335" s="300">
        <v>900072847</v>
      </c>
      <c r="C335" s="300" t="s">
        <v>1188</v>
      </c>
      <c r="D335" s="300" t="s">
        <v>758</v>
      </c>
      <c r="E335" s="300" t="s">
        <v>884</v>
      </c>
      <c r="F335" s="301" t="s">
        <v>764</v>
      </c>
      <c r="G335" s="302">
        <v>299627871</v>
      </c>
      <c r="H335" s="302">
        <v>-1187084</v>
      </c>
      <c r="I335" s="302">
        <v>85911490</v>
      </c>
      <c r="J335" s="302">
        <v>44103571</v>
      </c>
      <c r="K335" s="302">
        <v>41807919</v>
      </c>
      <c r="L335" s="302">
        <v>254159998</v>
      </c>
      <c r="M335" s="302">
        <v>1318914</v>
      </c>
      <c r="N335" s="302">
        <v>68732271</v>
      </c>
      <c r="O335" s="302">
        <v>38483763</v>
      </c>
      <c r="P335" s="302">
        <v>30248508</v>
      </c>
      <c r="Q335" s="303"/>
    </row>
    <row r="336" spans="1:17" s="304" customFormat="1" x14ac:dyDescent="0.25">
      <c r="A336" s="300">
        <v>329</v>
      </c>
      <c r="B336" s="300">
        <v>800100159</v>
      </c>
      <c r="C336" s="300" t="s">
        <v>1189</v>
      </c>
      <c r="D336" s="300" t="s">
        <v>763</v>
      </c>
      <c r="E336" s="300" t="s">
        <v>1190</v>
      </c>
      <c r="F336" s="301" t="s">
        <v>764</v>
      </c>
      <c r="G336" s="302">
        <v>299402170</v>
      </c>
      <c r="H336" s="302">
        <v>-210585</v>
      </c>
      <c r="I336" s="302">
        <v>32146245</v>
      </c>
      <c r="J336" s="302">
        <v>30884538</v>
      </c>
      <c r="K336" s="302">
        <v>1261707</v>
      </c>
      <c r="L336" s="302">
        <v>273875913</v>
      </c>
      <c r="M336" s="302">
        <v>1336162</v>
      </c>
      <c r="N336" s="302">
        <v>27572299</v>
      </c>
      <c r="O336" s="302">
        <v>24897461</v>
      </c>
      <c r="P336" s="302">
        <v>2674838</v>
      </c>
      <c r="Q336" s="303"/>
    </row>
    <row r="337" spans="1:17" s="304" customFormat="1" x14ac:dyDescent="0.25">
      <c r="A337" s="300">
        <v>330</v>
      </c>
      <c r="B337" s="300">
        <v>800202395</v>
      </c>
      <c r="C337" s="300" t="s">
        <v>1191</v>
      </c>
      <c r="D337" s="300" t="s">
        <v>763</v>
      </c>
      <c r="E337" s="300" t="s">
        <v>759</v>
      </c>
      <c r="F337" s="301" t="s">
        <v>766</v>
      </c>
      <c r="G337" s="302">
        <v>299106422.93099999</v>
      </c>
      <c r="H337" s="302">
        <v>46458832.181000002</v>
      </c>
      <c r="I337" s="302">
        <v>357600566.05000001</v>
      </c>
      <c r="J337" s="302">
        <v>170780700.36399999</v>
      </c>
      <c r="K337" s="302">
        <v>186819865.68599999</v>
      </c>
      <c r="L337" s="302">
        <v>290193434.53600001</v>
      </c>
      <c r="M337" s="302">
        <v>47561723.616999999</v>
      </c>
      <c r="N337" s="302">
        <v>353309046.15100002</v>
      </c>
      <c r="O337" s="302">
        <v>180442762.36500001</v>
      </c>
      <c r="P337" s="302">
        <v>172866283.78600001</v>
      </c>
      <c r="Q337" s="303"/>
    </row>
    <row r="338" spans="1:17" s="304" customFormat="1" x14ac:dyDescent="0.25">
      <c r="A338" s="300">
        <v>331</v>
      </c>
      <c r="B338" s="300">
        <v>900147693</v>
      </c>
      <c r="C338" s="300" t="s">
        <v>1192</v>
      </c>
      <c r="D338" s="300" t="s">
        <v>891</v>
      </c>
      <c r="E338" s="300" t="s">
        <v>1143</v>
      </c>
      <c r="F338" s="301" t="s">
        <v>779</v>
      </c>
      <c r="G338" s="302">
        <v>298427611</v>
      </c>
      <c r="H338" s="302">
        <v>20994587</v>
      </c>
      <c r="I338" s="302">
        <v>150685169</v>
      </c>
      <c r="J338" s="302">
        <v>85646052</v>
      </c>
      <c r="K338" s="302">
        <v>65039117</v>
      </c>
      <c r="L338" s="302">
        <v>322120143</v>
      </c>
      <c r="M338" s="302">
        <v>16774020</v>
      </c>
      <c r="N338" s="302">
        <v>128466591</v>
      </c>
      <c r="O338" s="302">
        <v>90330274</v>
      </c>
      <c r="P338" s="302">
        <v>38136317</v>
      </c>
      <c r="Q338" s="303"/>
    </row>
    <row r="339" spans="1:17" s="304" customFormat="1" x14ac:dyDescent="0.25">
      <c r="A339" s="300">
        <v>332</v>
      </c>
      <c r="B339" s="300">
        <v>890900307</v>
      </c>
      <c r="C339" s="300" t="s">
        <v>1193</v>
      </c>
      <c r="D339" s="300" t="s">
        <v>763</v>
      </c>
      <c r="E339" s="300" t="s">
        <v>1143</v>
      </c>
      <c r="F339" s="301" t="s">
        <v>779</v>
      </c>
      <c r="G339" s="302">
        <v>298025344</v>
      </c>
      <c r="H339" s="302">
        <v>-3254393</v>
      </c>
      <c r="I339" s="302">
        <v>380629275</v>
      </c>
      <c r="J339" s="302">
        <v>252710597</v>
      </c>
      <c r="K339" s="302">
        <v>127918678</v>
      </c>
      <c r="L339" s="302">
        <v>297743574</v>
      </c>
      <c r="M339" s="302">
        <v>6937191</v>
      </c>
      <c r="N339" s="302">
        <v>377720270</v>
      </c>
      <c r="O339" s="302">
        <v>248928621</v>
      </c>
      <c r="P339" s="302">
        <v>128791649</v>
      </c>
      <c r="Q339" s="303"/>
    </row>
    <row r="340" spans="1:17" s="304" customFormat="1" x14ac:dyDescent="0.25">
      <c r="A340" s="300">
        <v>333</v>
      </c>
      <c r="B340" s="300">
        <v>860000580</v>
      </c>
      <c r="C340" s="300" t="s">
        <v>1194</v>
      </c>
      <c r="D340" s="300" t="s">
        <v>758</v>
      </c>
      <c r="E340" s="300" t="s">
        <v>863</v>
      </c>
      <c r="F340" s="301" t="s">
        <v>764</v>
      </c>
      <c r="G340" s="302">
        <v>296450091</v>
      </c>
      <c r="H340" s="302">
        <v>26949154</v>
      </c>
      <c r="I340" s="302">
        <v>158458894</v>
      </c>
      <c r="J340" s="302">
        <v>37711505</v>
      </c>
      <c r="K340" s="302">
        <v>120747389</v>
      </c>
      <c r="L340" s="302">
        <v>286628755</v>
      </c>
      <c r="M340" s="302">
        <v>40907718</v>
      </c>
      <c r="N340" s="302">
        <v>144038872</v>
      </c>
      <c r="O340" s="302">
        <v>50324481</v>
      </c>
      <c r="P340" s="302">
        <v>93714391</v>
      </c>
      <c r="Q340" s="303"/>
    </row>
    <row r="341" spans="1:17" s="304" customFormat="1" x14ac:dyDescent="0.25">
      <c r="A341" s="300">
        <v>334</v>
      </c>
      <c r="B341" s="300">
        <v>860007638</v>
      </c>
      <c r="C341" s="300" t="s">
        <v>1195</v>
      </c>
      <c r="D341" s="300" t="s">
        <v>758</v>
      </c>
      <c r="E341" s="300" t="s">
        <v>759</v>
      </c>
      <c r="F341" s="301" t="s">
        <v>766</v>
      </c>
      <c r="G341" s="302">
        <v>296212575.63999999</v>
      </c>
      <c r="H341" s="302">
        <v>22027596.776000001</v>
      </c>
      <c r="I341" s="302">
        <v>590093663.58800006</v>
      </c>
      <c r="J341" s="302">
        <v>231901832.12</v>
      </c>
      <c r="K341" s="302">
        <v>358191831.46799999</v>
      </c>
      <c r="L341" s="302">
        <v>293996871.04100001</v>
      </c>
      <c r="M341" s="302">
        <v>30012407.204</v>
      </c>
      <c r="N341" s="302">
        <v>536235301.292</v>
      </c>
      <c r="O341" s="302">
        <v>186474617.04899999</v>
      </c>
      <c r="P341" s="302">
        <v>349760684.24299997</v>
      </c>
      <c r="Q341" s="303"/>
    </row>
    <row r="342" spans="1:17" s="304" customFormat="1" x14ac:dyDescent="0.25">
      <c r="A342" s="300">
        <v>335</v>
      </c>
      <c r="B342" s="300">
        <v>830065609</v>
      </c>
      <c r="C342" s="300" t="s">
        <v>1196</v>
      </c>
      <c r="D342" s="300" t="s">
        <v>758</v>
      </c>
      <c r="E342" s="300" t="s">
        <v>1160</v>
      </c>
      <c r="F342" s="301" t="s">
        <v>764</v>
      </c>
      <c r="G342" s="302">
        <v>295198694</v>
      </c>
      <c r="H342" s="302">
        <v>-8387516</v>
      </c>
      <c r="I342" s="302">
        <v>213959978</v>
      </c>
      <c r="J342" s="302">
        <v>148111288</v>
      </c>
      <c r="K342" s="302">
        <v>65848690</v>
      </c>
      <c r="L342" s="302">
        <v>393280032</v>
      </c>
      <c r="M342" s="302">
        <v>-6110854</v>
      </c>
      <c r="N342" s="302">
        <v>290981720</v>
      </c>
      <c r="O342" s="302">
        <v>249457977</v>
      </c>
      <c r="P342" s="302">
        <v>41523743</v>
      </c>
      <c r="Q342" s="303"/>
    </row>
    <row r="343" spans="1:17" s="304" customFormat="1" x14ac:dyDescent="0.25">
      <c r="A343" s="300">
        <v>336</v>
      </c>
      <c r="B343" s="300">
        <v>900276962</v>
      </c>
      <c r="C343" s="300" t="s">
        <v>1197</v>
      </c>
      <c r="D343" s="300" t="s">
        <v>758</v>
      </c>
      <c r="E343" s="300" t="s">
        <v>1198</v>
      </c>
      <c r="F343" s="301" t="s">
        <v>764</v>
      </c>
      <c r="G343" s="302">
        <v>294844130</v>
      </c>
      <c r="H343" s="302">
        <v>-41258309</v>
      </c>
      <c r="I343" s="302">
        <v>55181428</v>
      </c>
      <c r="J343" s="302">
        <v>77917250</v>
      </c>
      <c r="K343" s="302">
        <v>-22735822</v>
      </c>
      <c r="L343" s="302">
        <v>155304060</v>
      </c>
      <c r="M343" s="302">
        <v>-30489924</v>
      </c>
      <c r="N343" s="302">
        <v>37381707</v>
      </c>
      <c r="O343" s="302">
        <v>35582469</v>
      </c>
      <c r="P343" s="302">
        <v>1799238</v>
      </c>
      <c r="Q343" s="303"/>
    </row>
    <row r="344" spans="1:17" s="304" customFormat="1" x14ac:dyDescent="0.25">
      <c r="A344" s="300">
        <v>337</v>
      </c>
      <c r="B344" s="300">
        <v>800182330</v>
      </c>
      <c r="C344" s="300" t="s">
        <v>1199</v>
      </c>
      <c r="D344" s="300" t="s">
        <v>768</v>
      </c>
      <c r="E344" s="300" t="s">
        <v>876</v>
      </c>
      <c r="F344" s="311" t="s">
        <v>877</v>
      </c>
      <c r="G344" s="302">
        <v>294662429</v>
      </c>
      <c r="H344" s="302">
        <v>20681207</v>
      </c>
      <c r="I344" s="302">
        <v>590537449</v>
      </c>
      <c r="J344" s="302">
        <v>374309590</v>
      </c>
      <c r="K344" s="302">
        <v>216227859</v>
      </c>
      <c r="L344" s="302">
        <v>205440453</v>
      </c>
      <c r="M344" s="302">
        <v>7698159</v>
      </c>
      <c r="N344" s="302">
        <v>481145606</v>
      </c>
      <c r="O344" s="302">
        <v>260582896</v>
      </c>
      <c r="P344" s="302">
        <v>220562710</v>
      </c>
      <c r="Q344" s="303"/>
    </row>
    <row r="345" spans="1:17" s="304" customFormat="1" x14ac:dyDescent="0.25">
      <c r="A345" s="300">
        <v>338</v>
      </c>
      <c r="B345" s="300">
        <v>860034944</v>
      </c>
      <c r="C345" s="300" t="s">
        <v>1200</v>
      </c>
      <c r="D345" s="300" t="s">
        <v>758</v>
      </c>
      <c r="E345" s="300" t="s">
        <v>1143</v>
      </c>
      <c r="F345" s="301" t="s">
        <v>779</v>
      </c>
      <c r="G345" s="302">
        <v>294341013</v>
      </c>
      <c r="H345" s="302">
        <v>2529773</v>
      </c>
      <c r="I345" s="302">
        <v>220847242</v>
      </c>
      <c r="J345" s="302">
        <v>126420874</v>
      </c>
      <c r="K345" s="302">
        <v>94426368</v>
      </c>
      <c r="L345" s="302">
        <v>217001065</v>
      </c>
      <c r="M345" s="302">
        <v>-12119444</v>
      </c>
      <c r="N345" s="302">
        <v>183803816</v>
      </c>
      <c r="O345" s="302">
        <v>91864987</v>
      </c>
      <c r="P345" s="302">
        <v>91938829</v>
      </c>
      <c r="Q345" s="303"/>
    </row>
    <row r="346" spans="1:17" s="304" customFormat="1" x14ac:dyDescent="0.25">
      <c r="A346" s="300">
        <v>339</v>
      </c>
      <c r="B346" s="300">
        <v>860507991</v>
      </c>
      <c r="C346" s="300" t="s">
        <v>1201</v>
      </c>
      <c r="D346" s="300" t="s">
        <v>758</v>
      </c>
      <c r="E346" s="300" t="s">
        <v>771</v>
      </c>
      <c r="F346" s="301" t="s">
        <v>760</v>
      </c>
      <c r="G346" s="302">
        <v>293535426</v>
      </c>
      <c r="H346" s="302">
        <v>80742002</v>
      </c>
      <c r="I346" s="302">
        <v>280736919</v>
      </c>
      <c r="J346" s="302">
        <v>174778655</v>
      </c>
      <c r="K346" s="302">
        <v>105958264</v>
      </c>
      <c r="L346" s="302">
        <v>354418842</v>
      </c>
      <c r="M346" s="302">
        <v>85718957</v>
      </c>
      <c r="N346" s="302">
        <v>191291163</v>
      </c>
      <c r="O346" s="302">
        <v>106304780</v>
      </c>
      <c r="P346" s="302">
        <v>84986383</v>
      </c>
      <c r="Q346" s="303"/>
    </row>
    <row r="347" spans="1:17" s="304" customFormat="1" x14ac:dyDescent="0.25">
      <c r="A347" s="300">
        <v>340</v>
      </c>
      <c r="B347" s="300">
        <v>860069497</v>
      </c>
      <c r="C347" s="300" t="s">
        <v>1202</v>
      </c>
      <c r="D347" s="300" t="s">
        <v>758</v>
      </c>
      <c r="E347" s="300" t="s">
        <v>880</v>
      </c>
      <c r="F347" s="301" t="s">
        <v>764</v>
      </c>
      <c r="G347" s="302">
        <v>292549453</v>
      </c>
      <c r="H347" s="302">
        <v>1712981</v>
      </c>
      <c r="I347" s="302">
        <v>121253766</v>
      </c>
      <c r="J347" s="302">
        <v>56477990</v>
      </c>
      <c r="K347" s="302">
        <v>64775776</v>
      </c>
      <c r="L347" s="302">
        <v>265955098</v>
      </c>
      <c r="M347" s="302">
        <v>1884868</v>
      </c>
      <c r="N347" s="302">
        <v>114351063</v>
      </c>
      <c r="O347" s="302">
        <v>51334391</v>
      </c>
      <c r="P347" s="302">
        <v>63016672</v>
      </c>
      <c r="Q347" s="303"/>
    </row>
    <row r="348" spans="1:17" s="304" customFormat="1" x14ac:dyDescent="0.25">
      <c r="A348" s="300">
        <v>341</v>
      </c>
      <c r="B348" s="300">
        <v>830513134</v>
      </c>
      <c r="C348" s="300" t="s">
        <v>1203</v>
      </c>
      <c r="D348" s="300" t="s">
        <v>758</v>
      </c>
      <c r="E348" s="300" t="s">
        <v>1204</v>
      </c>
      <c r="F348" s="301" t="s">
        <v>764</v>
      </c>
      <c r="G348" s="302">
        <v>292136908</v>
      </c>
      <c r="H348" s="302">
        <v>-945193</v>
      </c>
      <c r="I348" s="302">
        <v>231472938</v>
      </c>
      <c r="J348" s="302">
        <v>204289751</v>
      </c>
      <c r="K348" s="302">
        <v>27183187</v>
      </c>
      <c r="L348" s="302">
        <v>296452016</v>
      </c>
      <c r="M348" s="302">
        <v>-8202402</v>
      </c>
      <c r="N348" s="302">
        <v>196780377</v>
      </c>
      <c r="O348" s="302">
        <v>167993047</v>
      </c>
      <c r="P348" s="302">
        <v>28787330</v>
      </c>
      <c r="Q348" s="303"/>
    </row>
    <row r="349" spans="1:17" s="304" customFormat="1" x14ac:dyDescent="0.25">
      <c r="A349" s="300">
        <v>342</v>
      </c>
      <c r="B349" s="300">
        <v>860000896</v>
      </c>
      <c r="C349" s="300" t="s">
        <v>1205</v>
      </c>
      <c r="D349" s="300" t="s">
        <v>758</v>
      </c>
      <c r="E349" s="300" t="s">
        <v>1107</v>
      </c>
      <c r="F349" s="300" t="s">
        <v>779</v>
      </c>
      <c r="G349" s="302">
        <v>289558587</v>
      </c>
      <c r="H349" s="302">
        <v>35598922</v>
      </c>
      <c r="I349" s="302">
        <v>152112705</v>
      </c>
      <c r="J349" s="302">
        <v>67737727</v>
      </c>
      <c r="K349" s="302">
        <v>84374978</v>
      </c>
      <c r="L349" s="302">
        <v>275249697</v>
      </c>
      <c r="M349" s="302">
        <v>34872322</v>
      </c>
      <c r="N349" s="302">
        <v>140829830</v>
      </c>
      <c r="O349" s="302">
        <v>60268655</v>
      </c>
      <c r="P349" s="302">
        <v>80561175</v>
      </c>
      <c r="Q349" s="303"/>
    </row>
    <row r="350" spans="1:17" s="304" customFormat="1" x14ac:dyDescent="0.25">
      <c r="A350" s="300">
        <v>343</v>
      </c>
      <c r="B350" s="300">
        <v>830068953</v>
      </c>
      <c r="C350" s="300" t="s">
        <v>1206</v>
      </c>
      <c r="D350" s="300" t="s">
        <v>758</v>
      </c>
      <c r="E350" s="300" t="s">
        <v>1207</v>
      </c>
      <c r="F350" s="301" t="s">
        <v>779</v>
      </c>
      <c r="G350" s="302">
        <v>287493556</v>
      </c>
      <c r="H350" s="302">
        <v>24011687</v>
      </c>
      <c r="I350" s="302">
        <v>302348694</v>
      </c>
      <c r="J350" s="302">
        <v>93032893</v>
      </c>
      <c r="K350" s="302">
        <v>209315801</v>
      </c>
      <c r="L350" s="302">
        <v>292683250</v>
      </c>
      <c r="M350" s="302">
        <v>1308188</v>
      </c>
      <c r="N350" s="302">
        <v>283587293</v>
      </c>
      <c r="O350" s="302">
        <v>98283179</v>
      </c>
      <c r="P350" s="302">
        <v>185304114</v>
      </c>
      <c r="Q350" s="303"/>
    </row>
    <row r="351" spans="1:17" s="304" customFormat="1" x14ac:dyDescent="0.25">
      <c r="A351" s="300">
        <v>344</v>
      </c>
      <c r="B351" s="300">
        <v>890914525</v>
      </c>
      <c r="C351" s="300" t="s">
        <v>1208</v>
      </c>
      <c r="D351" s="300" t="s">
        <v>763</v>
      </c>
      <c r="E351" s="300" t="s">
        <v>759</v>
      </c>
      <c r="F351" s="301" t="s">
        <v>760</v>
      </c>
      <c r="G351" s="302">
        <v>287363440</v>
      </c>
      <c r="H351" s="302">
        <v>43643730</v>
      </c>
      <c r="I351" s="302">
        <v>652526620</v>
      </c>
      <c r="J351" s="302">
        <v>85345790</v>
      </c>
      <c r="K351" s="302">
        <v>567180830</v>
      </c>
      <c r="L351" s="302">
        <v>357440349</v>
      </c>
      <c r="M351" s="302">
        <v>133732029</v>
      </c>
      <c r="N351" s="302">
        <v>611092696</v>
      </c>
      <c r="O351" s="302">
        <v>74589042</v>
      </c>
      <c r="P351" s="302">
        <v>536503655</v>
      </c>
      <c r="Q351" s="303"/>
    </row>
    <row r="352" spans="1:17" s="304" customFormat="1" x14ac:dyDescent="0.25">
      <c r="A352" s="300">
        <v>345</v>
      </c>
      <c r="B352" s="300">
        <v>800035776</v>
      </c>
      <c r="C352" s="300" t="s">
        <v>1209</v>
      </c>
      <c r="D352" s="300" t="s">
        <v>758</v>
      </c>
      <c r="E352" s="300" t="s">
        <v>1084</v>
      </c>
      <c r="F352" s="301" t="s">
        <v>764</v>
      </c>
      <c r="G352" s="302">
        <v>286996739</v>
      </c>
      <c r="H352" s="302">
        <v>6012029</v>
      </c>
      <c r="I352" s="302">
        <v>135090164</v>
      </c>
      <c r="J352" s="302">
        <v>99872398</v>
      </c>
      <c r="K352" s="302">
        <v>35217766</v>
      </c>
      <c r="L352" s="302">
        <v>229547972</v>
      </c>
      <c r="M352" s="302">
        <v>6990815</v>
      </c>
      <c r="N352" s="302">
        <v>91013951</v>
      </c>
      <c r="O352" s="302">
        <v>62002020</v>
      </c>
      <c r="P352" s="302">
        <v>29011931</v>
      </c>
      <c r="Q352" s="303"/>
    </row>
    <row r="353" spans="1:17" s="304" customFormat="1" x14ac:dyDescent="0.25">
      <c r="A353" s="300">
        <v>346</v>
      </c>
      <c r="B353" s="300">
        <v>860515770</v>
      </c>
      <c r="C353" s="300" t="s">
        <v>1210</v>
      </c>
      <c r="D353" s="300" t="s">
        <v>758</v>
      </c>
      <c r="E353" s="300" t="s">
        <v>846</v>
      </c>
      <c r="F353" s="301" t="s">
        <v>760</v>
      </c>
      <c r="G353" s="302">
        <v>286927251</v>
      </c>
      <c r="H353" s="302">
        <v>-13484409</v>
      </c>
      <c r="I353" s="302">
        <v>335463861</v>
      </c>
      <c r="J353" s="302">
        <v>191276016</v>
      </c>
      <c r="K353" s="302">
        <v>144187845</v>
      </c>
      <c r="L353" s="302">
        <v>335861716</v>
      </c>
      <c r="M353" s="302">
        <v>-9614803</v>
      </c>
      <c r="N353" s="302">
        <v>313831981</v>
      </c>
      <c r="O353" s="302">
        <v>179209217</v>
      </c>
      <c r="P353" s="302">
        <v>134622764</v>
      </c>
      <c r="Q353" s="303"/>
    </row>
    <row r="354" spans="1:17" s="304" customFormat="1" x14ac:dyDescent="0.25">
      <c r="A354" s="300">
        <v>347</v>
      </c>
      <c r="B354" s="300">
        <v>890923668</v>
      </c>
      <c r="C354" s="300" t="s">
        <v>1211</v>
      </c>
      <c r="D354" s="300" t="s">
        <v>763</v>
      </c>
      <c r="E354" s="300" t="s">
        <v>759</v>
      </c>
      <c r="F354" s="301" t="s">
        <v>766</v>
      </c>
      <c r="G354" s="302">
        <v>286515964</v>
      </c>
      <c r="H354" s="302">
        <v>-193101025</v>
      </c>
      <c r="I354" s="302">
        <v>3677105158</v>
      </c>
      <c r="J354" s="302">
        <v>5754320267</v>
      </c>
      <c r="K354" s="302">
        <v>-2077215109</v>
      </c>
      <c r="L354" s="302">
        <v>256147180</v>
      </c>
      <c r="M354" s="302">
        <v>-272344639</v>
      </c>
      <c r="N354" s="302">
        <v>3466765481</v>
      </c>
      <c r="O354" s="302">
        <v>5689386200</v>
      </c>
      <c r="P354" s="302">
        <v>-2222620719</v>
      </c>
      <c r="Q354" s="303"/>
    </row>
    <row r="355" spans="1:17" s="304" customFormat="1" x14ac:dyDescent="0.25">
      <c r="A355" s="300">
        <v>348</v>
      </c>
      <c r="B355" s="300">
        <v>890903436</v>
      </c>
      <c r="C355" s="300" t="s">
        <v>1212</v>
      </c>
      <c r="D355" s="300" t="s">
        <v>763</v>
      </c>
      <c r="E355" s="300" t="s">
        <v>776</v>
      </c>
      <c r="F355" s="301" t="s">
        <v>764</v>
      </c>
      <c r="G355" s="302">
        <v>286385876</v>
      </c>
      <c r="H355" s="302">
        <v>-78178</v>
      </c>
      <c r="I355" s="302">
        <v>152035267</v>
      </c>
      <c r="J355" s="302">
        <v>60420457</v>
      </c>
      <c r="K355" s="302">
        <v>91614810</v>
      </c>
      <c r="L355" s="302">
        <v>282747540</v>
      </c>
      <c r="M355" s="302">
        <v>-2527051</v>
      </c>
      <c r="N355" s="302">
        <v>158481604</v>
      </c>
      <c r="O355" s="302">
        <v>64739795</v>
      </c>
      <c r="P355" s="302">
        <v>93741809</v>
      </c>
      <c r="Q355" s="303"/>
    </row>
    <row r="356" spans="1:17" s="304" customFormat="1" x14ac:dyDescent="0.25">
      <c r="A356" s="300">
        <v>349</v>
      </c>
      <c r="B356" s="300">
        <v>800155291</v>
      </c>
      <c r="C356" s="300" t="s">
        <v>1213</v>
      </c>
      <c r="D356" s="300" t="s">
        <v>758</v>
      </c>
      <c r="E356" s="300" t="s">
        <v>876</v>
      </c>
      <c r="F356" s="311" t="s">
        <v>877</v>
      </c>
      <c r="G356" s="302">
        <v>284070833</v>
      </c>
      <c r="H356" s="302">
        <v>16252302</v>
      </c>
      <c r="I356" s="302">
        <v>302704346</v>
      </c>
      <c r="J356" s="302">
        <v>199051164</v>
      </c>
      <c r="K356" s="302">
        <v>103653182</v>
      </c>
      <c r="L356" s="302">
        <v>371306695</v>
      </c>
      <c r="M356" s="302">
        <v>10998954</v>
      </c>
      <c r="N356" s="302">
        <v>308001891</v>
      </c>
      <c r="O356" s="302">
        <v>219509408</v>
      </c>
      <c r="P356" s="302">
        <v>88492483</v>
      </c>
      <c r="Q356" s="303"/>
    </row>
    <row r="357" spans="1:17" s="304" customFormat="1" x14ac:dyDescent="0.25">
      <c r="A357" s="300">
        <v>350</v>
      </c>
      <c r="B357" s="300">
        <v>860533413</v>
      </c>
      <c r="C357" s="300" t="s">
        <v>1214</v>
      </c>
      <c r="D357" s="300" t="s">
        <v>758</v>
      </c>
      <c r="E357" s="300" t="s">
        <v>1215</v>
      </c>
      <c r="F357" s="301" t="s">
        <v>766</v>
      </c>
      <c r="G357" s="302">
        <v>283889586</v>
      </c>
      <c r="H357" s="302">
        <v>1356301</v>
      </c>
      <c r="I357" s="302">
        <v>115330792</v>
      </c>
      <c r="J357" s="302">
        <v>97329877</v>
      </c>
      <c r="K357" s="302">
        <v>18000915</v>
      </c>
      <c r="L357" s="302">
        <v>261816764</v>
      </c>
      <c r="M357" s="302">
        <v>5161126</v>
      </c>
      <c r="N357" s="302">
        <v>96912731</v>
      </c>
      <c r="O357" s="302">
        <v>80859468</v>
      </c>
      <c r="P357" s="302">
        <v>16053263</v>
      </c>
      <c r="Q357" s="303"/>
    </row>
    <row r="358" spans="1:17" s="304" customFormat="1" x14ac:dyDescent="0.25">
      <c r="A358" s="300">
        <v>351</v>
      </c>
      <c r="B358" s="300">
        <v>900089005</v>
      </c>
      <c r="C358" s="300" t="s">
        <v>1216</v>
      </c>
      <c r="D358" s="300" t="s">
        <v>758</v>
      </c>
      <c r="E358" s="300" t="s">
        <v>771</v>
      </c>
      <c r="F358" s="301" t="s">
        <v>760</v>
      </c>
      <c r="G358" s="302">
        <v>283526850</v>
      </c>
      <c r="H358" s="302">
        <v>93314726</v>
      </c>
      <c r="I358" s="302">
        <v>243615520</v>
      </c>
      <c r="J358" s="302">
        <v>117860770</v>
      </c>
      <c r="K358" s="302">
        <v>125754750</v>
      </c>
      <c r="L358" s="302">
        <v>54681663</v>
      </c>
      <c r="M358" s="302">
        <v>7930466</v>
      </c>
      <c r="N358" s="302">
        <v>135550762</v>
      </c>
      <c r="O358" s="302">
        <v>36292127</v>
      </c>
      <c r="P358" s="302">
        <v>99258635</v>
      </c>
      <c r="Q358" s="303"/>
    </row>
    <row r="359" spans="1:17" s="304" customFormat="1" x14ac:dyDescent="0.25">
      <c r="A359" s="300">
        <v>352</v>
      </c>
      <c r="B359" s="300">
        <v>891400378</v>
      </c>
      <c r="C359" s="300" t="s">
        <v>1217</v>
      </c>
      <c r="D359" s="300" t="s">
        <v>763</v>
      </c>
      <c r="E359" s="300" t="s">
        <v>919</v>
      </c>
      <c r="F359" s="301" t="s">
        <v>779</v>
      </c>
      <c r="G359" s="302">
        <v>282468135</v>
      </c>
      <c r="H359" s="302">
        <v>5960650</v>
      </c>
      <c r="I359" s="302">
        <v>337926707</v>
      </c>
      <c r="J359" s="302">
        <v>109761489</v>
      </c>
      <c r="K359" s="302">
        <v>228165218</v>
      </c>
      <c r="L359" s="302">
        <v>260896895</v>
      </c>
      <c r="M359" s="302">
        <v>9826254</v>
      </c>
      <c r="N359" s="302">
        <v>307525634</v>
      </c>
      <c r="O359" s="302">
        <v>83650407</v>
      </c>
      <c r="P359" s="302">
        <v>223875227</v>
      </c>
      <c r="Q359" s="303"/>
    </row>
    <row r="360" spans="1:17" s="304" customFormat="1" x14ac:dyDescent="0.25">
      <c r="A360" s="300">
        <v>353</v>
      </c>
      <c r="B360" s="300">
        <v>860352419</v>
      </c>
      <c r="C360" s="300" t="s">
        <v>1218</v>
      </c>
      <c r="D360" s="300" t="s">
        <v>758</v>
      </c>
      <c r="E360" s="300" t="s">
        <v>771</v>
      </c>
      <c r="F360" s="301" t="s">
        <v>760</v>
      </c>
      <c r="G360" s="302">
        <v>281784946</v>
      </c>
      <c r="H360" s="302">
        <v>3541666</v>
      </c>
      <c r="I360" s="302">
        <v>402418960</v>
      </c>
      <c r="J360" s="302">
        <v>293589714</v>
      </c>
      <c r="K360" s="302">
        <v>108829246</v>
      </c>
      <c r="L360" s="302">
        <v>181808536</v>
      </c>
      <c r="M360" s="302">
        <v>19171343</v>
      </c>
      <c r="N360" s="302">
        <v>395285895</v>
      </c>
      <c r="O360" s="302">
        <v>250270525</v>
      </c>
      <c r="P360" s="302">
        <v>145015370</v>
      </c>
      <c r="Q360" s="303"/>
    </row>
    <row r="361" spans="1:17" s="304" customFormat="1" x14ac:dyDescent="0.25">
      <c r="A361" s="300">
        <v>354</v>
      </c>
      <c r="B361" s="300">
        <v>817001644</v>
      </c>
      <c r="C361" s="300" t="s">
        <v>1219</v>
      </c>
      <c r="D361" s="300" t="s">
        <v>808</v>
      </c>
      <c r="E361" s="300" t="s">
        <v>995</v>
      </c>
      <c r="F361" s="301" t="s">
        <v>779</v>
      </c>
      <c r="G361" s="302">
        <v>281291079</v>
      </c>
      <c r="H361" s="302">
        <v>9888900</v>
      </c>
      <c r="I361" s="302">
        <v>320066773</v>
      </c>
      <c r="J361" s="302">
        <v>190468940</v>
      </c>
      <c r="K361" s="302">
        <v>129597833</v>
      </c>
      <c r="L361" s="302">
        <v>101773320</v>
      </c>
      <c r="M361" s="302">
        <v>7515122</v>
      </c>
      <c r="N361" s="302">
        <v>294769559</v>
      </c>
      <c r="O361" s="302">
        <v>167894884</v>
      </c>
      <c r="P361" s="302">
        <v>126874675</v>
      </c>
      <c r="Q361" s="303"/>
    </row>
    <row r="362" spans="1:17" s="304" customFormat="1" x14ac:dyDescent="0.25">
      <c r="A362" s="300">
        <v>355</v>
      </c>
      <c r="B362" s="300">
        <v>860530547</v>
      </c>
      <c r="C362" s="300" t="s">
        <v>1220</v>
      </c>
      <c r="D362" s="300" t="s">
        <v>758</v>
      </c>
      <c r="E362" s="300" t="s">
        <v>1078</v>
      </c>
      <c r="F362" s="301" t="s">
        <v>779</v>
      </c>
      <c r="G362" s="302">
        <v>280363409</v>
      </c>
      <c r="H362" s="302">
        <v>-15491301</v>
      </c>
      <c r="I362" s="302">
        <v>385771147</v>
      </c>
      <c r="J362" s="302">
        <v>272571975</v>
      </c>
      <c r="K362" s="302">
        <v>113199172</v>
      </c>
      <c r="L362" s="302">
        <v>273936401</v>
      </c>
      <c r="M362" s="302">
        <v>6547809</v>
      </c>
      <c r="N362" s="302">
        <v>346670560</v>
      </c>
      <c r="O362" s="302">
        <v>226923568</v>
      </c>
      <c r="P362" s="302">
        <v>119746992</v>
      </c>
      <c r="Q362" s="303"/>
    </row>
    <row r="363" spans="1:17" s="304" customFormat="1" x14ac:dyDescent="0.25">
      <c r="A363" s="300">
        <v>356</v>
      </c>
      <c r="B363" s="300">
        <v>891200200</v>
      </c>
      <c r="C363" s="300" t="s">
        <v>1221</v>
      </c>
      <c r="D363" s="300" t="s">
        <v>808</v>
      </c>
      <c r="E363" s="300" t="s">
        <v>759</v>
      </c>
      <c r="F363" s="301" t="s">
        <v>766</v>
      </c>
      <c r="G363" s="302">
        <v>279700219.551</v>
      </c>
      <c r="H363" s="302">
        <v>7472995.335</v>
      </c>
      <c r="I363" s="302">
        <v>524970215.48400003</v>
      </c>
      <c r="J363" s="302">
        <v>150262322.17199999</v>
      </c>
      <c r="K363" s="302">
        <v>374707893.31199998</v>
      </c>
      <c r="L363" s="302">
        <v>268289371.66299999</v>
      </c>
      <c r="M363" s="302">
        <v>3180097.5260000001</v>
      </c>
      <c r="N363" s="302">
        <v>518544112.69199997</v>
      </c>
      <c r="O363" s="302">
        <v>143724604.13600001</v>
      </c>
      <c r="P363" s="302">
        <v>374819508.55599999</v>
      </c>
      <c r="Q363" s="303"/>
    </row>
    <row r="364" spans="1:17" s="304" customFormat="1" x14ac:dyDescent="0.25">
      <c r="A364" s="300">
        <v>357</v>
      </c>
      <c r="B364" s="300">
        <v>811011779</v>
      </c>
      <c r="C364" s="300" t="s">
        <v>1222</v>
      </c>
      <c r="D364" s="300" t="s">
        <v>763</v>
      </c>
      <c r="E364" s="300" t="s">
        <v>759</v>
      </c>
      <c r="F364" s="301" t="s">
        <v>766</v>
      </c>
      <c r="G364" s="302">
        <v>278152988</v>
      </c>
      <c r="H364" s="302">
        <v>35904322</v>
      </c>
      <c r="I364" s="302">
        <v>672729436</v>
      </c>
      <c r="J364" s="302">
        <v>475377709</v>
      </c>
      <c r="K364" s="302">
        <v>197351727</v>
      </c>
      <c r="L364" s="302">
        <v>267329243</v>
      </c>
      <c r="M364" s="302">
        <v>50510464</v>
      </c>
      <c r="N364" s="302">
        <v>578309695</v>
      </c>
      <c r="O364" s="302">
        <v>366378983</v>
      </c>
      <c r="P364" s="302">
        <v>211930712</v>
      </c>
      <c r="Q364" s="303"/>
    </row>
    <row r="365" spans="1:17" s="304" customFormat="1" x14ac:dyDescent="0.25">
      <c r="A365" s="300">
        <v>358</v>
      </c>
      <c r="B365" s="300">
        <v>860525060</v>
      </c>
      <c r="C365" s="300" t="s">
        <v>1223</v>
      </c>
      <c r="D365" s="300" t="s">
        <v>758</v>
      </c>
      <c r="E365" s="300" t="s">
        <v>776</v>
      </c>
      <c r="F365" s="301" t="s">
        <v>764</v>
      </c>
      <c r="G365" s="302">
        <v>277857803</v>
      </c>
      <c r="H365" s="302">
        <v>5634822</v>
      </c>
      <c r="I365" s="302">
        <v>90435775</v>
      </c>
      <c r="J365" s="302">
        <v>42833334</v>
      </c>
      <c r="K365" s="302">
        <v>47602441</v>
      </c>
      <c r="L365" s="302">
        <v>265361076</v>
      </c>
      <c r="M365" s="302">
        <v>2297099</v>
      </c>
      <c r="N365" s="302">
        <v>73435847</v>
      </c>
      <c r="O365" s="302">
        <v>31033630</v>
      </c>
      <c r="P365" s="302">
        <v>42402217</v>
      </c>
      <c r="Q365" s="303"/>
    </row>
    <row r="366" spans="1:17" s="304" customFormat="1" x14ac:dyDescent="0.25">
      <c r="A366" s="300">
        <v>359</v>
      </c>
      <c r="B366" s="300">
        <v>890312765</v>
      </c>
      <c r="C366" s="300" t="s">
        <v>1224</v>
      </c>
      <c r="D366" s="300" t="s">
        <v>808</v>
      </c>
      <c r="E366" s="300" t="s">
        <v>876</v>
      </c>
      <c r="F366" s="311" t="s">
        <v>877</v>
      </c>
      <c r="G366" s="302">
        <v>277609471</v>
      </c>
      <c r="H366" s="302">
        <v>13367307</v>
      </c>
      <c r="I366" s="302">
        <v>233904915</v>
      </c>
      <c r="J366" s="302">
        <v>115695200</v>
      </c>
      <c r="K366" s="302">
        <v>118209715</v>
      </c>
      <c r="L366" s="302">
        <v>278562899</v>
      </c>
      <c r="M366" s="302">
        <v>34832773</v>
      </c>
      <c r="N366" s="302">
        <v>237987495</v>
      </c>
      <c r="O366" s="302">
        <v>127566377</v>
      </c>
      <c r="P366" s="302">
        <v>110421118</v>
      </c>
      <c r="Q366" s="303"/>
    </row>
    <row r="367" spans="1:17" s="304" customFormat="1" x14ac:dyDescent="0.25">
      <c r="A367" s="300">
        <v>360</v>
      </c>
      <c r="B367" s="300">
        <v>900061516</v>
      </c>
      <c r="C367" s="300" t="s">
        <v>1225</v>
      </c>
      <c r="D367" s="300" t="s">
        <v>768</v>
      </c>
      <c r="E367" s="300" t="s">
        <v>1176</v>
      </c>
      <c r="F367" s="301" t="s">
        <v>764</v>
      </c>
      <c r="G367" s="302">
        <v>277277517</v>
      </c>
      <c r="H367" s="302">
        <v>3628203</v>
      </c>
      <c r="I367" s="302">
        <v>142970341</v>
      </c>
      <c r="J367" s="302">
        <v>124889455</v>
      </c>
      <c r="K367" s="302">
        <v>18080886</v>
      </c>
      <c r="L367" s="302">
        <v>224402392</v>
      </c>
      <c r="M367" s="302">
        <v>2644813</v>
      </c>
      <c r="N367" s="302">
        <v>136871401</v>
      </c>
      <c r="O367" s="302">
        <v>129469724</v>
      </c>
      <c r="P367" s="302">
        <v>7401677</v>
      </c>
      <c r="Q367" s="303"/>
    </row>
    <row r="368" spans="1:17" s="304" customFormat="1" x14ac:dyDescent="0.25">
      <c r="A368" s="300">
        <v>361</v>
      </c>
      <c r="B368" s="300">
        <v>860002190</v>
      </c>
      <c r="C368" s="300" t="s">
        <v>1226</v>
      </c>
      <c r="D368" s="300" t="s">
        <v>758</v>
      </c>
      <c r="E368" s="300" t="s">
        <v>902</v>
      </c>
      <c r="F368" s="301" t="s">
        <v>760</v>
      </c>
      <c r="G368" s="302">
        <v>277121307</v>
      </c>
      <c r="H368" s="302">
        <v>2476177</v>
      </c>
      <c r="I368" s="302">
        <v>94335628</v>
      </c>
      <c r="J368" s="302">
        <v>41755619</v>
      </c>
      <c r="K368" s="302">
        <v>52580009</v>
      </c>
      <c r="L368" s="302">
        <v>264463331</v>
      </c>
      <c r="M368" s="302">
        <v>5362805</v>
      </c>
      <c r="N368" s="302">
        <v>92553692</v>
      </c>
      <c r="O368" s="302">
        <v>35810348</v>
      </c>
      <c r="P368" s="302">
        <v>56743344</v>
      </c>
      <c r="Q368" s="303"/>
    </row>
    <row r="369" spans="1:17" s="304" customFormat="1" x14ac:dyDescent="0.25">
      <c r="A369" s="300">
        <v>362</v>
      </c>
      <c r="B369" s="300">
        <v>900366010</v>
      </c>
      <c r="C369" s="300" t="s">
        <v>1227</v>
      </c>
      <c r="D369" s="300" t="s">
        <v>808</v>
      </c>
      <c r="E369" s="300" t="s">
        <v>759</v>
      </c>
      <c r="F369" s="301" t="s">
        <v>766</v>
      </c>
      <c r="G369" s="302">
        <v>277041479.35100001</v>
      </c>
      <c r="H369" s="302">
        <v>29148495.015999999</v>
      </c>
      <c r="I369" s="302">
        <v>453381647.03899997</v>
      </c>
      <c r="J369" s="302">
        <v>222528152.625</v>
      </c>
      <c r="K369" s="302">
        <v>230853494.414</v>
      </c>
      <c r="L369" s="302">
        <v>265488485.926</v>
      </c>
      <c r="M369" s="302">
        <v>32374677.545000002</v>
      </c>
      <c r="N369" s="302">
        <v>358801625.05500001</v>
      </c>
      <c r="O369" s="302">
        <v>135813304.21000001</v>
      </c>
      <c r="P369" s="302">
        <v>222988320.845</v>
      </c>
      <c r="Q369" s="303"/>
    </row>
    <row r="370" spans="1:17" s="304" customFormat="1" x14ac:dyDescent="0.25">
      <c r="A370" s="300">
        <v>363</v>
      </c>
      <c r="B370" s="300">
        <v>800146425</v>
      </c>
      <c r="C370" s="300" t="s">
        <v>1228</v>
      </c>
      <c r="D370" s="300" t="s">
        <v>758</v>
      </c>
      <c r="E370" s="300" t="s">
        <v>965</v>
      </c>
      <c r="F370" s="301" t="s">
        <v>779</v>
      </c>
      <c r="G370" s="302">
        <v>274990768</v>
      </c>
      <c r="H370" s="302">
        <v>3702789</v>
      </c>
      <c r="I370" s="302">
        <v>156174055</v>
      </c>
      <c r="J370" s="302">
        <v>61705687</v>
      </c>
      <c r="K370" s="302">
        <v>94468368</v>
      </c>
      <c r="L370" s="302">
        <v>267328853</v>
      </c>
      <c r="M370" s="302">
        <v>6482910</v>
      </c>
      <c r="N370" s="302">
        <v>149036356</v>
      </c>
      <c r="O370" s="302">
        <v>53063833</v>
      </c>
      <c r="P370" s="302">
        <v>95972523</v>
      </c>
      <c r="Q370" s="303"/>
    </row>
    <row r="371" spans="1:17" s="304" customFormat="1" x14ac:dyDescent="0.25">
      <c r="A371" s="300">
        <v>364</v>
      </c>
      <c r="B371" s="300">
        <v>900166896</v>
      </c>
      <c r="C371" s="300" t="s">
        <v>1229</v>
      </c>
      <c r="D371" s="300" t="s">
        <v>758</v>
      </c>
      <c r="E371" s="300" t="s">
        <v>801</v>
      </c>
      <c r="F371" s="301" t="s">
        <v>779</v>
      </c>
      <c r="G371" s="302">
        <v>274089555</v>
      </c>
      <c r="H371" s="302">
        <v>2708751</v>
      </c>
      <c r="I371" s="302">
        <v>112998773</v>
      </c>
      <c r="J371" s="302">
        <v>58596391</v>
      </c>
      <c r="K371" s="302">
        <v>54402382</v>
      </c>
      <c r="L371" s="302">
        <v>356822339</v>
      </c>
      <c r="M371" s="302">
        <v>3304337</v>
      </c>
      <c r="N371" s="302">
        <v>102990506</v>
      </c>
      <c r="O371" s="302">
        <v>50460472</v>
      </c>
      <c r="P371" s="302">
        <v>52530034</v>
      </c>
      <c r="Q371" s="303"/>
    </row>
    <row r="372" spans="1:17" s="304" customFormat="1" x14ac:dyDescent="0.25">
      <c r="A372" s="300">
        <v>365</v>
      </c>
      <c r="B372" s="300">
        <v>890903474</v>
      </c>
      <c r="C372" s="300" t="s">
        <v>1230</v>
      </c>
      <c r="D372" s="300" t="s">
        <v>763</v>
      </c>
      <c r="E372" s="300" t="s">
        <v>759</v>
      </c>
      <c r="F372" s="301" t="s">
        <v>779</v>
      </c>
      <c r="G372" s="302">
        <v>272219000</v>
      </c>
      <c r="H372" s="302">
        <v>-10440000</v>
      </c>
      <c r="I372" s="302">
        <v>541782000</v>
      </c>
      <c r="J372" s="302">
        <v>132427000</v>
      </c>
      <c r="K372" s="302">
        <v>409355000</v>
      </c>
      <c r="L372" s="302">
        <v>287265769</v>
      </c>
      <c r="M372" s="302">
        <v>-3985542</v>
      </c>
      <c r="N372" s="302">
        <v>552160810</v>
      </c>
      <c r="O372" s="302">
        <v>109855815</v>
      </c>
      <c r="P372" s="302">
        <v>442304996</v>
      </c>
      <c r="Q372" s="303"/>
    </row>
    <row r="373" spans="1:17" s="304" customFormat="1" x14ac:dyDescent="0.25">
      <c r="A373" s="300">
        <v>366</v>
      </c>
      <c r="B373" s="300">
        <v>830122365</v>
      </c>
      <c r="C373" s="300" t="s">
        <v>1231</v>
      </c>
      <c r="D373" s="300" t="s">
        <v>758</v>
      </c>
      <c r="E373" s="300" t="s">
        <v>776</v>
      </c>
      <c r="F373" s="301" t="s">
        <v>764</v>
      </c>
      <c r="G373" s="302">
        <v>272054440</v>
      </c>
      <c r="H373" s="302">
        <v>-1370758</v>
      </c>
      <c r="I373" s="302">
        <v>90190579</v>
      </c>
      <c r="J373" s="302">
        <v>87077495</v>
      </c>
      <c r="K373" s="302">
        <v>3113084</v>
      </c>
      <c r="L373" s="302">
        <v>272082442</v>
      </c>
      <c r="M373" s="302">
        <v>-2297798</v>
      </c>
      <c r="N373" s="302">
        <v>66927302</v>
      </c>
      <c r="O373" s="302">
        <v>62443460</v>
      </c>
      <c r="P373" s="302">
        <v>4483842</v>
      </c>
      <c r="Q373" s="303"/>
    </row>
    <row r="374" spans="1:17" s="304" customFormat="1" x14ac:dyDescent="0.25">
      <c r="A374" s="300">
        <v>367</v>
      </c>
      <c r="B374" s="300">
        <v>890903035</v>
      </c>
      <c r="C374" s="300" t="s">
        <v>1232</v>
      </c>
      <c r="D374" s="300" t="s">
        <v>758</v>
      </c>
      <c r="E374" s="300" t="s">
        <v>876</v>
      </c>
      <c r="F374" s="311" t="s">
        <v>877</v>
      </c>
      <c r="G374" s="302">
        <v>270286917</v>
      </c>
      <c r="H374" s="302">
        <v>22310708</v>
      </c>
      <c r="I374" s="302">
        <v>426679078</v>
      </c>
      <c r="J374" s="302">
        <v>156615539</v>
      </c>
      <c r="K374" s="302">
        <v>270063539</v>
      </c>
      <c r="L374" s="302">
        <v>304894305</v>
      </c>
      <c r="M374" s="302">
        <v>10415449</v>
      </c>
      <c r="N374" s="302">
        <v>385823063</v>
      </c>
      <c r="O374" s="302">
        <v>137639493</v>
      </c>
      <c r="P374" s="302">
        <v>248183570</v>
      </c>
      <c r="Q374" s="303"/>
    </row>
    <row r="375" spans="1:17" s="304" customFormat="1" x14ac:dyDescent="0.25">
      <c r="A375" s="300">
        <v>368</v>
      </c>
      <c r="B375" s="300">
        <v>900466209</v>
      </c>
      <c r="C375" s="300" t="s">
        <v>1233</v>
      </c>
      <c r="D375" s="300" t="s">
        <v>758</v>
      </c>
      <c r="E375" s="300" t="s">
        <v>880</v>
      </c>
      <c r="F375" s="301" t="s">
        <v>764</v>
      </c>
      <c r="G375" s="302">
        <v>269803734</v>
      </c>
      <c r="H375" s="302">
        <v>7605002</v>
      </c>
      <c r="I375" s="302">
        <v>77765881</v>
      </c>
      <c r="J375" s="302">
        <v>61739395</v>
      </c>
      <c r="K375" s="302">
        <v>16026486</v>
      </c>
      <c r="L375" s="302">
        <v>264963381</v>
      </c>
      <c r="M375" s="302">
        <v>-3023516</v>
      </c>
      <c r="N375" s="302">
        <v>95413008</v>
      </c>
      <c r="O375" s="302">
        <v>86991524</v>
      </c>
      <c r="P375" s="302">
        <v>8421484</v>
      </c>
      <c r="Q375" s="303"/>
    </row>
    <row r="376" spans="1:17" s="304" customFormat="1" x14ac:dyDescent="0.25">
      <c r="A376" s="300">
        <v>369</v>
      </c>
      <c r="B376" s="300">
        <v>900388600</v>
      </c>
      <c r="C376" s="300" t="s">
        <v>1234</v>
      </c>
      <c r="D376" s="300" t="s">
        <v>808</v>
      </c>
      <c r="E376" s="300" t="s">
        <v>1235</v>
      </c>
      <c r="F376" s="300" t="s">
        <v>779</v>
      </c>
      <c r="G376" s="302">
        <v>269552632</v>
      </c>
      <c r="H376" s="302">
        <v>42596987</v>
      </c>
      <c r="I376" s="302">
        <v>263948818</v>
      </c>
      <c r="J376" s="302">
        <v>36705282</v>
      </c>
      <c r="K376" s="302">
        <v>227243536</v>
      </c>
      <c r="L376" s="302">
        <v>230861905</v>
      </c>
      <c r="M376" s="302">
        <v>34692821</v>
      </c>
      <c r="N376" s="302">
        <v>245095532</v>
      </c>
      <c r="O376" s="302">
        <v>27924407</v>
      </c>
      <c r="P376" s="302">
        <v>217171125</v>
      </c>
      <c r="Q376" s="303"/>
    </row>
    <row r="377" spans="1:17" s="304" customFormat="1" x14ac:dyDescent="0.25">
      <c r="A377" s="300">
        <v>370</v>
      </c>
      <c r="B377" s="300">
        <v>860002693</v>
      </c>
      <c r="C377" s="300" t="s">
        <v>1236</v>
      </c>
      <c r="D377" s="300" t="s">
        <v>758</v>
      </c>
      <c r="E377" s="300" t="s">
        <v>776</v>
      </c>
      <c r="F377" s="301" t="s">
        <v>764</v>
      </c>
      <c r="G377" s="302">
        <v>269213225</v>
      </c>
      <c r="H377" s="302">
        <v>27926747</v>
      </c>
      <c r="I377" s="302">
        <v>153561146</v>
      </c>
      <c r="J377" s="302">
        <v>42493497</v>
      </c>
      <c r="K377" s="302">
        <v>111067649</v>
      </c>
      <c r="L377" s="302">
        <v>266407979</v>
      </c>
      <c r="M377" s="302">
        <v>26858330</v>
      </c>
      <c r="N377" s="302">
        <v>144631473</v>
      </c>
      <c r="O377" s="302">
        <v>38074440</v>
      </c>
      <c r="P377" s="302">
        <v>106557033</v>
      </c>
      <c r="Q377" s="303"/>
    </row>
    <row r="378" spans="1:17" s="304" customFormat="1" x14ac:dyDescent="0.25">
      <c r="A378" s="300">
        <v>371</v>
      </c>
      <c r="B378" s="300">
        <v>890900250</v>
      </c>
      <c r="C378" s="300" t="s">
        <v>1237</v>
      </c>
      <c r="D378" s="300" t="s">
        <v>763</v>
      </c>
      <c r="E378" s="300" t="s">
        <v>776</v>
      </c>
      <c r="F378" s="301" t="s">
        <v>764</v>
      </c>
      <c r="G378" s="302">
        <v>268210273</v>
      </c>
      <c r="H378" s="302">
        <v>-2156684</v>
      </c>
      <c r="I378" s="302">
        <v>142502189</v>
      </c>
      <c r="J378" s="302">
        <v>110233080</v>
      </c>
      <c r="K378" s="302">
        <v>32269109</v>
      </c>
      <c r="L378" s="302">
        <v>264046550</v>
      </c>
      <c r="M378" s="302">
        <v>758354</v>
      </c>
      <c r="N378" s="302">
        <v>128215857</v>
      </c>
      <c r="O378" s="302">
        <v>91638761</v>
      </c>
      <c r="P378" s="302">
        <v>36577096</v>
      </c>
      <c r="Q378" s="303"/>
    </row>
    <row r="379" spans="1:17" s="304" customFormat="1" x14ac:dyDescent="0.25">
      <c r="A379" s="300">
        <v>372</v>
      </c>
      <c r="B379" s="300">
        <v>860014659</v>
      </c>
      <c r="C379" s="300" t="s">
        <v>1238</v>
      </c>
      <c r="D379" s="300" t="s">
        <v>758</v>
      </c>
      <c r="E379" s="300" t="s">
        <v>829</v>
      </c>
      <c r="F379" s="301" t="s">
        <v>779</v>
      </c>
      <c r="G379" s="302">
        <v>267553303</v>
      </c>
      <c r="H379" s="302">
        <v>3121721</v>
      </c>
      <c r="I379" s="302">
        <v>272638374</v>
      </c>
      <c r="J379" s="302">
        <v>122597555</v>
      </c>
      <c r="K379" s="302">
        <v>150040819</v>
      </c>
      <c r="L379" s="302">
        <v>218664789</v>
      </c>
      <c r="M379" s="302">
        <v>-4252010</v>
      </c>
      <c r="N379" s="302">
        <v>292045139</v>
      </c>
      <c r="O379" s="302">
        <v>149555992</v>
      </c>
      <c r="P379" s="302">
        <v>142489147</v>
      </c>
      <c r="Q379" s="303"/>
    </row>
    <row r="380" spans="1:17" s="304" customFormat="1" x14ac:dyDescent="0.25">
      <c r="A380" s="300">
        <v>373</v>
      </c>
      <c r="B380" s="308">
        <v>890102044</v>
      </c>
      <c r="C380" s="300" t="s">
        <v>1239</v>
      </c>
      <c r="D380" s="300" t="s">
        <v>768</v>
      </c>
      <c r="E380" s="300" t="s">
        <v>759</v>
      </c>
      <c r="F380" s="301" t="s">
        <v>766</v>
      </c>
      <c r="G380" s="309">
        <v>265092312.71011999</v>
      </c>
      <c r="H380" s="309">
        <v>5170346.1774000088</v>
      </c>
      <c r="I380" s="309">
        <v>108935718.86604999</v>
      </c>
      <c r="J380" s="309">
        <v>69361204.245299995</v>
      </c>
      <c r="K380" s="309">
        <v>39574514.734800003</v>
      </c>
      <c r="L380" s="309">
        <v>221254869.57714999</v>
      </c>
      <c r="M380" s="309">
        <v>6477944.7441000044</v>
      </c>
      <c r="N380" s="309">
        <v>100087801.12104002</v>
      </c>
      <c r="O380" s="309">
        <v>68779477.023670003</v>
      </c>
      <c r="P380" s="309">
        <v>31308324.180640008</v>
      </c>
      <c r="Q380" s="303"/>
    </row>
    <row r="381" spans="1:17" s="304" customFormat="1" x14ac:dyDescent="0.25">
      <c r="A381" s="300">
        <v>374</v>
      </c>
      <c r="B381" s="300">
        <v>891401858</v>
      </c>
      <c r="C381" s="300" t="s">
        <v>1240</v>
      </c>
      <c r="D381" s="300" t="s">
        <v>763</v>
      </c>
      <c r="E381" s="300" t="s">
        <v>957</v>
      </c>
      <c r="F381" s="301" t="s">
        <v>958</v>
      </c>
      <c r="G381" s="302">
        <v>264751198</v>
      </c>
      <c r="H381" s="302">
        <v>-26873000</v>
      </c>
      <c r="I381" s="302">
        <v>251532206</v>
      </c>
      <c r="J381" s="302">
        <v>142890425</v>
      </c>
      <c r="K381" s="302">
        <v>108641781</v>
      </c>
      <c r="L381" s="302">
        <v>298629843</v>
      </c>
      <c r="M381" s="302">
        <v>-32039600</v>
      </c>
      <c r="N381" s="302">
        <v>258836203</v>
      </c>
      <c r="O381" s="302">
        <v>125795200</v>
      </c>
      <c r="P381" s="302">
        <v>133041003</v>
      </c>
      <c r="Q381" s="303"/>
    </row>
    <row r="382" spans="1:17" s="304" customFormat="1" x14ac:dyDescent="0.25">
      <c r="A382" s="300">
        <v>375</v>
      </c>
      <c r="B382" s="300">
        <v>890101553</v>
      </c>
      <c r="C382" s="300" t="s">
        <v>1241</v>
      </c>
      <c r="D382" s="300" t="s">
        <v>758</v>
      </c>
      <c r="E382" s="300" t="s">
        <v>863</v>
      </c>
      <c r="F382" s="301" t="s">
        <v>764</v>
      </c>
      <c r="G382" s="302">
        <v>263634179</v>
      </c>
      <c r="H382" s="302">
        <v>12649371</v>
      </c>
      <c r="I382" s="302">
        <v>104396895</v>
      </c>
      <c r="J382" s="302">
        <v>48576696</v>
      </c>
      <c r="K382" s="302">
        <v>55820199</v>
      </c>
      <c r="L382" s="302">
        <v>222037559</v>
      </c>
      <c r="M382" s="302">
        <v>12159381</v>
      </c>
      <c r="N382" s="302">
        <v>87972382</v>
      </c>
      <c r="O382" s="302">
        <v>39617169</v>
      </c>
      <c r="P382" s="302">
        <v>48355213</v>
      </c>
      <c r="Q382" s="303"/>
    </row>
    <row r="383" spans="1:17" s="304" customFormat="1" x14ac:dyDescent="0.25">
      <c r="A383" s="300">
        <v>376</v>
      </c>
      <c r="B383" s="300">
        <v>830006735</v>
      </c>
      <c r="C383" s="300" t="s">
        <v>1242</v>
      </c>
      <c r="D383" s="300" t="s">
        <v>758</v>
      </c>
      <c r="E383" s="300" t="s">
        <v>965</v>
      </c>
      <c r="F383" s="301" t="s">
        <v>779</v>
      </c>
      <c r="G383" s="302">
        <v>263195440</v>
      </c>
      <c r="H383" s="302">
        <v>10774571</v>
      </c>
      <c r="I383" s="302">
        <v>208232271</v>
      </c>
      <c r="J383" s="302">
        <v>128224240</v>
      </c>
      <c r="K383" s="302">
        <v>80008031</v>
      </c>
      <c r="L383" s="302">
        <v>241153119</v>
      </c>
      <c r="M383" s="302">
        <v>-7877006</v>
      </c>
      <c r="N383" s="302">
        <v>209816762</v>
      </c>
      <c r="O383" s="302">
        <v>142225858</v>
      </c>
      <c r="P383" s="302">
        <v>67590904</v>
      </c>
      <c r="Q383" s="303"/>
    </row>
    <row r="384" spans="1:17" s="304" customFormat="1" x14ac:dyDescent="0.25">
      <c r="A384" s="300">
        <v>377</v>
      </c>
      <c r="B384" s="300">
        <v>900242867</v>
      </c>
      <c r="C384" s="300" t="s">
        <v>1243</v>
      </c>
      <c r="D384" s="300" t="s">
        <v>758</v>
      </c>
      <c r="E384" s="300" t="s">
        <v>771</v>
      </c>
      <c r="F384" s="301" t="s">
        <v>760</v>
      </c>
      <c r="G384" s="302">
        <v>262238584</v>
      </c>
      <c r="H384" s="302">
        <v>19434931</v>
      </c>
      <c r="I384" s="302">
        <v>27687022</v>
      </c>
      <c r="J384" s="302">
        <v>1990790</v>
      </c>
      <c r="K384" s="302">
        <v>25696232</v>
      </c>
      <c r="L384" s="302">
        <v>287407839</v>
      </c>
      <c r="M384" s="302">
        <v>-42678023</v>
      </c>
      <c r="N384" s="302">
        <v>270016081</v>
      </c>
      <c r="O384" s="302">
        <v>167454550</v>
      </c>
      <c r="P384" s="302">
        <v>102561531</v>
      </c>
      <c r="Q384" s="303"/>
    </row>
    <row r="385" spans="1:17" s="304" customFormat="1" x14ac:dyDescent="0.25">
      <c r="A385" s="300">
        <v>378</v>
      </c>
      <c r="B385" s="300">
        <v>830035246</v>
      </c>
      <c r="C385" s="300" t="s">
        <v>1244</v>
      </c>
      <c r="D385" s="300" t="s">
        <v>758</v>
      </c>
      <c r="E385" s="300" t="s">
        <v>1245</v>
      </c>
      <c r="F385" s="301" t="s">
        <v>764</v>
      </c>
      <c r="G385" s="302">
        <v>261462679</v>
      </c>
      <c r="H385" s="302">
        <v>1446662</v>
      </c>
      <c r="I385" s="302">
        <v>94821073</v>
      </c>
      <c r="J385" s="302">
        <v>56050280</v>
      </c>
      <c r="K385" s="302">
        <v>38770793</v>
      </c>
      <c r="L385" s="302">
        <v>295038247</v>
      </c>
      <c r="M385" s="302">
        <v>-550795</v>
      </c>
      <c r="N385" s="302">
        <v>98054680</v>
      </c>
      <c r="O385" s="302">
        <v>60730549</v>
      </c>
      <c r="P385" s="302">
        <v>37324131</v>
      </c>
      <c r="Q385" s="303"/>
    </row>
    <row r="386" spans="1:17" s="304" customFormat="1" x14ac:dyDescent="0.25">
      <c r="A386" s="300">
        <v>379</v>
      </c>
      <c r="B386" s="300">
        <v>860513970</v>
      </c>
      <c r="C386" s="300" t="s">
        <v>1246</v>
      </c>
      <c r="D386" s="300" t="s">
        <v>758</v>
      </c>
      <c r="E386" s="300" t="s">
        <v>773</v>
      </c>
      <c r="F386" s="301" t="s">
        <v>760</v>
      </c>
      <c r="G386" s="302">
        <v>260826175</v>
      </c>
      <c r="H386" s="302">
        <v>4461469</v>
      </c>
      <c r="I386" s="302">
        <v>228830098</v>
      </c>
      <c r="J386" s="302">
        <v>139279258</v>
      </c>
      <c r="K386" s="302">
        <v>89550840</v>
      </c>
      <c r="L386" s="302">
        <v>337227872</v>
      </c>
      <c r="M386" s="302">
        <v>12295401</v>
      </c>
      <c r="N386" s="302">
        <v>229266291</v>
      </c>
      <c r="O386" s="302">
        <v>144121150</v>
      </c>
      <c r="P386" s="302">
        <v>85145141</v>
      </c>
      <c r="Q386" s="303"/>
    </row>
    <row r="387" spans="1:17" s="304" customFormat="1" x14ac:dyDescent="0.25">
      <c r="A387" s="300">
        <v>380</v>
      </c>
      <c r="B387" s="300">
        <v>860005114</v>
      </c>
      <c r="C387" s="300" t="s">
        <v>1247</v>
      </c>
      <c r="D387" s="300" t="s">
        <v>758</v>
      </c>
      <c r="E387" s="300" t="s">
        <v>1248</v>
      </c>
      <c r="F387" s="301" t="s">
        <v>779</v>
      </c>
      <c r="G387" s="302">
        <v>260601661</v>
      </c>
      <c r="H387" s="302">
        <v>15341485</v>
      </c>
      <c r="I387" s="302">
        <v>441616023</v>
      </c>
      <c r="J387" s="302">
        <v>92997378</v>
      </c>
      <c r="K387" s="302">
        <v>348618645</v>
      </c>
      <c r="L387" s="302">
        <v>267264259</v>
      </c>
      <c r="M387" s="302">
        <v>16291983</v>
      </c>
      <c r="N387" s="302">
        <v>394313935</v>
      </c>
      <c r="O387" s="302">
        <v>72903346</v>
      </c>
      <c r="P387" s="302">
        <v>321410589</v>
      </c>
      <c r="Q387" s="303"/>
    </row>
    <row r="388" spans="1:17" s="304" customFormat="1" x14ac:dyDescent="0.25">
      <c r="A388" s="300">
        <v>381</v>
      </c>
      <c r="B388" s="300">
        <v>830513729</v>
      </c>
      <c r="C388" s="300" t="s">
        <v>1249</v>
      </c>
      <c r="D388" s="300" t="s">
        <v>808</v>
      </c>
      <c r="E388" s="300" t="s">
        <v>884</v>
      </c>
      <c r="F388" s="301" t="s">
        <v>764</v>
      </c>
      <c r="G388" s="302">
        <v>260492284</v>
      </c>
      <c r="H388" s="302">
        <v>2391805</v>
      </c>
      <c r="I388" s="302">
        <v>76773827</v>
      </c>
      <c r="J388" s="302">
        <v>35895864</v>
      </c>
      <c r="K388" s="302">
        <v>40877963</v>
      </c>
      <c r="L388" s="302">
        <v>262012088</v>
      </c>
      <c r="M388" s="302">
        <v>3058546</v>
      </c>
      <c r="N388" s="302">
        <v>78437177</v>
      </c>
      <c r="O388" s="302">
        <v>32505864</v>
      </c>
      <c r="P388" s="302">
        <v>45931313</v>
      </c>
      <c r="Q388" s="303"/>
    </row>
    <row r="389" spans="1:17" s="304" customFormat="1" x14ac:dyDescent="0.25">
      <c r="A389" s="300">
        <v>382</v>
      </c>
      <c r="B389" s="300">
        <v>890100703</v>
      </c>
      <c r="C389" s="300" t="s">
        <v>1250</v>
      </c>
      <c r="D389" s="300" t="s">
        <v>768</v>
      </c>
      <c r="E389" s="300" t="s">
        <v>1057</v>
      </c>
      <c r="F389" s="301" t="s">
        <v>779</v>
      </c>
      <c r="G389" s="302">
        <v>260128661</v>
      </c>
      <c r="H389" s="302">
        <v>-20473529</v>
      </c>
      <c r="I389" s="302">
        <v>157067202</v>
      </c>
      <c r="J389" s="302">
        <v>126876234</v>
      </c>
      <c r="K389" s="302">
        <v>30190968</v>
      </c>
      <c r="L389" s="302">
        <v>241906815</v>
      </c>
      <c r="M389" s="302">
        <v>-11569860</v>
      </c>
      <c r="N389" s="302">
        <v>122917675</v>
      </c>
      <c r="O389" s="302">
        <v>98506891</v>
      </c>
      <c r="P389" s="302">
        <v>24410784</v>
      </c>
      <c r="Q389" s="303"/>
    </row>
    <row r="390" spans="1:17" s="304" customFormat="1" x14ac:dyDescent="0.25">
      <c r="A390" s="300">
        <v>383</v>
      </c>
      <c r="B390" s="300">
        <v>830113601</v>
      </c>
      <c r="C390" s="300" t="s">
        <v>1251</v>
      </c>
      <c r="D390" s="300" t="s">
        <v>758</v>
      </c>
      <c r="E390" s="300" t="s">
        <v>1055</v>
      </c>
      <c r="F390" s="301" t="s">
        <v>766</v>
      </c>
      <c r="G390" s="302">
        <v>259905870</v>
      </c>
      <c r="H390" s="302">
        <v>264876944</v>
      </c>
      <c r="I390" s="302">
        <v>7080864359</v>
      </c>
      <c r="J390" s="302">
        <v>144794712</v>
      </c>
      <c r="K390" s="302">
        <v>6936069647</v>
      </c>
      <c r="L390" s="302">
        <v>225596643</v>
      </c>
      <c r="M390" s="302">
        <v>228885623</v>
      </c>
      <c r="N390" s="302">
        <v>6536050751</v>
      </c>
      <c r="O390" s="302">
        <v>1786370</v>
      </c>
      <c r="P390" s="302">
        <v>6534264381</v>
      </c>
      <c r="Q390" s="303"/>
    </row>
    <row r="391" spans="1:17" s="304" customFormat="1" x14ac:dyDescent="0.25">
      <c r="A391" s="300">
        <v>384</v>
      </c>
      <c r="B391" s="300">
        <v>830095563</v>
      </c>
      <c r="C391" s="300" t="s">
        <v>1252</v>
      </c>
      <c r="D391" s="300" t="s">
        <v>758</v>
      </c>
      <c r="E391" s="300" t="s">
        <v>771</v>
      </c>
      <c r="F391" s="301" t="s">
        <v>760</v>
      </c>
      <c r="G391" s="302">
        <v>259640042</v>
      </c>
      <c r="H391" s="302">
        <v>14705879</v>
      </c>
      <c r="I391" s="302">
        <v>546985257</v>
      </c>
      <c r="J391" s="302">
        <v>333427453</v>
      </c>
      <c r="K391" s="302">
        <v>213557804</v>
      </c>
      <c r="L391" s="302">
        <v>288674561</v>
      </c>
      <c r="M391" s="302">
        <v>-13488461</v>
      </c>
      <c r="N391" s="302">
        <v>412607979</v>
      </c>
      <c r="O391" s="302">
        <v>213756054</v>
      </c>
      <c r="P391" s="302">
        <v>198851925</v>
      </c>
      <c r="Q391" s="303"/>
    </row>
    <row r="392" spans="1:17" s="304" customFormat="1" x14ac:dyDescent="0.25">
      <c r="A392" s="300">
        <v>385</v>
      </c>
      <c r="B392" s="300">
        <v>830074222</v>
      </c>
      <c r="C392" s="300" t="s">
        <v>1253</v>
      </c>
      <c r="D392" s="300" t="s">
        <v>758</v>
      </c>
      <c r="E392" s="300" t="s">
        <v>873</v>
      </c>
      <c r="F392" s="301" t="s">
        <v>779</v>
      </c>
      <c r="G392" s="302">
        <v>259234051</v>
      </c>
      <c r="H392" s="302">
        <v>4262276</v>
      </c>
      <c r="I392" s="302">
        <v>207406439</v>
      </c>
      <c r="J392" s="302">
        <v>116554955</v>
      </c>
      <c r="K392" s="302">
        <v>90851484</v>
      </c>
      <c r="L392" s="302">
        <v>230124439</v>
      </c>
      <c r="M392" s="302">
        <v>8876331</v>
      </c>
      <c r="N392" s="302">
        <v>174590352</v>
      </c>
      <c r="O392" s="302">
        <v>87161125</v>
      </c>
      <c r="P392" s="302">
        <v>87429227</v>
      </c>
      <c r="Q392" s="303"/>
    </row>
    <row r="393" spans="1:17" s="304" customFormat="1" x14ac:dyDescent="0.25">
      <c r="A393" s="300">
        <v>386</v>
      </c>
      <c r="B393" s="300">
        <v>811025289</v>
      </c>
      <c r="C393" s="300" t="s">
        <v>1254</v>
      </c>
      <c r="D393" s="300" t="s">
        <v>763</v>
      </c>
      <c r="E393" s="300" t="s">
        <v>776</v>
      </c>
      <c r="F393" s="301" t="s">
        <v>764</v>
      </c>
      <c r="G393" s="302">
        <v>258146010</v>
      </c>
      <c r="H393" s="302">
        <v>10812375</v>
      </c>
      <c r="I393" s="302">
        <v>111652077</v>
      </c>
      <c r="J393" s="302">
        <v>55084781</v>
      </c>
      <c r="K393" s="302">
        <v>56567296</v>
      </c>
      <c r="L393" s="302">
        <v>225917380</v>
      </c>
      <c r="M393" s="302">
        <v>2406870</v>
      </c>
      <c r="N393" s="302">
        <v>127270241</v>
      </c>
      <c r="O393" s="302">
        <v>77040680</v>
      </c>
      <c r="P393" s="302">
        <v>50229561</v>
      </c>
      <c r="Q393" s="303"/>
    </row>
    <row r="394" spans="1:17" s="304" customFormat="1" x14ac:dyDescent="0.25">
      <c r="A394" s="300">
        <v>387</v>
      </c>
      <c r="B394" s="300">
        <v>890929877</v>
      </c>
      <c r="C394" s="300" t="s">
        <v>1255</v>
      </c>
      <c r="D394" s="300" t="s">
        <v>758</v>
      </c>
      <c r="E394" s="300" t="s">
        <v>1256</v>
      </c>
      <c r="F394" s="301" t="s">
        <v>766</v>
      </c>
      <c r="G394" s="302">
        <v>257969438</v>
      </c>
      <c r="H394" s="302">
        <v>-6266207</v>
      </c>
      <c r="I394" s="302">
        <v>96577472</v>
      </c>
      <c r="J394" s="302">
        <v>55160541</v>
      </c>
      <c r="K394" s="302">
        <v>41416931</v>
      </c>
      <c r="L394" s="302">
        <v>238428331</v>
      </c>
      <c r="M394" s="302">
        <v>4066245</v>
      </c>
      <c r="N394" s="302">
        <v>108662931</v>
      </c>
      <c r="O394" s="302">
        <v>77722976</v>
      </c>
      <c r="P394" s="302">
        <v>30939955</v>
      </c>
      <c r="Q394" s="303"/>
    </row>
    <row r="395" spans="1:17" s="304" customFormat="1" x14ac:dyDescent="0.25">
      <c r="A395" s="300">
        <v>388</v>
      </c>
      <c r="B395" s="300">
        <v>900117087</v>
      </c>
      <c r="C395" s="300" t="s">
        <v>1257</v>
      </c>
      <c r="D395" s="300" t="s">
        <v>768</v>
      </c>
      <c r="E395" s="300" t="s">
        <v>1057</v>
      </c>
      <c r="F395" s="301" t="s">
        <v>779</v>
      </c>
      <c r="G395" s="302">
        <v>256719912</v>
      </c>
      <c r="H395" s="302">
        <v>24053933</v>
      </c>
      <c r="I395" s="302">
        <v>89536255</v>
      </c>
      <c r="J395" s="302">
        <v>25613987</v>
      </c>
      <c r="K395" s="302">
        <v>63922268</v>
      </c>
      <c r="L395" s="302">
        <v>262481853</v>
      </c>
      <c r="M395" s="302">
        <v>19819726</v>
      </c>
      <c r="N395" s="302">
        <v>83396152</v>
      </c>
      <c r="O395" s="302">
        <v>29527819</v>
      </c>
      <c r="P395" s="302">
        <v>53868333</v>
      </c>
      <c r="Q395" s="303"/>
    </row>
    <row r="396" spans="1:17" s="304" customFormat="1" x14ac:dyDescent="0.25">
      <c r="A396" s="300">
        <v>389</v>
      </c>
      <c r="B396" s="300">
        <v>900134430</v>
      </c>
      <c r="C396" s="300" t="s">
        <v>1258</v>
      </c>
      <c r="D396" s="300" t="s">
        <v>758</v>
      </c>
      <c r="E396" s="300" t="s">
        <v>1259</v>
      </c>
      <c r="F396" s="301" t="s">
        <v>764</v>
      </c>
      <c r="G396" s="302">
        <v>255988513</v>
      </c>
      <c r="H396" s="302">
        <v>37360538</v>
      </c>
      <c r="I396" s="302">
        <v>277112655</v>
      </c>
      <c r="J396" s="302">
        <v>217941407</v>
      </c>
      <c r="K396" s="302">
        <v>59171248</v>
      </c>
      <c r="L396" s="302">
        <v>230510421</v>
      </c>
      <c r="M396" s="302">
        <v>21276464</v>
      </c>
      <c r="N396" s="302">
        <v>246276776</v>
      </c>
      <c r="O396" s="302">
        <v>220910220</v>
      </c>
      <c r="P396" s="302">
        <v>25366556</v>
      </c>
      <c r="Q396" s="303"/>
    </row>
    <row r="397" spans="1:17" s="304" customFormat="1" x14ac:dyDescent="0.25">
      <c r="A397" s="300">
        <v>390</v>
      </c>
      <c r="B397" s="300">
        <v>800245795</v>
      </c>
      <c r="C397" s="300" t="s">
        <v>1260</v>
      </c>
      <c r="D397" s="300" t="s">
        <v>758</v>
      </c>
      <c r="E397" s="300" t="s">
        <v>853</v>
      </c>
      <c r="F397" s="301" t="s">
        <v>779</v>
      </c>
      <c r="G397" s="302">
        <v>255916184</v>
      </c>
      <c r="H397" s="302">
        <v>2816305</v>
      </c>
      <c r="I397" s="302">
        <v>117321998</v>
      </c>
      <c r="J397" s="302">
        <v>39551521</v>
      </c>
      <c r="K397" s="302">
        <v>77770477</v>
      </c>
      <c r="L397" s="302">
        <v>249567417</v>
      </c>
      <c r="M397" s="302">
        <v>5000076</v>
      </c>
      <c r="N397" s="302">
        <v>86536561</v>
      </c>
      <c r="O397" s="302">
        <v>28090334</v>
      </c>
      <c r="P397" s="302">
        <v>58446227</v>
      </c>
      <c r="Q397" s="303"/>
    </row>
    <row r="398" spans="1:17" s="304" customFormat="1" x14ac:dyDescent="0.25">
      <c r="A398" s="300">
        <v>391</v>
      </c>
      <c r="B398" s="300">
        <v>8903127496</v>
      </c>
      <c r="C398" s="300" t="s">
        <v>1261</v>
      </c>
      <c r="D398" s="300" t="s">
        <v>808</v>
      </c>
      <c r="E398" s="300" t="s">
        <v>759</v>
      </c>
      <c r="F398" s="300" t="s">
        <v>766</v>
      </c>
      <c r="G398" s="302">
        <v>255616487.37900001</v>
      </c>
      <c r="H398" s="302">
        <v>0</v>
      </c>
      <c r="I398" s="302">
        <v>68378301.104000002</v>
      </c>
      <c r="J398" s="302">
        <v>31527999.545000002</v>
      </c>
      <c r="K398" s="302">
        <v>36850301.559</v>
      </c>
      <c r="L398" s="302">
        <v>241572629.33199999</v>
      </c>
      <c r="M398" s="302">
        <v>0</v>
      </c>
      <c r="N398" s="302">
        <v>75101657.968999997</v>
      </c>
      <c r="O398" s="302">
        <v>39667321.57</v>
      </c>
      <c r="P398" s="302">
        <v>35434336.398999996</v>
      </c>
      <c r="Q398" s="303"/>
    </row>
    <row r="399" spans="1:17" s="304" customFormat="1" x14ac:dyDescent="0.25">
      <c r="A399" s="300">
        <v>392</v>
      </c>
      <c r="B399" s="300">
        <v>890311875</v>
      </c>
      <c r="C399" s="300" t="s">
        <v>1262</v>
      </c>
      <c r="D399" s="300" t="s">
        <v>758</v>
      </c>
      <c r="E399" s="300" t="s">
        <v>953</v>
      </c>
      <c r="F399" s="301" t="s">
        <v>779</v>
      </c>
      <c r="G399" s="302">
        <v>254987126</v>
      </c>
      <c r="H399" s="302">
        <v>-11912667</v>
      </c>
      <c r="I399" s="302">
        <v>173960218</v>
      </c>
      <c r="J399" s="302">
        <v>138869654</v>
      </c>
      <c r="K399" s="302">
        <v>35090564</v>
      </c>
      <c r="L399" s="302">
        <v>234127491</v>
      </c>
      <c r="M399" s="302">
        <v>-522018</v>
      </c>
      <c r="N399" s="302">
        <v>181640781</v>
      </c>
      <c r="O399" s="302">
        <v>135156051</v>
      </c>
      <c r="P399" s="302">
        <v>46484730</v>
      </c>
      <c r="Q399" s="303"/>
    </row>
    <row r="400" spans="1:17" s="304" customFormat="1" x14ac:dyDescent="0.25">
      <c r="A400" s="300">
        <v>393</v>
      </c>
      <c r="B400" s="300">
        <v>891300529</v>
      </c>
      <c r="C400" s="300" t="s">
        <v>1263</v>
      </c>
      <c r="D400" s="300" t="s">
        <v>808</v>
      </c>
      <c r="E400" s="300" t="s">
        <v>1057</v>
      </c>
      <c r="F400" s="301" t="s">
        <v>779</v>
      </c>
      <c r="G400" s="302">
        <v>254697771</v>
      </c>
      <c r="H400" s="302">
        <v>15503204</v>
      </c>
      <c r="I400" s="302">
        <v>206695788</v>
      </c>
      <c r="J400" s="302">
        <v>92149219</v>
      </c>
      <c r="K400" s="302">
        <v>114546569</v>
      </c>
      <c r="L400" s="302">
        <v>236644583</v>
      </c>
      <c r="M400" s="302">
        <v>3199800</v>
      </c>
      <c r="N400" s="302">
        <v>188031166</v>
      </c>
      <c r="O400" s="302">
        <v>81723132</v>
      </c>
      <c r="P400" s="302">
        <v>106308034</v>
      </c>
      <c r="Q400" s="303"/>
    </row>
    <row r="401" spans="1:17" s="304" customFormat="1" x14ac:dyDescent="0.25">
      <c r="A401" s="300">
        <v>394</v>
      </c>
      <c r="B401" s="300">
        <v>860045854</v>
      </c>
      <c r="C401" s="300" t="s">
        <v>1264</v>
      </c>
      <c r="D401" s="300" t="s">
        <v>758</v>
      </c>
      <c r="E401" s="300" t="s">
        <v>784</v>
      </c>
      <c r="F401" s="301" t="s">
        <v>764</v>
      </c>
      <c r="G401" s="302">
        <v>254194935</v>
      </c>
      <c r="H401" s="302">
        <v>5599229</v>
      </c>
      <c r="I401" s="302">
        <v>254632948</v>
      </c>
      <c r="J401" s="302">
        <v>158571165</v>
      </c>
      <c r="K401" s="302">
        <v>96061783</v>
      </c>
      <c r="L401" s="302">
        <v>226118595</v>
      </c>
      <c r="M401" s="302">
        <v>5018864</v>
      </c>
      <c r="N401" s="302">
        <v>217240520</v>
      </c>
      <c r="O401" s="302">
        <v>130954916</v>
      </c>
      <c r="P401" s="302">
        <v>86285604</v>
      </c>
      <c r="Q401" s="303"/>
    </row>
    <row r="402" spans="1:17" s="304" customFormat="1" x14ac:dyDescent="0.25">
      <c r="A402" s="300">
        <v>395</v>
      </c>
      <c r="B402" s="300">
        <v>830047819</v>
      </c>
      <c r="C402" s="300" t="s">
        <v>1265</v>
      </c>
      <c r="D402" s="300" t="s">
        <v>758</v>
      </c>
      <c r="E402" s="300" t="s">
        <v>1065</v>
      </c>
      <c r="F402" s="301" t="s">
        <v>766</v>
      </c>
      <c r="G402" s="302">
        <v>253623348</v>
      </c>
      <c r="H402" s="302">
        <v>3779400</v>
      </c>
      <c r="I402" s="302">
        <v>97246280</v>
      </c>
      <c r="J402" s="302">
        <v>45682771</v>
      </c>
      <c r="K402" s="302">
        <v>51563509</v>
      </c>
      <c r="L402" s="302">
        <v>241396539</v>
      </c>
      <c r="M402" s="302">
        <v>37337448</v>
      </c>
      <c r="N402" s="302">
        <v>137255717</v>
      </c>
      <c r="O402" s="302">
        <v>89269269</v>
      </c>
      <c r="P402" s="302">
        <v>47986448</v>
      </c>
      <c r="Q402" s="303"/>
    </row>
    <row r="403" spans="1:17" s="304" customFormat="1" x14ac:dyDescent="0.25">
      <c r="A403" s="300">
        <v>396</v>
      </c>
      <c r="B403" s="300">
        <v>890102110</v>
      </c>
      <c r="C403" s="300" t="s">
        <v>1266</v>
      </c>
      <c r="D403" s="300" t="s">
        <v>768</v>
      </c>
      <c r="E403" s="300" t="s">
        <v>1057</v>
      </c>
      <c r="F403" s="301" t="s">
        <v>779</v>
      </c>
      <c r="G403" s="302">
        <v>253558196</v>
      </c>
      <c r="H403" s="302">
        <v>4484605</v>
      </c>
      <c r="I403" s="302">
        <v>214775523</v>
      </c>
      <c r="J403" s="302">
        <v>120055355</v>
      </c>
      <c r="K403" s="302">
        <v>94720168</v>
      </c>
      <c r="L403" s="302">
        <v>266961040</v>
      </c>
      <c r="M403" s="302">
        <v>4174658</v>
      </c>
      <c r="N403" s="302">
        <v>191739416</v>
      </c>
      <c r="O403" s="302">
        <v>94280662</v>
      </c>
      <c r="P403" s="302">
        <v>97458754</v>
      </c>
      <c r="Q403" s="303"/>
    </row>
    <row r="404" spans="1:17" s="304" customFormat="1" x14ac:dyDescent="0.25">
      <c r="A404" s="300">
        <v>397</v>
      </c>
      <c r="B404" s="300">
        <v>900327290</v>
      </c>
      <c r="C404" s="300" t="s">
        <v>1267</v>
      </c>
      <c r="D404" s="300" t="s">
        <v>758</v>
      </c>
      <c r="E404" s="300" t="s">
        <v>880</v>
      </c>
      <c r="F404" s="301" t="s">
        <v>764</v>
      </c>
      <c r="G404" s="302">
        <v>253069835</v>
      </c>
      <c r="H404" s="302">
        <v>-33634961</v>
      </c>
      <c r="I404" s="302">
        <v>189358949</v>
      </c>
      <c r="J404" s="302">
        <v>180390913</v>
      </c>
      <c r="K404" s="302">
        <v>8968036</v>
      </c>
      <c r="L404" s="302">
        <v>138046530</v>
      </c>
      <c r="M404" s="302">
        <v>-14719713</v>
      </c>
      <c r="N404" s="302">
        <v>142226331</v>
      </c>
      <c r="O404" s="302">
        <v>128504935</v>
      </c>
      <c r="P404" s="302">
        <v>13721396</v>
      </c>
      <c r="Q404" s="303"/>
    </row>
    <row r="405" spans="1:17" s="304" customFormat="1" x14ac:dyDescent="0.25">
      <c r="A405" s="300">
        <v>398</v>
      </c>
      <c r="B405" s="300">
        <v>860040872</v>
      </c>
      <c r="C405" s="300" t="s">
        <v>1268</v>
      </c>
      <c r="D405" s="300" t="s">
        <v>758</v>
      </c>
      <c r="E405" s="300" t="s">
        <v>880</v>
      </c>
      <c r="F405" s="301" t="s">
        <v>764</v>
      </c>
      <c r="G405" s="302">
        <v>251221658</v>
      </c>
      <c r="H405" s="302">
        <v>1520148</v>
      </c>
      <c r="I405" s="302">
        <v>83594435</v>
      </c>
      <c r="J405" s="302">
        <v>63525237</v>
      </c>
      <c r="K405" s="302">
        <v>20069198</v>
      </c>
      <c r="L405" s="302">
        <v>232230259</v>
      </c>
      <c r="M405" s="302">
        <v>1524157</v>
      </c>
      <c r="N405" s="302">
        <v>76942278</v>
      </c>
      <c r="O405" s="302">
        <v>57652996</v>
      </c>
      <c r="P405" s="302">
        <v>19289282</v>
      </c>
      <c r="Q405" s="303"/>
    </row>
    <row r="406" spans="1:17" s="304" customFormat="1" x14ac:dyDescent="0.25">
      <c r="A406" s="300">
        <v>399</v>
      </c>
      <c r="B406" s="300">
        <v>830006051</v>
      </c>
      <c r="C406" s="300" t="s">
        <v>1269</v>
      </c>
      <c r="D406" s="300" t="s">
        <v>758</v>
      </c>
      <c r="E406" s="300" t="s">
        <v>1270</v>
      </c>
      <c r="F406" s="301" t="s">
        <v>764</v>
      </c>
      <c r="G406" s="302">
        <v>250564484</v>
      </c>
      <c r="H406" s="302">
        <v>4507455</v>
      </c>
      <c r="I406" s="302">
        <v>158311250</v>
      </c>
      <c r="J406" s="302">
        <v>136093732</v>
      </c>
      <c r="K406" s="302">
        <v>22217518</v>
      </c>
      <c r="L406" s="302">
        <v>261360978</v>
      </c>
      <c r="M406" s="302">
        <v>1797239</v>
      </c>
      <c r="N406" s="302">
        <v>116583205</v>
      </c>
      <c r="O406" s="302">
        <v>97987459</v>
      </c>
      <c r="P406" s="302">
        <v>18595746</v>
      </c>
      <c r="Q406" s="303"/>
    </row>
    <row r="407" spans="1:17" s="304" customFormat="1" x14ac:dyDescent="0.25">
      <c r="A407" s="300">
        <v>400</v>
      </c>
      <c r="B407" s="300">
        <v>891100296</v>
      </c>
      <c r="C407" s="300" t="s">
        <v>1271</v>
      </c>
      <c r="D407" s="300" t="s">
        <v>758</v>
      </c>
      <c r="E407" s="300" t="s">
        <v>759</v>
      </c>
      <c r="F407" s="301" t="s">
        <v>764</v>
      </c>
      <c r="G407" s="302">
        <v>249595696.71081001</v>
      </c>
      <c r="H407" s="302">
        <v>2186023.9780999999</v>
      </c>
      <c r="I407" s="302">
        <v>39791833.354539998</v>
      </c>
      <c r="J407" s="302">
        <v>14210408.652309999</v>
      </c>
      <c r="K407" s="302">
        <v>25581424.702229999</v>
      </c>
      <c r="L407" s="302">
        <v>242625552.60321</v>
      </c>
      <c r="M407" s="302">
        <v>336292.64075000002</v>
      </c>
      <c r="N407" s="302">
        <v>46040133.009719998</v>
      </c>
      <c r="O407" s="302">
        <v>24224307.516490001</v>
      </c>
      <c r="P407" s="302">
        <v>21815825.49323</v>
      </c>
      <c r="Q407" s="303"/>
    </row>
    <row r="408" spans="1:17" s="304" customFormat="1" x14ac:dyDescent="0.25">
      <c r="A408" s="300">
        <v>401</v>
      </c>
      <c r="B408" s="300">
        <v>800000750</v>
      </c>
      <c r="C408" s="300" t="s">
        <v>1272</v>
      </c>
      <c r="D408" s="300" t="s">
        <v>758</v>
      </c>
      <c r="E408" s="300" t="s">
        <v>771</v>
      </c>
      <c r="F408" s="301" t="s">
        <v>760</v>
      </c>
      <c r="G408" s="302">
        <v>249238314</v>
      </c>
      <c r="H408" s="302">
        <v>122674586</v>
      </c>
      <c r="I408" s="302">
        <v>274782899</v>
      </c>
      <c r="J408" s="302">
        <v>110058265</v>
      </c>
      <c r="K408" s="302">
        <v>164724634</v>
      </c>
      <c r="L408" s="302">
        <v>238851559</v>
      </c>
      <c r="M408" s="302">
        <v>122950429</v>
      </c>
      <c r="N408" s="302">
        <v>255458453</v>
      </c>
      <c r="O408" s="302">
        <v>122084634</v>
      </c>
      <c r="P408" s="302">
        <v>133373819</v>
      </c>
      <c r="Q408" s="303"/>
    </row>
    <row r="409" spans="1:17" s="304" customFormat="1" x14ac:dyDescent="0.25">
      <c r="A409" s="300">
        <v>402</v>
      </c>
      <c r="B409" s="300">
        <v>800091549</v>
      </c>
      <c r="C409" s="300" t="s">
        <v>1273</v>
      </c>
      <c r="D409" s="300" t="s">
        <v>758</v>
      </c>
      <c r="E409" s="300" t="s">
        <v>1084</v>
      </c>
      <c r="F409" s="301" t="s">
        <v>764</v>
      </c>
      <c r="G409" s="302">
        <v>249073465</v>
      </c>
      <c r="H409" s="302">
        <v>1803845</v>
      </c>
      <c r="I409" s="302">
        <v>67448508</v>
      </c>
      <c r="J409" s="302">
        <v>52186872</v>
      </c>
      <c r="K409" s="302">
        <v>15261636</v>
      </c>
      <c r="L409" s="302">
        <v>217058345</v>
      </c>
      <c r="M409" s="302">
        <v>1820320</v>
      </c>
      <c r="N409" s="302">
        <v>61420105</v>
      </c>
      <c r="O409" s="302">
        <v>47867554</v>
      </c>
      <c r="P409" s="302">
        <v>13552551</v>
      </c>
      <c r="Q409" s="303"/>
    </row>
    <row r="410" spans="1:17" s="304" customFormat="1" x14ac:dyDescent="0.25">
      <c r="A410" s="300">
        <v>403</v>
      </c>
      <c r="B410" s="300">
        <v>800125639</v>
      </c>
      <c r="C410" s="300" t="s">
        <v>1274</v>
      </c>
      <c r="D410" s="300" t="s">
        <v>758</v>
      </c>
      <c r="E410" s="300" t="s">
        <v>880</v>
      </c>
      <c r="F410" s="301" t="s">
        <v>764</v>
      </c>
      <c r="G410" s="302">
        <v>249022349</v>
      </c>
      <c r="H410" s="302">
        <v>-2812590</v>
      </c>
      <c r="I410" s="302">
        <v>225914091</v>
      </c>
      <c r="J410" s="302">
        <v>173684819</v>
      </c>
      <c r="K410" s="302">
        <v>52229272</v>
      </c>
      <c r="L410" s="302">
        <v>214302547</v>
      </c>
      <c r="M410" s="302">
        <v>908796</v>
      </c>
      <c r="N410" s="302">
        <v>200281498</v>
      </c>
      <c r="O410" s="302">
        <v>146879053</v>
      </c>
      <c r="P410" s="302">
        <v>53402445</v>
      </c>
      <c r="Q410" s="303"/>
    </row>
    <row r="411" spans="1:17" s="304" customFormat="1" x14ac:dyDescent="0.25">
      <c r="A411" s="300">
        <v>404</v>
      </c>
      <c r="B411" s="300">
        <v>800148160</v>
      </c>
      <c r="C411" s="300" t="s">
        <v>1275</v>
      </c>
      <c r="D411" s="300" t="s">
        <v>758</v>
      </c>
      <c r="E411" s="300" t="s">
        <v>832</v>
      </c>
      <c r="F411" s="301" t="s">
        <v>766</v>
      </c>
      <c r="G411" s="302">
        <v>248688642</v>
      </c>
      <c r="H411" s="302">
        <v>235207491</v>
      </c>
      <c r="I411" s="302">
        <v>6434016441</v>
      </c>
      <c r="J411" s="302">
        <v>53448386</v>
      </c>
      <c r="K411" s="302">
        <v>6380568055</v>
      </c>
      <c r="L411" s="302">
        <v>208466407</v>
      </c>
      <c r="M411" s="302">
        <v>177556644</v>
      </c>
      <c r="N411" s="302">
        <v>5922183866</v>
      </c>
      <c r="O411" s="302">
        <v>51711331</v>
      </c>
      <c r="P411" s="302">
        <v>5870472535</v>
      </c>
      <c r="Q411" s="303"/>
    </row>
    <row r="412" spans="1:17" s="304" customFormat="1" x14ac:dyDescent="0.25">
      <c r="A412" s="300">
        <v>405</v>
      </c>
      <c r="B412" s="300">
        <v>800149537</v>
      </c>
      <c r="C412" s="300" t="s">
        <v>1276</v>
      </c>
      <c r="D412" s="300" t="s">
        <v>768</v>
      </c>
      <c r="E412" s="300" t="s">
        <v>759</v>
      </c>
      <c r="F412" s="301" t="s">
        <v>766</v>
      </c>
      <c r="G412" s="302">
        <v>248610747.72499999</v>
      </c>
      <c r="H412" s="302">
        <v>-552778.65</v>
      </c>
      <c r="I412" s="302">
        <v>93189058.105000004</v>
      </c>
      <c r="J412" s="302">
        <v>53680279.744999997</v>
      </c>
      <c r="K412" s="302">
        <v>39508778.359999999</v>
      </c>
      <c r="L412" s="302">
        <v>241897538.05599999</v>
      </c>
      <c r="M412" s="302">
        <v>3475214.1889999998</v>
      </c>
      <c r="N412" s="302">
        <v>93828930.534999996</v>
      </c>
      <c r="O412" s="302">
        <v>66854081.946999997</v>
      </c>
      <c r="P412" s="302">
        <v>26974848.588</v>
      </c>
      <c r="Q412" s="303"/>
    </row>
    <row r="413" spans="1:17" s="304" customFormat="1" x14ac:dyDescent="0.25">
      <c r="A413" s="300">
        <v>406</v>
      </c>
      <c r="B413" s="300">
        <v>817000808</v>
      </c>
      <c r="C413" s="300" t="s">
        <v>1277</v>
      </c>
      <c r="D413" s="300" t="s">
        <v>808</v>
      </c>
      <c r="E413" s="300" t="s">
        <v>1143</v>
      </c>
      <c r="F413" s="301" t="s">
        <v>779</v>
      </c>
      <c r="G413" s="302">
        <v>247895406</v>
      </c>
      <c r="H413" s="302">
        <v>23249324</v>
      </c>
      <c r="I413" s="302">
        <v>276017781</v>
      </c>
      <c r="J413" s="302">
        <v>50848786</v>
      </c>
      <c r="K413" s="302">
        <v>225168995</v>
      </c>
      <c r="L413" s="302">
        <v>211854521</v>
      </c>
      <c r="M413" s="302">
        <v>17251908</v>
      </c>
      <c r="N413" s="302">
        <v>251517542</v>
      </c>
      <c r="O413" s="302">
        <v>31923053</v>
      </c>
      <c r="P413" s="302">
        <v>219594489</v>
      </c>
      <c r="Q413" s="303"/>
    </row>
    <row r="414" spans="1:17" s="304" customFormat="1" x14ac:dyDescent="0.25">
      <c r="A414" s="300">
        <v>407</v>
      </c>
      <c r="B414" s="300">
        <v>800000276</v>
      </c>
      <c r="C414" s="300" t="s">
        <v>1278</v>
      </c>
      <c r="D414" s="300" t="s">
        <v>891</v>
      </c>
      <c r="E414" s="300" t="s">
        <v>957</v>
      </c>
      <c r="F414" s="301" t="s">
        <v>958</v>
      </c>
      <c r="G414" s="302">
        <v>247876518</v>
      </c>
      <c r="H414" s="302">
        <v>-934938</v>
      </c>
      <c r="I414" s="302">
        <v>111964198</v>
      </c>
      <c r="J414" s="302">
        <v>71826214</v>
      </c>
      <c r="K414" s="302">
        <v>40137984</v>
      </c>
      <c r="L414" s="302">
        <v>256368672</v>
      </c>
      <c r="M414" s="302">
        <v>631094</v>
      </c>
      <c r="N414" s="302">
        <v>113521815</v>
      </c>
      <c r="O414" s="302">
        <v>77371596</v>
      </c>
      <c r="P414" s="302">
        <v>36150219</v>
      </c>
      <c r="Q414" s="303"/>
    </row>
    <row r="415" spans="1:17" s="304" customFormat="1" x14ac:dyDescent="0.25">
      <c r="A415" s="300">
        <v>408</v>
      </c>
      <c r="B415" s="300">
        <v>811030022</v>
      </c>
      <c r="C415" s="300" t="s">
        <v>1279</v>
      </c>
      <c r="D415" s="300" t="s">
        <v>763</v>
      </c>
      <c r="E415" s="300" t="s">
        <v>776</v>
      </c>
      <c r="F415" s="301" t="s">
        <v>764</v>
      </c>
      <c r="G415" s="302">
        <v>247096610</v>
      </c>
      <c r="H415" s="302">
        <v>63808</v>
      </c>
      <c r="I415" s="302">
        <v>36595432</v>
      </c>
      <c r="J415" s="302">
        <v>26901968</v>
      </c>
      <c r="K415" s="302">
        <v>9693464</v>
      </c>
      <c r="L415" s="302">
        <v>724987697</v>
      </c>
      <c r="M415" s="302">
        <v>858882</v>
      </c>
      <c r="N415" s="302">
        <v>53189420</v>
      </c>
      <c r="O415" s="302">
        <v>42781014</v>
      </c>
      <c r="P415" s="302">
        <v>10408406</v>
      </c>
      <c r="Q415" s="303"/>
    </row>
    <row r="416" spans="1:17" s="304" customFormat="1" x14ac:dyDescent="0.25">
      <c r="A416" s="300">
        <v>409</v>
      </c>
      <c r="B416" s="300">
        <v>830116134</v>
      </c>
      <c r="C416" s="300" t="s">
        <v>1280</v>
      </c>
      <c r="D416" s="300" t="s">
        <v>768</v>
      </c>
      <c r="E416" s="300" t="s">
        <v>846</v>
      </c>
      <c r="F416" s="301" t="s">
        <v>760</v>
      </c>
      <c r="G416" s="302">
        <v>245159363</v>
      </c>
      <c r="H416" s="302">
        <v>1927838</v>
      </c>
      <c r="I416" s="302">
        <v>329581665</v>
      </c>
      <c r="J416" s="302">
        <v>258338960</v>
      </c>
      <c r="K416" s="302">
        <v>71242705</v>
      </c>
      <c r="L416" s="302">
        <v>226657125</v>
      </c>
      <c r="M416" s="302">
        <v>10986087</v>
      </c>
      <c r="N416" s="302">
        <v>296847805</v>
      </c>
      <c r="O416" s="302">
        <v>227527781</v>
      </c>
      <c r="P416" s="302">
        <v>69320024</v>
      </c>
      <c r="Q416" s="303"/>
    </row>
    <row r="417" spans="1:17" s="304" customFormat="1" x14ac:dyDescent="0.25">
      <c r="A417" s="300">
        <v>410</v>
      </c>
      <c r="B417" s="300">
        <v>800233881</v>
      </c>
      <c r="C417" s="300" t="s">
        <v>1281</v>
      </c>
      <c r="D417" s="300" t="s">
        <v>763</v>
      </c>
      <c r="E417" s="300" t="s">
        <v>876</v>
      </c>
      <c r="F417" s="311" t="s">
        <v>877</v>
      </c>
      <c r="G417" s="302">
        <v>244921084</v>
      </c>
      <c r="H417" s="302">
        <v>17390165</v>
      </c>
      <c r="I417" s="302">
        <v>172113336</v>
      </c>
      <c r="J417" s="302">
        <v>100649549</v>
      </c>
      <c r="K417" s="302">
        <v>71463787</v>
      </c>
      <c r="L417" s="302">
        <v>146903020</v>
      </c>
      <c r="M417" s="302">
        <v>7466893</v>
      </c>
      <c r="N417" s="302">
        <v>127790322</v>
      </c>
      <c r="O417" s="302">
        <v>67595557</v>
      </c>
      <c r="P417" s="302">
        <v>60194765</v>
      </c>
      <c r="Q417" s="303"/>
    </row>
    <row r="418" spans="1:17" s="304" customFormat="1" x14ac:dyDescent="0.25">
      <c r="A418" s="300">
        <v>411</v>
      </c>
      <c r="B418" s="300">
        <v>890801339</v>
      </c>
      <c r="C418" s="300" t="s">
        <v>1282</v>
      </c>
      <c r="D418" s="300" t="s">
        <v>763</v>
      </c>
      <c r="E418" s="300" t="s">
        <v>1283</v>
      </c>
      <c r="F418" s="301" t="s">
        <v>779</v>
      </c>
      <c r="G418" s="302">
        <v>244903546</v>
      </c>
      <c r="H418" s="302">
        <v>9201691</v>
      </c>
      <c r="I418" s="302">
        <v>128639967</v>
      </c>
      <c r="J418" s="302">
        <v>44145159</v>
      </c>
      <c r="K418" s="302">
        <v>84494808</v>
      </c>
      <c r="L418" s="302">
        <v>248682172</v>
      </c>
      <c r="M418" s="302">
        <v>22186259</v>
      </c>
      <c r="N418" s="302">
        <v>124306530</v>
      </c>
      <c r="O418" s="302">
        <v>43169385</v>
      </c>
      <c r="P418" s="302">
        <v>81137145</v>
      </c>
      <c r="Q418" s="303"/>
    </row>
    <row r="419" spans="1:17" s="304" customFormat="1" x14ac:dyDescent="0.25">
      <c r="A419" s="300">
        <v>412</v>
      </c>
      <c r="B419" s="300">
        <v>890903310</v>
      </c>
      <c r="C419" s="300" t="s">
        <v>1284</v>
      </c>
      <c r="D419" s="300" t="s">
        <v>763</v>
      </c>
      <c r="E419" s="300" t="s">
        <v>1248</v>
      </c>
      <c r="F419" s="301" t="s">
        <v>779</v>
      </c>
      <c r="G419" s="302">
        <v>244553813</v>
      </c>
      <c r="H419" s="302">
        <v>15269758</v>
      </c>
      <c r="I419" s="302">
        <v>250216410</v>
      </c>
      <c r="J419" s="302">
        <v>85875965</v>
      </c>
      <c r="K419" s="302">
        <v>164340445</v>
      </c>
      <c r="L419" s="302">
        <v>227553983</v>
      </c>
      <c r="M419" s="302">
        <v>19211456</v>
      </c>
      <c r="N419" s="302">
        <v>248788586</v>
      </c>
      <c r="O419" s="302">
        <v>92081140</v>
      </c>
      <c r="P419" s="302">
        <v>156707446</v>
      </c>
      <c r="Q419" s="303"/>
    </row>
    <row r="420" spans="1:17" s="304" customFormat="1" x14ac:dyDescent="0.25">
      <c r="A420" s="300">
        <v>413</v>
      </c>
      <c r="B420" s="300">
        <v>802007669</v>
      </c>
      <c r="C420" s="300" t="s">
        <v>1285</v>
      </c>
      <c r="D420" s="300" t="s">
        <v>768</v>
      </c>
      <c r="E420" s="300" t="s">
        <v>759</v>
      </c>
      <c r="F420" s="301" t="s">
        <v>766</v>
      </c>
      <c r="G420" s="309">
        <v>243665747.33000001</v>
      </c>
      <c r="H420" s="309">
        <v>76074415.385000005</v>
      </c>
      <c r="I420" s="309">
        <v>1236347546.1199999</v>
      </c>
      <c r="J420" s="309">
        <v>562610036.05999994</v>
      </c>
      <c r="K420" s="309">
        <v>673737510.05999994</v>
      </c>
      <c r="L420" s="309">
        <v>245051678.04899999</v>
      </c>
      <c r="M420" s="309">
        <v>74832825.902999997</v>
      </c>
      <c r="N420" s="309">
        <v>1312919066.369</v>
      </c>
      <c r="O420" s="309">
        <v>546636876.04499996</v>
      </c>
      <c r="P420" s="309">
        <v>766282190.324</v>
      </c>
      <c r="Q420" s="303"/>
    </row>
    <row r="421" spans="1:17" s="304" customFormat="1" x14ac:dyDescent="0.25">
      <c r="A421" s="300">
        <v>414</v>
      </c>
      <c r="B421" s="300">
        <v>900411999</v>
      </c>
      <c r="C421" s="300" t="s">
        <v>1286</v>
      </c>
      <c r="D421" s="300" t="s">
        <v>758</v>
      </c>
      <c r="E421" s="300" t="s">
        <v>1028</v>
      </c>
      <c r="F421" s="300" t="s">
        <v>764</v>
      </c>
      <c r="G421" s="302">
        <v>243478770</v>
      </c>
      <c r="H421" s="302">
        <v>1229510</v>
      </c>
      <c r="I421" s="302">
        <v>60175569</v>
      </c>
      <c r="J421" s="302">
        <v>56075076</v>
      </c>
      <c r="K421" s="302">
        <v>4100493</v>
      </c>
      <c r="L421" s="302">
        <v>205456690</v>
      </c>
      <c r="M421" s="302">
        <v>-1924352</v>
      </c>
      <c r="N421" s="302">
        <v>56535817</v>
      </c>
      <c r="O421" s="302">
        <v>53664834</v>
      </c>
      <c r="P421" s="302">
        <v>2870983</v>
      </c>
      <c r="Q421" s="303"/>
    </row>
    <row r="422" spans="1:17" s="304" customFormat="1" x14ac:dyDescent="0.25">
      <c r="A422" s="300">
        <v>415</v>
      </c>
      <c r="B422" s="300">
        <v>900174468</v>
      </c>
      <c r="C422" s="300" t="s">
        <v>1287</v>
      </c>
      <c r="D422" s="300" t="s">
        <v>763</v>
      </c>
      <c r="E422" s="300" t="s">
        <v>916</v>
      </c>
      <c r="F422" s="301" t="s">
        <v>779</v>
      </c>
      <c r="G422" s="302">
        <v>243451810</v>
      </c>
      <c r="H422" s="302">
        <v>-133081</v>
      </c>
      <c r="I422" s="302">
        <v>225160342</v>
      </c>
      <c r="J422" s="302">
        <v>118670873</v>
      </c>
      <c r="K422" s="302">
        <v>106489469</v>
      </c>
      <c r="L422" s="302">
        <v>241654411</v>
      </c>
      <c r="M422" s="302">
        <v>13250556</v>
      </c>
      <c r="N422" s="302">
        <v>219387464</v>
      </c>
      <c r="O422" s="302">
        <v>112764915</v>
      </c>
      <c r="P422" s="302">
        <v>106622549</v>
      </c>
      <c r="Q422" s="303"/>
    </row>
    <row r="423" spans="1:17" s="304" customFormat="1" x14ac:dyDescent="0.25">
      <c r="A423" s="300">
        <v>416</v>
      </c>
      <c r="B423" s="300">
        <v>800038391</v>
      </c>
      <c r="C423" s="300" t="s">
        <v>1288</v>
      </c>
      <c r="D423" s="300" t="s">
        <v>768</v>
      </c>
      <c r="E423" s="300" t="s">
        <v>788</v>
      </c>
      <c r="F423" s="301" t="s">
        <v>760</v>
      </c>
      <c r="G423" s="302">
        <v>243274744</v>
      </c>
      <c r="H423" s="302">
        <v>3166195</v>
      </c>
      <c r="I423" s="302">
        <v>396763480</v>
      </c>
      <c r="J423" s="302">
        <v>240910622</v>
      </c>
      <c r="K423" s="302">
        <v>155852858</v>
      </c>
      <c r="L423" s="302">
        <v>304778106</v>
      </c>
      <c r="M423" s="302">
        <v>11318651</v>
      </c>
      <c r="N423" s="302">
        <v>375332225</v>
      </c>
      <c r="O423" s="302">
        <v>234905202</v>
      </c>
      <c r="P423" s="302">
        <v>140427023</v>
      </c>
      <c r="Q423" s="303"/>
    </row>
    <row r="424" spans="1:17" s="304" customFormat="1" x14ac:dyDescent="0.25">
      <c r="A424" s="300">
        <v>417</v>
      </c>
      <c r="B424" s="300">
        <v>811032292</v>
      </c>
      <c r="C424" s="300" t="s">
        <v>1289</v>
      </c>
      <c r="D424" s="300" t="s">
        <v>763</v>
      </c>
      <c r="E424" s="300" t="s">
        <v>1290</v>
      </c>
      <c r="F424" s="311" t="s">
        <v>877</v>
      </c>
      <c r="G424" s="302">
        <v>242931675</v>
      </c>
      <c r="H424" s="302">
        <v>57290904</v>
      </c>
      <c r="I424" s="302">
        <v>228798462</v>
      </c>
      <c r="J424" s="302">
        <v>163039997</v>
      </c>
      <c r="K424" s="302">
        <v>65758465</v>
      </c>
      <c r="L424" s="302">
        <v>228010268</v>
      </c>
      <c r="M424" s="302">
        <v>20372587</v>
      </c>
      <c r="N424" s="302">
        <v>214303576</v>
      </c>
      <c r="O424" s="302">
        <v>191680989</v>
      </c>
      <c r="P424" s="302">
        <v>22622587</v>
      </c>
      <c r="Q424" s="303"/>
    </row>
    <row r="425" spans="1:17" s="304" customFormat="1" x14ac:dyDescent="0.25">
      <c r="A425" s="300">
        <v>418</v>
      </c>
      <c r="B425" s="300">
        <v>890918965</v>
      </c>
      <c r="C425" s="300" t="s">
        <v>1291</v>
      </c>
      <c r="D425" s="300" t="s">
        <v>768</v>
      </c>
      <c r="E425" s="300" t="s">
        <v>1028</v>
      </c>
      <c r="F425" s="301" t="s">
        <v>764</v>
      </c>
      <c r="G425" s="302">
        <v>242604968</v>
      </c>
      <c r="H425" s="302">
        <v>836866</v>
      </c>
      <c r="I425" s="302">
        <v>120423780</v>
      </c>
      <c r="J425" s="302">
        <v>63130175</v>
      </c>
      <c r="K425" s="302">
        <v>57293605</v>
      </c>
      <c r="L425" s="302">
        <v>194694047</v>
      </c>
      <c r="M425" s="302">
        <v>4056555</v>
      </c>
      <c r="N425" s="302">
        <v>118453368</v>
      </c>
      <c r="O425" s="302">
        <v>61668623</v>
      </c>
      <c r="P425" s="302">
        <v>56784745</v>
      </c>
      <c r="Q425" s="303"/>
    </row>
    <row r="426" spans="1:17" s="304" customFormat="1" x14ac:dyDescent="0.25">
      <c r="A426" s="300">
        <v>419</v>
      </c>
      <c r="B426" s="300">
        <v>890932424</v>
      </c>
      <c r="C426" s="300" t="s">
        <v>1292</v>
      </c>
      <c r="D426" s="300" t="s">
        <v>763</v>
      </c>
      <c r="E426" s="300" t="s">
        <v>876</v>
      </c>
      <c r="F426" s="311" t="s">
        <v>877</v>
      </c>
      <c r="G426" s="302">
        <v>241723272</v>
      </c>
      <c r="H426" s="302">
        <v>8853710</v>
      </c>
      <c r="I426" s="302">
        <v>194658823</v>
      </c>
      <c r="J426" s="302">
        <v>56422374</v>
      </c>
      <c r="K426" s="302">
        <v>138236449</v>
      </c>
      <c r="L426" s="302">
        <v>209242999</v>
      </c>
      <c r="M426" s="302">
        <v>20245591</v>
      </c>
      <c r="N426" s="302">
        <v>200355425</v>
      </c>
      <c r="O426" s="302">
        <v>68422510</v>
      </c>
      <c r="P426" s="302">
        <v>131932915</v>
      </c>
      <c r="Q426" s="303"/>
    </row>
    <row r="427" spans="1:17" s="304" customFormat="1" x14ac:dyDescent="0.25">
      <c r="A427" s="300">
        <v>420</v>
      </c>
      <c r="B427" s="300">
        <v>800099903</v>
      </c>
      <c r="C427" s="300" t="s">
        <v>1293</v>
      </c>
      <c r="D427" s="300" t="s">
        <v>808</v>
      </c>
      <c r="E427" s="300" t="s">
        <v>919</v>
      </c>
      <c r="F427" s="301" t="s">
        <v>779</v>
      </c>
      <c r="G427" s="302">
        <v>241664043</v>
      </c>
      <c r="H427" s="302">
        <v>-4944433</v>
      </c>
      <c r="I427" s="302">
        <v>339626590</v>
      </c>
      <c r="J427" s="302">
        <v>256285621</v>
      </c>
      <c r="K427" s="302">
        <v>83340969</v>
      </c>
      <c r="L427" s="302">
        <v>264539669</v>
      </c>
      <c r="M427" s="302">
        <v>5552896</v>
      </c>
      <c r="N427" s="302">
        <v>336443002</v>
      </c>
      <c r="O427" s="302">
        <v>247401973</v>
      </c>
      <c r="P427" s="302">
        <v>89041029</v>
      </c>
      <c r="Q427" s="303"/>
    </row>
    <row r="428" spans="1:17" s="304" customFormat="1" x14ac:dyDescent="0.25">
      <c r="A428" s="300">
        <v>421</v>
      </c>
      <c r="B428" s="300">
        <v>890906413</v>
      </c>
      <c r="C428" s="300" t="s">
        <v>1294</v>
      </c>
      <c r="D428" s="300" t="s">
        <v>763</v>
      </c>
      <c r="E428" s="300" t="s">
        <v>876</v>
      </c>
      <c r="F428" s="311" t="s">
        <v>877</v>
      </c>
      <c r="G428" s="302">
        <v>241319770</v>
      </c>
      <c r="H428" s="302">
        <v>14132565</v>
      </c>
      <c r="I428" s="302">
        <v>268122037</v>
      </c>
      <c r="J428" s="302">
        <v>97903974</v>
      </c>
      <c r="K428" s="302">
        <v>170218063</v>
      </c>
      <c r="L428" s="302">
        <v>157229694</v>
      </c>
      <c r="M428" s="302">
        <v>16601299</v>
      </c>
      <c r="N428" s="302">
        <v>207394661</v>
      </c>
      <c r="O428" s="302">
        <v>62454986</v>
      </c>
      <c r="P428" s="302">
        <v>144939675</v>
      </c>
      <c r="Q428" s="303"/>
    </row>
    <row r="429" spans="1:17" s="304" customFormat="1" x14ac:dyDescent="0.25">
      <c r="A429" s="300">
        <v>422</v>
      </c>
      <c r="B429" s="300">
        <v>830012053</v>
      </c>
      <c r="C429" s="300" t="s">
        <v>1295</v>
      </c>
      <c r="D429" s="300" t="s">
        <v>758</v>
      </c>
      <c r="E429" s="300" t="s">
        <v>1290</v>
      </c>
      <c r="F429" s="311" t="s">
        <v>877</v>
      </c>
      <c r="G429" s="302">
        <v>240672326</v>
      </c>
      <c r="H429" s="302">
        <v>12363690</v>
      </c>
      <c r="I429" s="302">
        <v>353766955</v>
      </c>
      <c r="J429" s="302">
        <v>247199753</v>
      </c>
      <c r="K429" s="302">
        <v>106567202</v>
      </c>
      <c r="L429" s="302">
        <v>231932643</v>
      </c>
      <c r="M429" s="302">
        <v>9964557</v>
      </c>
      <c r="N429" s="302">
        <v>277859817</v>
      </c>
      <c r="O429" s="302">
        <v>184122894</v>
      </c>
      <c r="P429" s="302">
        <v>93736923</v>
      </c>
      <c r="Q429" s="303"/>
    </row>
    <row r="430" spans="1:17" s="304" customFormat="1" x14ac:dyDescent="0.25">
      <c r="A430" s="300">
        <v>423</v>
      </c>
      <c r="B430" s="300">
        <v>800141506</v>
      </c>
      <c r="C430" s="300" t="s">
        <v>1296</v>
      </c>
      <c r="D430" s="300" t="s">
        <v>758</v>
      </c>
      <c r="E430" s="300" t="s">
        <v>1297</v>
      </c>
      <c r="F430" s="301" t="s">
        <v>764</v>
      </c>
      <c r="G430" s="302">
        <v>238176073</v>
      </c>
      <c r="H430" s="302">
        <v>501398</v>
      </c>
      <c r="I430" s="302">
        <v>106906209</v>
      </c>
      <c r="J430" s="302">
        <v>77539585</v>
      </c>
      <c r="K430" s="302">
        <v>29366624</v>
      </c>
      <c r="L430" s="302">
        <v>215867249</v>
      </c>
      <c r="M430" s="302">
        <v>3092616</v>
      </c>
      <c r="N430" s="302">
        <v>93630297</v>
      </c>
      <c r="O430" s="302">
        <v>61451135</v>
      </c>
      <c r="P430" s="302">
        <v>32179162</v>
      </c>
      <c r="Q430" s="303"/>
    </row>
    <row r="431" spans="1:17" s="304" customFormat="1" x14ac:dyDescent="0.25">
      <c r="A431" s="300">
        <v>424</v>
      </c>
      <c r="B431" s="300">
        <v>860003831</v>
      </c>
      <c r="C431" s="300" t="s">
        <v>1298</v>
      </c>
      <c r="D431" s="300" t="s">
        <v>758</v>
      </c>
      <c r="E431" s="300" t="s">
        <v>1095</v>
      </c>
      <c r="F431" s="301" t="s">
        <v>779</v>
      </c>
      <c r="G431" s="302">
        <v>237842117</v>
      </c>
      <c r="H431" s="302">
        <v>16209041</v>
      </c>
      <c r="I431" s="302">
        <v>227726581</v>
      </c>
      <c r="J431" s="302">
        <v>47655198</v>
      </c>
      <c r="K431" s="302">
        <v>180071383</v>
      </c>
      <c r="L431" s="302">
        <v>229856722</v>
      </c>
      <c r="M431" s="302">
        <v>9261995</v>
      </c>
      <c r="N431" s="302">
        <v>195624319</v>
      </c>
      <c r="O431" s="302">
        <v>30248455</v>
      </c>
      <c r="P431" s="302">
        <v>165375864</v>
      </c>
      <c r="Q431" s="303"/>
    </row>
    <row r="432" spans="1:17" s="304" customFormat="1" x14ac:dyDescent="0.25">
      <c r="A432" s="300">
        <v>425</v>
      </c>
      <c r="B432" s="300">
        <v>817002533</v>
      </c>
      <c r="C432" s="300" t="s">
        <v>1299</v>
      </c>
      <c r="D432" s="300" t="s">
        <v>808</v>
      </c>
      <c r="E432" s="300" t="s">
        <v>1057</v>
      </c>
      <c r="F432" s="301" t="s">
        <v>779</v>
      </c>
      <c r="G432" s="302">
        <v>237446894</v>
      </c>
      <c r="H432" s="302">
        <v>980</v>
      </c>
      <c r="I432" s="302">
        <v>126618909</v>
      </c>
      <c r="J432" s="302">
        <v>105328130</v>
      </c>
      <c r="K432" s="302">
        <v>21290779</v>
      </c>
      <c r="L432" s="302">
        <v>243087002</v>
      </c>
      <c r="M432" s="302">
        <v>1150</v>
      </c>
      <c r="N432" s="302">
        <v>108635758</v>
      </c>
      <c r="O432" s="302">
        <v>87660439</v>
      </c>
      <c r="P432" s="302">
        <v>20975319</v>
      </c>
      <c r="Q432" s="303"/>
    </row>
    <row r="433" spans="1:17" s="304" customFormat="1" x14ac:dyDescent="0.25">
      <c r="A433" s="300">
        <v>426</v>
      </c>
      <c r="B433" s="300">
        <v>900241676</v>
      </c>
      <c r="C433" s="300" t="s">
        <v>1300</v>
      </c>
      <c r="D433" s="300" t="s">
        <v>758</v>
      </c>
      <c r="E433" s="300" t="s">
        <v>880</v>
      </c>
      <c r="F433" s="301" t="s">
        <v>764</v>
      </c>
      <c r="G433" s="302">
        <v>236816795</v>
      </c>
      <c r="H433" s="302">
        <v>10984013</v>
      </c>
      <c r="I433" s="302">
        <v>94933090</v>
      </c>
      <c r="J433" s="302">
        <v>72026215</v>
      </c>
      <c r="K433" s="302">
        <v>22906875</v>
      </c>
      <c r="L433" s="302">
        <v>239358520</v>
      </c>
      <c r="M433" s="302">
        <v>12853241</v>
      </c>
      <c r="N433" s="302">
        <v>57810433</v>
      </c>
      <c r="O433" s="302">
        <v>33034328</v>
      </c>
      <c r="P433" s="302">
        <v>24776105</v>
      </c>
      <c r="Q433" s="303"/>
    </row>
    <row r="434" spans="1:17" s="304" customFormat="1" x14ac:dyDescent="0.25">
      <c r="A434" s="300">
        <v>427</v>
      </c>
      <c r="B434" s="300">
        <v>800244387</v>
      </c>
      <c r="C434" s="300" t="s">
        <v>1301</v>
      </c>
      <c r="D434" s="300" t="s">
        <v>758</v>
      </c>
      <c r="E434" s="300" t="s">
        <v>1039</v>
      </c>
      <c r="F434" s="301" t="s">
        <v>766</v>
      </c>
      <c r="G434" s="302">
        <v>236068051</v>
      </c>
      <c r="H434" s="302">
        <v>-34924486</v>
      </c>
      <c r="I434" s="302">
        <v>288249752</v>
      </c>
      <c r="J434" s="302">
        <v>116040473</v>
      </c>
      <c r="K434" s="302">
        <v>172209279</v>
      </c>
      <c r="L434" s="302">
        <v>214798808</v>
      </c>
      <c r="M434" s="302">
        <v>-4175748</v>
      </c>
      <c r="N434" s="302">
        <v>208963081</v>
      </c>
      <c r="O434" s="302">
        <v>88279830</v>
      </c>
      <c r="P434" s="302">
        <v>120683251</v>
      </c>
      <c r="Q434" s="303"/>
    </row>
    <row r="435" spans="1:17" s="304" customFormat="1" x14ac:dyDescent="0.25">
      <c r="A435" s="300">
        <v>428</v>
      </c>
      <c r="B435" s="300">
        <v>900062917</v>
      </c>
      <c r="C435" s="300" t="s">
        <v>1302</v>
      </c>
      <c r="D435" s="300" t="s">
        <v>758</v>
      </c>
      <c r="E435" s="300" t="s">
        <v>759</v>
      </c>
      <c r="F435" s="301" t="s">
        <v>766</v>
      </c>
      <c r="G435" s="302">
        <v>234962448</v>
      </c>
      <c r="H435" s="302">
        <v>23756435</v>
      </c>
      <c r="I435" s="302">
        <v>304948048</v>
      </c>
      <c r="J435" s="302">
        <v>89174274</v>
      </c>
      <c r="K435" s="302">
        <v>215773774</v>
      </c>
      <c r="L435" s="302">
        <v>178697096</v>
      </c>
      <c r="M435" s="302">
        <v>4635748</v>
      </c>
      <c r="N435" s="302">
        <v>231968535</v>
      </c>
      <c r="O435" s="302">
        <v>55855878</v>
      </c>
      <c r="P435" s="302">
        <v>176112657</v>
      </c>
      <c r="Q435" s="303"/>
    </row>
    <row r="436" spans="1:17" s="304" customFormat="1" x14ac:dyDescent="0.25">
      <c r="A436" s="300">
        <v>429</v>
      </c>
      <c r="B436" s="300">
        <v>800011987</v>
      </c>
      <c r="C436" s="300" t="s">
        <v>1303</v>
      </c>
      <c r="D436" s="300" t="s">
        <v>768</v>
      </c>
      <c r="E436" s="300" t="s">
        <v>970</v>
      </c>
      <c r="F436" s="301" t="s">
        <v>779</v>
      </c>
      <c r="G436" s="302">
        <v>234930177</v>
      </c>
      <c r="H436" s="302">
        <v>-50172734</v>
      </c>
      <c r="I436" s="302">
        <v>471059510</v>
      </c>
      <c r="J436" s="302">
        <v>337914645</v>
      </c>
      <c r="K436" s="302">
        <v>133144865</v>
      </c>
      <c r="L436" s="302">
        <v>323587530</v>
      </c>
      <c r="M436" s="302">
        <v>-17505428</v>
      </c>
      <c r="N436" s="302">
        <v>441077805</v>
      </c>
      <c r="O436" s="302">
        <v>251889018</v>
      </c>
      <c r="P436" s="302">
        <v>189188787</v>
      </c>
      <c r="Q436" s="303"/>
    </row>
    <row r="437" spans="1:17" s="304" customFormat="1" x14ac:dyDescent="0.25">
      <c r="A437" s="300">
        <v>430</v>
      </c>
      <c r="B437" s="300">
        <v>817002676</v>
      </c>
      <c r="C437" s="300" t="s">
        <v>1304</v>
      </c>
      <c r="D437" s="300" t="s">
        <v>808</v>
      </c>
      <c r="E437" s="300" t="s">
        <v>919</v>
      </c>
      <c r="F437" s="301" t="s">
        <v>779</v>
      </c>
      <c r="G437" s="302">
        <v>234388509</v>
      </c>
      <c r="H437" s="302">
        <v>13445096</v>
      </c>
      <c r="I437" s="302">
        <v>420887390</v>
      </c>
      <c r="J437" s="302">
        <v>121428401</v>
      </c>
      <c r="K437" s="302">
        <v>299458989</v>
      </c>
      <c r="L437" s="302">
        <v>202892966</v>
      </c>
      <c r="M437" s="302">
        <v>13377945</v>
      </c>
      <c r="N437" s="302">
        <v>416909503</v>
      </c>
      <c r="O437" s="302">
        <v>126966345</v>
      </c>
      <c r="P437" s="302">
        <v>289943158</v>
      </c>
      <c r="Q437" s="303"/>
    </row>
    <row r="438" spans="1:17" s="304" customFormat="1" x14ac:dyDescent="0.25">
      <c r="A438" s="300">
        <v>431</v>
      </c>
      <c r="B438" s="300">
        <v>800216499</v>
      </c>
      <c r="C438" s="300" t="s">
        <v>1305</v>
      </c>
      <c r="D438" s="300" t="s">
        <v>758</v>
      </c>
      <c r="E438" s="300" t="s">
        <v>949</v>
      </c>
      <c r="F438" s="300" t="s">
        <v>764</v>
      </c>
      <c r="G438" s="302">
        <v>233908362</v>
      </c>
      <c r="H438" s="302">
        <v>-5926877</v>
      </c>
      <c r="I438" s="302">
        <v>152204384</v>
      </c>
      <c r="J438" s="302">
        <v>133798548</v>
      </c>
      <c r="K438" s="302">
        <v>18405836</v>
      </c>
      <c r="L438" s="302">
        <v>226862899</v>
      </c>
      <c r="M438" s="302">
        <v>2044340</v>
      </c>
      <c r="N438" s="302">
        <v>159426587</v>
      </c>
      <c r="O438" s="302">
        <v>135931736</v>
      </c>
      <c r="P438" s="302">
        <v>23494851</v>
      </c>
      <c r="Q438" s="303"/>
    </row>
    <row r="439" spans="1:17" s="304" customFormat="1" x14ac:dyDescent="0.25">
      <c r="A439" s="300">
        <v>432</v>
      </c>
      <c r="B439" s="300">
        <v>8605070330</v>
      </c>
      <c r="C439" s="300" t="s">
        <v>1306</v>
      </c>
      <c r="D439" s="300" t="s">
        <v>758</v>
      </c>
      <c r="E439" s="300" t="s">
        <v>759</v>
      </c>
      <c r="F439" s="300" t="s">
        <v>766</v>
      </c>
      <c r="G439" s="302">
        <v>233677762.375</v>
      </c>
      <c r="H439" s="302">
        <v>0</v>
      </c>
      <c r="I439" s="302">
        <v>109774926.867</v>
      </c>
      <c r="J439" s="302">
        <v>62777463.597000003</v>
      </c>
      <c r="K439" s="302">
        <v>46997463.270000003</v>
      </c>
      <c r="L439" s="302">
        <v>268976469.93400002</v>
      </c>
      <c r="M439" s="302">
        <v>0</v>
      </c>
      <c r="N439" s="302">
        <v>112862766.54899999</v>
      </c>
      <c r="O439" s="302">
        <v>66235306.493000001</v>
      </c>
      <c r="P439" s="302">
        <v>46627460.056000002</v>
      </c>
      <c r="Q439" s="303"/>
    </row>
    <row r="440" spans="1:17" s="304" customFormat="1" x14ac:dyDescent="0.25">
      <c r="A440" s="300">
        <v>433</v>
      </c>
      <c r="B440" s="300">
        <v>890301918</v>
      </c>
      <c r="C440" s="300" t="s">
        <v>1307</v>
      </c>
      <c r="D440" s="300" t="s">
        <v>758</v>
      </c>
      <c r="E440" s="300" t="s">
        <v>819</v>
      </c>
      <c r="F440" s="301" t="s">
        <v>779</v>
      </c>
      <c r="G440" s="302">
        <v>233530823</v>
      </c>
      <c r="H440" s="302">
        <v>13561477</v>
      </c>
      <c r="I440" s="302">
        <v>123287131</v>
      </c>
      <c r="J440" s="302">
        <v>54669105</v>
      </c>
      <c r="K440" s="302">
        <v>68618026</v>
      </c>
      <c r="L440" s="302">
        <v>235677245</v>
      </c>
      <c r="M440" s="302">
        <v>14349226</v>
      </c>
      <c r="N440" s="302">
        <v>133445451</v>
      </c>
      <c r="O440" s="302">
        <v>61835737</v>
      </c>
      <c r="P440" s="302">
        <v>71609714</v>
      </c>
      <c r="Q440" s="303"/>
    </row>
    <row r="441" spans="1:17" s="304" customFormat="1" x14ac:dyDescent="0.25">
      <c r="A441" s="300">
        <v>434</v>
      </c>
      <c r="B441" s="300">
        <v>900192711</v>
      </c>
      <c r="C441" s="300" t="s">
        <v>1308</v>
      </c>
      <c r="D441" s="300" t="s">
        <v>758</v>
      </c>
      <c r="E441" s="300" t="s">
        <v>1290</v>
      </c>
      <c r="F441" s="311" t="s">
        <v>877</v>
      </c>
      <c r="G441" s="302">
        <v>233322493</v>
      </c>
      <c r="H441" s="302">
        <v>59443259</v>
      </c>
      <c r="I441" s="302">
        <v>323870193</v>
      </c>
      <c r="J441" s="302">
        <v>220962495</v>
      </c>
      <c r="K441" s="302">
        <v>102907698</v>
      </c>
      <c r="L441" s="302">
        <v>184569861</v>
      </c>
      <c r="M441" s="302">
        <v>38572547</v>
      </c>
      <c r="N441" s="302">
        <v>216598917</v>
      </c>
      <c r="O441" s="302">
        <v>157811046</v>
      </c>
      <c r="P441" s="302">
        <v>58787871</v>
      </c>
      <c r="Q441" s="303"/>
    </row>
    <row r="442" spans="1:17" s="304" customFormat="1" x14ac:dyDescent="0.25">
      <c r="A442" s="300">
        <v>435</v>
      </c>
      <c r="B442" s="300">
        <v>891501133</v>
      </c>
      <c r="C442" s="300" t="s">
        <v>1309</v>
      </c>
      <c r="D442" s="300" t="s">
        <v>808</v>
      </c>
      <c r="E442" s="300" t="s">
        <v>759</v>
      </c>
      <c r="F442" s="301" t="s">
        <v>779</v>
      </c>
      <c r="G442" s="302">
        <v>232943674</v>
      </c>
      <c r="H442" s="302">
        <v>-3373303</v>
      </c>
      <c r="I442" s="302">
        <v>829294686</v>
      </c>
      <c r="J442" s="302">
        <v>357377260</v>
      </c>
      <c r="K442" s="302">
        <v>471917426</v>
      </c>
      <c r="L442" s="302">
        <v>253772489</v>
      </c>
      <c r="M442" s="302">
        <v>11936242</v>
      </c>
      <c r="N442" s="302">
        <v>792655089</v>
      </c>
      <c r="O442" s="302">
        <v>350304872</v>
      </c>
      <c r="P442" s="302">
        <v>442350216</v>
      </c>
      <c r="Q442" s="303"/>
    </row>
    <row r="443" spans="1:17" s="304" customFormat="1" x14ac:dyDescent="0.25">
      <c r="A443" s="300">
        <v>436</v>
      </c>
      <c r="B443" s="300">
        <v>811008963</v>
      </c>
      <c r="C443" s="300" t="s">
        <v>1310</v>
      </c>
      <c r="D443" s="300" t="s">
        <v>763</v>
      </c>
      <c r="E443" s="300" t="s">
        <v>1065</v>
      </c>
      <c r="F443" s="301" t="s">
        <v>766</v>
      </c>
      <c r="G443" s="302">
        <v>232811575</v>
      </c>
      <c r="H443" s="302">
        <v>10320223</v>
      </c>
      <c r="I443" s="302">
        <v>274786795</v>
      </c>
      <c r="J443" s="302">
        <v>37229915</v>
      </c>
      <c r="K443" s="302">
        <v>237556880</v>
      </c>
      <c r="L443" s="302">
        <v>181403327</v>
      </c>
      <c r="M443" s="302">
        <v>1166669</v>
      </c>
      <c r="N443" s="302">
        <v>264369926</v>
      </c>
      <c r="O443" s="302">
        <v>41349946</v>
      </c>
      <c r="P443" s="302">
        <v>223019980</v>
      </c>
      <c r="Q443" s="303"/>
    </row>
    <row r="444" spans="1:17" s="304" customFormat="1" x14ac:dyDescent="0.25">
      <c r="A444" s="300">
        <v>437</v>
      </c>
      <c r="B444" s="300">
        <v>890900120</v>
      </c>
      <c r="C444" s="300" t="s">
        <v>1311</v>
      </c>
      <c r="D444" s="300" t="s">
        <v>763</v>
      </c>
      <c r="E444" s="300" t="s">
        <v>759</v>
      </c>
      <c r="F444" s="301" t="s">
        <v>779</v>
      </c>
      <c r="G444" s="302">
        <v>232244000</v>
      </c>
      <c r="H444" s="302">
        <v>13963000</v>
      </c>
      <c r="I444" s="302">
        <v>299932000</v>
      </c>
      <c r="J444" s="302">
        <v>132708000</v>
      </c>
      <c r="K444" s="302">
        <v>167224000</v>
      </c>
      <c r="L444" s="302">
        <v>232698479</v>
      </c>
      <c r="M444" s="302">
        <v>7328620</v>
      </c>
      <c r="N444" s="302">
        <v>216317361</v>
      </c>
      <c r="O444" s="302">
        <v>109149038</v>
      </c>
      <c r="P444" s="302">
        <v>107168323</v>
      </c>
      <c r="Q444" s="303"/>
    </row>
    <row r="445" spans="1:17" s="304" customFormat="1" x14ac:dyDescent="0.25">
      <c r="A445" s="300">
        <v>438</v>
      </c>
      <c r="B445" s="300">
        <v>830129895</v>
      </c>
      <c r="C445" s="300" t="s">
        <v>1312</v>
      </c>
      <c r="D445" s="300" t="s">
        <v>768</v>
      </c>
      <c r="E445" s="300" t="s">
        <v>759</v>
      </c>
      <c r="F445" s="301" t="s">
        <v>766</v>
      </c>
      <c r="G445" s="302">
        <v>231540754.82699999</v>
      </c>
      <c r="H445" s="302">
        <v>-1956738.844</v>
      </c>
      <c r="I445" s="302">
        <v>135222855.69400001</v>
      </c>
      <c r="J445" s="302">
        <v>113786186.404</v>
      </c>
      <c r="K445" s="302">
        <v>21436669.289999999</v>
      </c>
      <c r="L445" s="302">
        <v>218348358.37799999</v>
      </c>
      <c r="M445" s="302">
        <v>22674341.848000001</v>
      </c>
      <c r="N445" s="302">
        <v>101943615.39300001</v>
      </c>
      <c r="O445" s="302">
        <v>97040180.631999999</v>
      </c>
      <c r="P445" s="302">
        <v>4903434.7609999999</v>
      </c>
      <c r="Q445" s="303"/>
    </row>
    <row r="446" spans="1:17" s="304" customFormat="1" x14ac:dyDescent="0.25">
      <c r="A446" s="300">
        <v>439</v>
      </c>
      <c r="B446" s="300">
        <v>800169499</v>
      </c>
      <c r="C446" s="300" t="s">
        <v>1313</v>
      </c>
      <c r="D446" s="300" t="s">
        <v>758</v>
      </c>
      <c r="E446" s="300" t="s">
        <v>759</v>
      </c>
      <c r="F446" s="311" t="s">
        <v>877</v>
      </c>
      <c r="G446" s="302">
        <v>231364170</v>
      </c>
      <c r="H446" s="302">
        <v>83041820</v>
      </c>
      <c r="I446" s="302">
        <v>1211457640</v>
      </c>
      <c r="J446" s="302">
        <v>481914260</v>
      </c>
      <c r="K446" s="302">
        <v>729543380</v>
      </c>
      <c r="L446" s="302">
        <v>346351019</v>
      </c>
      <c r="M446" s="302">
        <v>142173598</v>
      </c>
      <c r="N446" s="302">
        <v>1093975513</v>
      </c>
      <c r="O446" s="302">
        <v>431321639</v>
      </c>
      <c r="P446" s="302">
        <v>662653874</v>
      </c>
      <c r="Q446" s="303"/>
    </row>
    <row r="447" spans="1:17" s="304" customFormat="1" x14ac:dyDescent="0.25">
      <c r="A447" s="300">
        <v>440</v>
      </c>
      <c r="B447" s="300">
        <v>8603502348</v>
      </c>
      <c r="C447" s="300" t="s">
        <v>1314</v>
      </c>
      <c r="D447" s="300" t="s">
        <v>758</v>
      </c>
      <c r="E447" s="300" t="s">
        <v>759</v>
      </c>
      <c r="F447" s="300" t="s">
        <v>766</v>
      </c>
      <c r="G447" s="302">
        <v>231068187.61500001</v>
      </c>
      <c r="H447" s="302">
        <v>0</v>
      </c>
      <c r="I447" s="302">
        <v>134533426.514</v>
      </c>
      <c r="J447" s="302">
        <v>29047449.556000002</v>
      </c>
      <c r="K447" s="302">
        <v>105485976.958</v>
      </c>
      <c r="L447" s="302">
        <v>230946128.486</v>
      </c>
      <c r="M447" s="302">
        <v>0</v>
      </c>
      <c r="N447" s="302">
        <v>117280692.022</v>
      </c>
      <c r="O447" s="302">
        <v>31273305.965999998</v>
      </c>
      <c r="P447" s="302">
        <v>86007386.055999994</v>
      </c>
      <c r="Q447" s="303"/>
    </row>
    <row r="448" spans="1:17" s="304" customFormat="1" x14ac:dyDescent="0.25">
      <c r="A448" s="300">
        <v>441</v>
      </c>
      <c r="B448" s="300">
        <v>890333023</v>
      </c>
      <c r="C448" s="300" t="s">
        <v>1315</v>
      </c>
      <c r="D448" s="300" t="s">
        <v>808</v>
      </c>
      <c r="E448" s="300" t="s">
        <v>916</v>
      </c>
      <c r="F448" s="301" t="s">
        <v>779</v>
      </c>
      <c r="G448" s="302">
        <v>230731580</v>
      </c>
      <c r="H448" s="302">
        <v>6645786</v>
      </c>
      <c r="I448" s="302">
        <v>156514860</v>
      </c>
      <c r="J448" s="302">
        <v>70537901</v>
      </c>
      <c r="K448" s="302">
        <v>85976959</v>
      </c>
      <c r="L448" s="302">
        <v>238258283</v>
      </c>
      <c r="M448" s="302">
        <v>17128397</v>
      </c>
      <c r="N448" s="302">
        <v>166786516</v>
      </c>
      <c r="O448" s="302">
        <v>64106798</v>
      </c>
      <c r="P448" s="302">
        <v>102679718</v>
      </c>
      <c r="Q448" s="303"/>
    </row>
    <row r="449" spans="1:17" s="304" customFormat="1" x14ac:dyDescent="0.25">
      <c r="A449" s="300">
        <v>442</v>
      </c>
      <c r="B449" s="300">
        <v>860002459</v>
      </c>
      <c r="C449" s="300" t="s">
        <v>1944</v>
      </c>
      <c r="D449" s="300" t="s">
        <v>758</v>
      </c>
      <c r="E449" s="300" t="s">
        <v>916</v>
      </c>
      <c r="F449" s="300" t="s">
        <v>779</v>
      </c>
      <c r="G449" s="302">
        <v>230198804</v>
      </c>
      <c r="H449" s="302">
        <v>7479544</v>
      </c>
      <c r="I449" s="302">
        <v>206769278</v>
      </c>
      <c r="J449" s="302">
        <v>130911506</v>
      </c>
      <c r="K449" s="302">
        <v>75857772</v>
      </c>
      <c r="L449" s="302">
        <v>208232303</v>
      </c>
      <c r="M449" s="302">
        <v>8827755</v>
      </c>
      <c r="N449" s="302">
        <v>159971011</v>
      </c>
      <c r="O449" s="302">
        <v>106511512</v>
      </c>
      <c r="P449" s="302">
        <v>53459499</v>
      </c>
      <c r="Q449" s="303"/>
    </row>
    <row r="450" spans="1:17" s="304" customFormat="1" x14ac:dyDescent="0.25">
      <c r="A450" s="300">
        <v>443</v>
      </c>
      <c r="B450" s="300">
        <v>890211777</v>
      </c>
      <c r="C450" s="300" t="s">
        <v>1316</v>
      </c>
      <c r="D450" s="300" t="s">
        <v>891</v>
      </c>
      <c r="E450" s="300" t="s">
        <v>1290</v>
      </c>
      <c r="F450" s="311" t="s">
        <v>877</v>
      </c>
      <c r="G450" s="302">
        <v>229278625</v>
      </c>
      <c r="H450" s="302">
        <v>19833919</v>
      </c>
      <c r="I450" s="302">
        <v>178247018</v>
      </c>
      <c r="J450" s="302">
        <v>90516586</v>
      </c>
      <c r="K450" s="302">
        <v>87730432</v>
      </c>
      <c r="L450" s="302">
        <v>143185709</v>
      </c>
      <c r="M450" s="302">
        <v>4227561</v>
      </c>
      <c r="N450" s="302">
        <v>115960578</v>
      </c>
      <c r="O450" s="302">
        <v>99532821</v>
      </c>
      <c r="P450" s="302">
        <v>16427757</v>
      </c>
      <c r="Q450" s="303"/>
    </row>
    <row r="451" spans="1:17" s="304" customFormat="1" x14ac:dyDescent="0.25">
      <c r="A451" s="300">
        <v>444</v>
      </c>
      <c r="B451" s="300">
        <v>800186228</v>
      </c>
      <c r="C451" s="300" t="s">
        <v>1317</v>
      </c>
      <c r="D451" s="300" t="s">
        <v>758</v>
      </c>
      <c r="E451" s="300" t="s">
        <v>876</v>
      </c>
      <c r="F451" s="311" t="s">
        <v>877</v>
      </c>
      <c r="G451" s="302">
        <v>229015895</v>
      </c>
      <c r="H451" s="302">
        <v>11021132</v>
      </c>
      <c r="I451" s="302">
        <v>211286376</v>
      </c>
      <c r="J451" s="302">
        <v>81162124</v>
      </c>
      <c r="K451" s="302">
        <v>130124252</v>
      </c>
      <c r="L451" s="302">
        <v>171932833</v>
      </c>
      <c r="M451" s="302">
        <v>5882243</v>
      </c>
      <c r="N451" s="302">
        <v>167658659</v>
      </c>
      <c r="O451" s="302">
        <v>76861750</v>
      </c>
      <c r="P451" s="302">
        <v>90796909</v>
      </c>
      <c r="Q451" s="303"/>
    </row>
    <row r="452" spans="1:17" s="304" customFormat="1" x14ac:dyDescent="0.25">
      <c r="A452" s="300">
        <v>445</v>
      </c>
      <c r="B452" s="300">
        <v>800136835</v>
      </c>
      <c r="C452" s="300" t="s">
        <v>1318</v>
      </c>
      <c r="D452" s="300" t="s">
        <v>758</v>
      </c>
      <c r="E452" s="300" t="s">
        <v>1319</v>
      </c>
      <c r="F452" s="301" t="s">
        <v>766</v>
      </c>
      <c r="G452" s="302">
        <v>227086774</v>
      </c>
      <c r="H452" s="302">
        <v>16269040</v>
      </c>
      <c r="I452" s="302">
        <v>248299320</v>
      </c>
      <c r="J452" s="302">
        <v>82003139</v>
      </c>
      <c r="K452" s="302">
        <v>166296181</v>
      </c>
      <c r="L452" s="302">
        <v>204886667</v>
      </c>
      <c r="M452" s="302">
        <v>20302529</v>
      </c>
      <c r="N452" s="302">
        <v>225684983</v>
      </c>
      <c r="O452" s="302">
        <v>74217955</v>
      </c>
      <c r="P452" s="302">
        <v>151467028</v>
      </c>
      <c r="Q452" s="303"/>
    </row>
    <row r="453" spans="1:17" s="304" customFormat="1" x14ac:dyDescent="0.25">
      <c r="A453" s="300">
        <v>446</v>
      </c>
      <c r="B453" s="300">
        <v>900076284</v>
      </c>
      <c r="C453" s="300" t="s">
        <v>1320</v>
      </c>
      <c r="D453" s="300" t="s">
        <v>891</v>
      </c>
      <c r="E453" s="300" t="s">
        <v>759</v>
      </c>
      <c r="F453" s="301" t="s">
        <v>766</v>
      </c>
      <c r="G453" s="309">
        <v>226901704.463</v>
      </c>
      <c r="H453" s="309">
        <v>1046787.455</v>
      </c>
      <c r="I453" s="309">
        <v>49972102.353</v>
      </c>
      <c r="J453" s="309">
        <v>44900153.100000001</v>
      </c>
      <c r="K453" s="309">
        <v>5071949.2529999996</v>
      </c>
      <c r="L453" s="309">
        <v>195407148.18799999</v>
      </c>
      <c r="M453" s="309">
        <v>1991167.0020000001</v>
      </c>
      <c r="N453" s="309">
        <v>50844182.728</v>
      </c>
      <c r="O453" s="309">
        <v>46819020.93</v>
      </c>
      <c r="P453" s="309">
        <v>4025161.798</v>
      </c>
      <c r="Q453" s="303"/>
    </row>
    <row r="454" spans="1:17" s="304" customFormat="1" x14ac:dyDescent="0.25">
      <c r="A454" s="300">
        <v>447</v>
      </c>
      <c r="B454" s="300">
        <v>860014923</v>
      </c>
      <c r="C454" s="300" t="s">
        <v>1321</v>
      </c>
      <c r="D454" s="300" t="s">
        <v>758</v>
      </c>
      <c r="E454" s="300" t="s">
        <v>1322</v>
      </c>
      <c r="F454" s="301" t="s">
        <v>766</v>
      </c>
      <c r="G454" s="302">
        <v>225285685</v>
      </c>
      <c r="H454" s="302">
        <v>50565206</v>
      </c>
      <c r="I454" s="302">
        <v>234943981</v>
      </c>
      <c r="J454" s="302">
        <v>53344968</v>
      </c>
      <c r="K454" s="302">
        <v>181599013</v>
      </c>
      <c r="L454" s="302">
        <v>201223637</v>
      </c>
      <c r="M454" s="302">
        <v>45437513</v>
      </c>
      <c r="N454" s="302">
        <v>227610633</v>
      </c>
      <c r="O454" s="302">
        <v>55981473</v>
      </c>
      <c r="P454" s="302">
        <v>171629160</v>
      </c>
      <c r="Q454" s="303"/>
    </row>
    <row r="455" spans="1:17" s="304" customFormat="1" x14ac:dyDescent="0.25">
      <c r="A455" s="300">
        <v>448</v>
      </c>
      <c r="B455" s="300">
        <v>890900076</v>
      </c>
      <c r="C455" s="300" t="s">
        <v>1323</v>
      </c>
      <c r="D455" s="300" t="s">
        <v>758</v>
      </c>
      <c r="E455" s="300" t="s">
        <v>1324</v>
      </c>
      <c r="F455" s="301" t="s">
        <v>766</v>
      </c>
      <c r="G455" s="302">
        <v>224998940</v>
      </c>
      <c r="H455" s="302">
        <v>39227557</v>
      </c>
      <c r="I455" s="302">
        <v>500053210</v>
      </c>
      <c r="J455" s="302">
        <v>126099900</v>
      </c>
      <c r="K455" s="302">
        <v>373953310</v>
      </c>
      <c r="L455" s="302">
        <v>195331190</v>
      </c>
      <c r="M455" s="302">
        <v>37349180</v>
      </c>
      <c r="N455" s="302">
        <v>408339057</v>
      </c>
      <c r="O455" s="302">
        <v>123474688</v>
      </c>
      <c r="P455" s="302">
        <v>284864369</v>
      </c>
      <c r="Q455" s="303"/>
    </row>
    <row r="456" spans="1:17" s="304" customFormat="1" x14ac:dyDescent="0.25">
      <c r="A456" s="300">
        <v>449</v>
      </c>
      <c r="B456" s="300">
        <v>806008873</v>
      </c>
      <c r="C456" s="300" t="s">
        <v>1325</v>
      </c>
      <c r="D456" s="300" t="s">
        <v>768</v>
      </c>
      <c r="E456" s="300" t="s">
        <v>759</v>
      </c>
      <c r="F456" s="301" t="s">
        <v>766</v>
      </c>
      <c r="G456" s="302">
        <v>224297656</v>
      </c>
      <c r="H456" s="302">
        <v>-3238335</v>
      </c>
      <c r="I456" s="302">
        <v>300970913</v>
      </c>
      <c r="J456" s="302">
        <v>112772971</v>
      </c>
      <c r="K456" s="302">
        <v>188197942</v>
      </c>
      <c r="L456" s="302">
        <v>220412199</v>
      </c>
      <c r="M456" s="302">
        <v>2461596</v>
      </c>
      <c r="N456" s="302">
        <v>264364003</v>
      </c>
      <c r="O456" s="302">
        <v>73187359</v>
      </c>
      <c r="P456" s="302">
        <v>191176644</v>
      </c>
      <c r="Q456" s="303"/>
    </row>
    <row r="457" spans="1:17" s="304" customFormat="1" x14ac:dyDescent="0.25">
      <c r="A457" s="300">
        <v>450</v>
      </c>
      <c r="B457" s="300">
        <v>860017005</v>
      </c>
      <c r="C457" s="300" t="s">
        <v>1326</v>
      </c>
      <c r="D457" s="300" t="s">
        <v>758</v>
      </c>
      <c r="E457" s="300" t="s">
        <v>983</v>
      </c>
      <c r="F457" s="301" t="s">
        <v>779</v>
      </c>
      <c r="G457" s="302">
        <v>223426232</v>
      </c>
      <c r="H457" s="302">
        <v>14935007</v>
      </c>
      <c r="I457" s="302">
        <v>333723705</v>
      </c>
      <c r="J457" s="302">
        <v>89680807</v>
      </c>
      <c r="K457" s="302">
        <v>244042898</v>
      </c>
      <c r="L457" s="302">
        <v>192969075</v>
      </c>
      <c r="M457" s="302">
        <v>15825892</v>
      </c>
      <c r="N457" s="302">
        <v>309441408</v>
      </c>
      <c r="O457" s="302">
        <v>73834239</v>
      </c>
      <c r="P457" s="302">
        <v>235607169</v>
      </c>
      <c r="Q457" s="303"/>
    </row>
    <row r="458" spans="1:17" s="304" customFormat="1" x14ac:dyDescent="0.25">
      <c r="A458" s="300">
        <v>451</v>
      </c>
      <c r="B458" s="300">
        <v>890900259</v>
      </c>
      <c r="C458" s="300" t="s">
        <v>1327</v>
      </c>
      <c r="D458" s="300" t="s">
        <v>763</v>
      </c>
      <c r="E458" s="300" t="s">
        <v>759</v>
      </c>
      <c r="F458" s="301" t="s">
        <v>779</v>
      </c>
      <c r="G458" s="302">
        <v>223318000</v>
      </c>
      <c r="H458" s="302">
        <v>-33092000</v>
      </c>
      <c r="I458" s="302">
        <v>791068000</v>
      </c>
      <c r="J458" s="302">
        <v>165533000</v>
      </c>
      <c r="K458" s="302">
        <v>625535000</v>
      </c>
      <c r="L458" s="302">
        <v>217623797</v>
      </c>
      <c r="M458" s="302">
        <v>-52942739</v>
      </c>
      <c r="N458" s="302">
        <v>614845141</v>
      </c>
      <c r="O458" s="302">
        <v>133939685</v>
      </c>
      <c r="P458" s="302">
        <v>480905460</v>
      </c>
      <c r="Q458" s="303"/>
    </row>
    <row r="459" spans="1:17" s="304" customFormat="1" x14ac:dyDescent="0.25">
      <c r="A459" s="300">
        <v>452</v>
      </c>
      <c r="B459" s="300">
        <v>860000898</v>
      </c>
      <c r="C459" s="300" t="s">
        <v>1328</v>
      </c>
      <c r="D459" s="300" t="s">
        <v>758</v>
      </c>
      <c r="E459" s="300" t="s">
        <v>1329</v>
      </c>
      <c r="F459" s="301" t="s">
        <v>779</v>
      </c>
      <c r="G459" s="302">
        <v>223030640</v>
      </c>
      <c r="H459" s="302">
        <v>-730030</v>
      </c>
      <c r="I459" s="302">
        <v>108242457</v>
      </c>
      <c r="J459" s="302">
        <v>63274815</v>
      </c>
      <c r="K459" s="302">
        <v>44967642</v>
      </c>
      <c r="L459" s="302">
        <v>272687167</v>
      </c>
      <c r="M459" s="302">
        <v>2002058</v>
      </c>
      <c r="N459" s="302">
        <v>96191551</v>
      </c>
      <c r="O459" s="302">
        <v>60183494</v>
      </c>
      <c r="P459" s="302">
        <v>36008057</v>
      </c>
      <c r="Q459" s="303"/>
    </row>
    <row r="460" spans="1:17" s="304" customFormat="1" x14ac:dyDescent="0.25">
      <c r="A460" s="300">
        <v>453</v>
      </c>
      <c r="B460" s="300">
        <v>830094920</v>
      </c>
      <c r="C460" s="300" t="s">
        <v>1330</v>
      </c>
      <c r="D460" s="300" t="s">
        <v>758</v>
      </c>
      <c r="E460" s="300" t="s">
        <v>1331</v>
      </c>
      <c r="F460" s="311" t="s">
        <v>877</v>
      </c>
      <c r="G460" s="302">
        <v>222676882</v>
      </c>
      <c r="H460" s="302">
        <v>12858532</v>
      </c>
      <c r="I460" s="302">
        <v>306720194</v>
      </c>
      <c r="J460" s="302">
        <v>161598725</v>
      </c>
      <c r="K460" s="302">
        <v>145121469</v>
      </c>
      <c r="L460" s="302">
        <v>192343686</v>
      </c>
      <c r="M460" s="302">
        <v>1059479</v>
      </c>
      <c r="N460" s="302">
        <v>354276822</v>
      </c>
      <c r="O460" s="302">
        <v>219208791</v>
      </c>
      <c r="P460" s="302">
        <v>135068031</v>
      </c>
      <c r="Q460" s="303"/>
    </row>
    <row r="461" spans="1:17" s="304" customFormat="1" x14ac:dyDescent="0.25">
      <c r="A461" s="300">
        <v>454</v>
      </c>
      <c r="B461" s="300">
        <v>860076919</v>
      </c>
      <c r="C461" s="300" t="s">
        <v>1332</v>
      </c>
      <c r="D461" s="300" t="s">
        <v>758</v>
      </c>
      <c r="E461" s="300" t="s">
        <v>1215</v>
      </c>
      <c r="F461" s="301" t="s">
        <v>766</v>
      </c>
      <c r="G461" s="302">
        <v>222121110</v>
      </c>
      <c r="H461" s="302">
        <v>10590761</v>
      </c>
      <c r="I461" s="302">
        <v>115925710</v>
      </c>
      <c r="J461" s="302">
        <v>42450403</v>
      </c>
      <c r="K461" s="302">
        <v>73475307</v>
      </c>
      <c r="L461" s="302">
        <v>189824224</v>
      </c>
      <c r="M461" s="302">
        <v>10582539</v>
      </c>
      <c r="N461" s="302">
        <v>113696125</v>
      </c>
      <c r="O461" s="302">
        <v>44805150</v>
      </c>
      <c r="P461" s="302">
        <v>68890975</v>
      </c>
      <c r="Q461" s="303"/>
    </row>
    <row r="462" spans="1:17" s="304" customFormat="1" x14ac:dyDescent="0.25">
      <c r="A462" s="300">
        <v>455</v>
      </c>
      <c r="B462" s="300">
        <v>800188702</v>
      </c>
      <c r="C462" s="300" t="s">
        <v>1333</v>
      </c>
      <c r="D462" s="300" t="s">
        <v>768</v>
      </c>
      <c r="E462" s="300" t="s">
        <v>1059</v>
      </c>
      <c r="F462" s="301" t="s">
        <v>764</v>
      </c>
      <c r="G462" s="302">
        <v>222094363</v>
      </c>
      <c r="H462" s="302">
        <v>2753375</v>
      </c>
      <c r="I462" s="302">
        <v>106940151</v>
      </c>
      <c r="J462" s="302">
        <v>64744770</v>
      </c>
      <c r="K462" s="302">
        <v>42195381</v>
      </c>
      <c r="L462" s="302">
        <v>250303205</v>
      </c>
      <c r="M462" s="302">
        <v>10006792</v>
      </c>
      <c r="N462" s="302">
        <v>111594975</v>
      </c>
      <c r="O462" s="302">
        <v>60226131</v>
      </c>
      <c r="P462" s="302">
        <v>51368844</v>
      </c>
      <c r="Q462" s="303"/>
    </row>
    <row r="463" spans="1:17" s="304" customFormat="1" x14ac:dyDescent="0.25">
      <c r="A463" s="300">
        <v>456</v>
      </c>
      <c r="B463" s="300">
        <v>819000939</v>
      </c>
      <c r="C463" s="300" t="s">
        <v>1334</v>
      </c>
      <c r="D463" s="300" t="s">
        <v>768</v>
      </c>
      <c r="E463" s="300" t="s">
        <v>759</v>
      </c>
      <c r="F463" s="301" t="s">
        <v>766</v>
      </c>
      <c r="G463" s="309">
        <v>221187806.66</v>
      </c>
      <c r="H463" s="309">
        <v>33516985.353</v>
      </c>
      <c r="I463" s="309">
        <v>217122498.51800001</v>
      </c>
      <c r="J463" s="309">
        <v>101226253.92399999</v>
      </c>
      <c r="K463" s="309">
        <v>115896244.594</v>
      </c>
      <c r="L463" s="309">
        <v>180553156.98500001</v>
      </c>
      <c r="M463" s="309">
        <v>3835927.8420000002</v>
      </c>
      <c r="N463" s="309">
        <v>218352003.495</v>
      </c>
      <c r="O463" s="309">
        <v>113062868.465</v>
      </c>
      <c r="P463" s="309">
        <v>105289135.03</v>
      </c>
      <c r="Q463" s="303"/>
    </row>
    <row r="464" spans="1:17" s="304" customFormat="1" x14ac:dyDescent="0.25">
      <c r="A464" s="300">
        <v>457</v>
      </c>
      <c r="B464" s="300">
        <v>800200598</v>
      </c>
      <c r="C464" s="300" t="s">
        <v>1335</v>
      </c>
      <c r="D464" s="300" t="s">
        <v>758</v>
      </c>
      <c r="E464" s="300" t="s">
        <v>1290</v>
      </c>
      <c r="F464" s="316" t="s">
        <v>877</v>
      </c>
      <c r="G464" s="302">
        <v>220755309</v>
      </c>
      <c r="H464" s="302">
        <v>10357411</v>
      </c>
      <c r="I464" s="302">
        <v>274606268</v>
      </c>
      <c r="J464" s="302">
        <v>236788426</v>
      </c>
      <c r="K464" s="302">
        <v>37817842</v>
      </c>
      <c r="L464" s="302">
        <v>172093709</v>
      </c>
      <c r="M464" s="302">
        <v>9665265</v>
      </c>
      <c r="N464" s="302">
        <v>203076076</v>
      </c>
      <c r="O464" s="302">
        <v>171043669</v>
      </c>
      <c r="P464" s="302">
        <v>32032407</v>
      </c>
      <c r="Q464" s="303"/>
    </row>
    <row r="465" spans="1:17" s="304" customFormat="1" x14ac:dyDescent="0.25">
      <c r="A465" s="300">
        <v>458</v>
      </c>
      <c r="B465" s="300">
        <v>811022981</v>
      </c>
      <c r="C465" s="300" t="s">
        <v>1336</v>
      </c>
      <c r="D465" s="300" t="s">
        <v>763</v>
      </c>
      <c r="E465" s="300" t="s">
        <v>1337</v>
      </c>
      <c r="F465" s="301" t="s">
        <v>764</v>
      </c>
      <c r="G465" s="302">
        <v>218013670</v>
      </c>
      <c r="H465" s="302">
        <v>3261494</v>
      </c>
      <c r="I465" s="302">
        <v>57299665</v>
      </c>
      <c r="J465" s="302">
        <v>40494310</v>
      </c>
      <c r="K465" s="302">
        <v>16805355</v>
      </c>
      <c r="L465" s="302">
        <v>173060784</v>
      </c>
      <c r="M465" s="302">
        <v>2788325</v>
      </c>
      <c r="N465" s="302">
        <v>56640678</v>
      </c>
      <c r="O465" s="302">
        <v>44223311</v>
      </c>
      <c r="P465" s="302">
        <v>12417367</v>
      </c>
      <c r="Q465" s="303"/>
    </row>
    <row r="466" spans="1:17" s="304" customFormat="1" x14ac:dyDescent="0.25">
      <c r="A466" s="300">
        <v>459</v>
      </c>
      <c r="B466" s="300">
        <v>860025285</v>
      </c>
      <c r="C466" s="300" t="s">
        <v>1338</v>
      </c>
      <c r="D466" s="300" t="s">
        <v>758</v>
      </c>
      <c r="E466" s="300" t="s">
        <v>1339</v>
      </c>
      <c r="F466" s="301" t="s">
        <v>766</v>
      </c>
      <c r="G466" s="302">
        <v>216866910</v>
      </c>
      <c r="H466" s="302">
        <v>16823636</v>
      </c>
      <c r="I466" s="302">
        <v>161363838</v>
      </c>
      <c r="J466" s="302">
        <v>125950360</v>
      </c>
      <c r="K466" s="302">
        <v>35413478</v>
      </c>
      <c r="L466" s="302">
        <v>137383159</v>
      </c>
      <c r="M466" s="302">
        <v>422577</v>
      </c>
      <c r="N466" s="302">
        <v>138489982</v>
      </c>
      <c r="O466" s="302">
        <v>120397917</v>
      </c>
      <c r="P466" s="302">
        <v>18092065</v>
      </c>
      <c r="Q466" s="303"/>
    </row>
    <row r="467" spans="1:17" s="304" customFormat="1" x14ac:dyDescent="0.25">
      <c r="A467" s="300">
        <v>460</v>
      </c>
      <c r="B467" s="300">
        <v>891401705</v>
      </c>
      <c r="C467" s="300" t="s">
        <v>1340</v>
      </c>
      <c r="D467" s="300" t="s">
        <v>763</v>
      </c>
      <c r="E467" s="300" t="s">
        <v>951</v>
      </c>
      <c r="F467" s="301" t="s">
        <v>779</v>
      </c>
      <c r="G467" s="302">
        <v>215053781</v>
      </c>
      <c r="H467" s="302">
        <v>5334720</v>
      </c>
      <c r="I467" s="302">
        <v>369124685</v>
      </c>
      <c r="J467" s="302">
        <v>128102405</v>
      </c>
      <c r="K467" s="302">
        <v>241022280</v>
      </c>
      <c r="L467" s="302">
        <v>205088273</v>
      </c>
      <c r="M467" s="302">
        <v>13090850</v>
      </c>
      <c r="N467" s="302">
        <v>346414586</v>
      </c>
      <c r="O467" s="302">
        <v>105868870</v>
      </c>
      <c r="P467" s="302">
        <v>240545716</v>
      </c>
      <c r="Q467" s="303"/>
    </row>
    <row r="468" spans="1:17" s="304" customFormat="1" x14ac:dyDescent="0.25">
      <c r="A468" s="300">
        <v>461</v>
      </c>
      <c r="B468" s="300">
        <v>800148159</v>
      </c>
      <c r="C468" s="300" t="s">
        <v>1341</v>
      </c>
      <c r="D468" s="300" t="s">
        <v>758</v>
      </c>
      <c r="E468" s="300" t="s">
        <v>832</v>
      </c>
      <c r="F468" s="301" t="s">
        <v>766</v>
      </c>
      <c r="G468" s="302">
        <v>214932659</v>
      </c>
      <c r="H468" s="302">
        <v>201180837</v>
      </c>
      <c r="I468" s="302">
        <v>5513824698</v>
      </c>
      <c r="J468" s="302">
        <v>122442868</v>
      </c>
      <c r="K468" s="302">
        <v>5391381830</v>
      </c>
      <c r="L468" s="302">
        <v>179109385</v>
      </c>
      <c r="M468" s="302">
        <v>149089712</v>
      </c>
      <c r="N468" s="302">
        <v>5044497360</v>
      </c>
      <c r="O468" s="302">
        <v>118050753</v>
      </c>
      <c r="P468" s="302">
        <v>4926446607</v>
      </c>
      <c r="Q468" s="303"/>
    </row>
    <row r="469" spans="1:17" s="304" customFormat="1" x14ac:dyDescent="0.25">
      <c r="A469" s="300">
        <v>462</v>
      </c>
      <c r="B469" s="300">
        <v>830036108</v>
      </c>
      <c r="C469" s="300" t="s">
        <v>1342</v>
      </c>
      <c r="D469" s="300" t="s">
        <v>758</v>
      </c>
      <c r="E469" s="300" t="s">
        <v>1084</v>
      </c>
      <c r="F469" s="301" t="s">
        <v>764</v>
      </c>
      <c r="G469" s="302">
        <v>214256761</v>
      </c>
      <c r="H469" s="302">
        <v>1781492</v>
      </c>
      <c r="I469" s="302">
        <v>83952676</v>
      </c>
      <c r="J469" s="302">
        <v>65345880</v>
      </c>
      <c r="K469" s="302">
        <v>18606796</v>
      </c>
      <c r="L469" s="302">
        <v>185124144</v>
      </c>
      <c r="M469" s="302">
        <v>1526892</v>
      </c>
      <c r="N469" s="302">
        <v>70756778</v>
      </c>
      <c r="O469" s="302">
        <v>51573745</v>
      </c>
      <c r="P469" s="302">
        <v>19183033</v>
      </c>
      <c r="Q469" s="303"/>
    </row>
    <row r="470" spans="1:17" s="304" customFormat="1" x14ac:dyDescent="0.25">
      <c r="A470" s="300">
        <v>463</v>
      </c>
      <c r="B470" s="300">
        <v>860028580</v>
      </c>
      <c r="C470" s="300" t="s">
        <v>1343</v>
      </c>
      <c r="D470" s="300" t="s">
        <v>758</v>
      </c>
      <c r="E470" s="300" t="s">
        <v>1344</v>
      </c>
      <c r="F470" s="301" t="s">
        <v>764</v>
      </c>
      <c r="G470" s="302">
        <v>213536685</v>
      </c>
      <c r="H470" s="302">
        <v>3427894</v>
      </c>
      <c r="I470" s="302">
        <v>164571041</v>
      </c>
      <c r="J470" s="302">
        <v>66429446</v>
      </c>
      <c r="K470" s="302">
        <v>98141595</v>
      </c>
      <c r="L470" s="302">
        <v>226522885</v>
      </c>
      <c r="M470" s="302">
        <v>3530134</v>
      </c>
      <c r="N470" s="302">
        <v>167339582</v>
      </c>
      <c r="O470" s="302">
        <v>69994803</v>
      </c>
      <c r="P470" s="302">
        <v>97344779</v>
      </c>
      <c r="Q470" s="303"/>
    </row>
    <row r="471" spans="1:17" s="304" customFormat="1" x14ac:dyDescent="0.25">
      <c r="A471" s="300">
        <v>464</v>
      </c>
      <c r="B471" s="300">
        <v>900323853</v>
      </c>
      <c r="C471" s="300" t="s">
        <v>1345</v>
      </c>
      <c r="D471" s="300" t="s">
        <v>758</v>
      </c>
      <c r="E471" s="300" t="s">
        <v>781</v>
      </c>
      <c r="F471" s="301" t="s">
        <v>766</v>
      </c>
      <c r="G471" s="302">
        <v>212612497</v>
      </c>
      <c r="H471" s="302">
        <v>6211892</v>
      </c>
      <c r="I471" s="302">
        <v>299939978</v>
      </c>
      <c r="J471" s="302">
        <v>96993149</v>
      </c>
      <c r="K471" s="302">
        <v>202946829</v>
      </c>
      <c r="L471" s="302">
        <v>116482371</v>
      </c>
      <c r="M471" s="302">
        <v>-2846489</v>
      </c>
      <c r="N471" s="302">
        <v>256697107</v>
      </c>
      <c r="O471" s="302">
        <v>59962169</v>
      </c>
      <c r="P471" s="302">
        <v>196734938</v>
      </c>
      <c r="Q471" s="303"/>
    </row>
    <row r="472" spans="1:17" s="304" customFormat="1" x14ac:dyDescent="0.25">
      <c r="A472" s="300">
        <v>465</v>
      </c>
      <c r="B472" s="300">
        <v>817000705</v>
      </c>
      <c r="C472" s="300" t="s">
        <v>1346</v>
      </c>
      <c r="D472" s="300" t="s">
        <v>808</v>
      </c>
      <c r="E472" s="300" t="s">
        <v>905</v>
      </c>
      <c r="F472" s="301" t="s">
        <v>779</v>
      </c>
      <c r="G472" s="302">
        <v>211983649</v>
      </c>
      <c r="H472" s="302">
        <v>28090118</v>
      </c>
      <c r="I472" s="302">
        <v>207301930</v>
      </c>
      <c r="J472" s="302">
        <v>81226233</v>
      </c>
      <c r="K472" s="302">
        <v>126075697</v>
      </c>
      <c r="L472" s="302">
        <v>202625436</v>
      </c>
      <c r="M472" s="302">
        <v>25188565</v>
      </c>
      <c r="N472" s="302">
        <v>182511203</v>
      </c>
      <c r="O472" s="302">
        <v>67105637</v>
      </c>
      <c r="P472" s="302">
        <v>115405566</v>
      </c>
      <c r="Q472" s="303"/>
    </row>
    <row r="473" spans="1:17" s="304" customFormat="1" x14ac:dyDescent="0.25">
      <c r="A473" s="300">
        <v>466</v>
      </c>
      <c r="B473" s="300">
        <v>860010451</v>
      </c>
      <c r="C473" s="300" t="s">
        <v>1347</v>
      </c>
      <c r="D473" s="300" t="s">
        <v>758</v>
      </c>
      <c r="E473" s="300" t="s">
        <v>1348</v>
      </c>
      <c r="F473" s="301" t="s">
        <v>766</v>
      </c>
      <c r="G473" s="302">
        <v>211817006</v>
      </c>
      <c r="H473" s="302">
        <v>6264123</v>
      </c>
      <c r="I473" s="302">
        <v>52041871</v>
      </c>
      <c r="J473" s="302">
        <v>29677462</v>
      </c>
      <c r="K473" s="302">
        <v>22364409</v>
      </c>
      <c r="L473" s="302">
        <v>173846210</v>
      </c>
      <c r="M473" s="302">
        <v>3058142</v>
      </c>
      <c r="N473" s="302">
        <v>52048443</v>
      </c>
      <c r="O473" s="302">
        <v>31217552</v>
      </c>
      <c r="P473" s="302">
        <v>20830891</v>
      </c>
      <c r="Q473" s="303"/>
    </row>
    <row r="474" spans="1:17" s="304" customFormat="1" x14ac:dyDescent="0.25">
      <c r="A474" s="300">
        <v>467</v>
      </c>
      <c r="B474" s="300">
        <v>890327120</v>
      </c>
      <c r="C474" s="300" t="s">
        <v>1349</v>
      </c>
      <c r="D474" s="300" t="s">
        <v>808</v>
      </c>
      <c r="E474" s="300" t="s">
        <v>1086</v>
      </c>
      <c r="F474" s="301" t="s">
        <v>766</v>
      </c>
      <c r="G474" s="302">
        <v>211810166</v>
      </c>
      <c r="H474" s="302">
        <v>814197</v>
      </c>
      <c r="I474" s="302">
        <v>20802807</v>
      </c>
      <c r="J474" s="302">
        <v>14961036</v>
      </c>
      <c r="K474" s="302">
        <v>5841771</v>
      </c>
      <c r="L474" s="302">
        <v>213315506</v>
      </c>
      <c r="M474" s="302">
        <v>2109626</v>
      </c>
      <c r="N474" s="302">
        <v>26440672</v>
      </c>
      <c r="O474" s="302">
        <v>20170773</v>
      </c>
      <c r="P474" s="302">
        <v>6269899</v>
      </c>
      <c r="Q474" s="303"/>
    </row>
    <row r="475" spans="1:17" s="304" customFormat="1" x14ac:dyDescent="0.25">
      <c r="A475" s="300">
        <v>468</v>
      </c>
      <c r="B475" s="300">
        <v>860024586</v>
      </c>
      <c r="C475" s="300" t="s">
        <v>1350</v>
      </c>
      <c r="D475" s="300" t="s">
        <v>758</v>
      </c>
      <c r="E475" s="300" t="s">
        <v>876</v>
      </c>
      <c r="F475" s="311" t="s">
        <v>877</v>
      </c>
      <c r="G475" s="302">
        <v>211331613</v>
      </c>
      <c r="H475" s="302">
        <v>22306977</v>
      </c>
      <c r="I475" s="302">
        <v>826066041</v>
      </c>
      <c r="J475" s="302">
        <v>287182384</v>
      </c>
      <c r="K475" s="302">
        <v>538883657</v>
      </c>
      <c r="L475" s="302">
        <v>197356020</v>
      </c>
      <c r="M475" s="302">
        <v>18067209</v>
      </c>
      <c r="N475" s="302">
        <v>836137243</v>
      </c>
      <c r="O475" s="302">
        <v>295212291</v>
      </c>
      <c r="P475" s="302">
        <v>540924952</v>
      </c>
      <c r="Q475" s="303"/>
    </row>
    <row r="476" spans="1:17" s="304" customFormat="1" x14ac:dyDescent="0.25">
      <c r="A476" s="300">
        <v>469</v>
      </c>
      <c r="B476" s="300">
        <v>860005264</v>
      </c>
      <c r="C476" s="300" t="s">
        <v>1351</v>
      </c>
      <c r="D476" s="300" t="s">
        <v>758</v>
      </c>
      <c r="E476" s="300" t="s">
        <v>1057</v>
      </c>
      <c r="F476" s="301" t="s">
        <v>779</v>
      </c>
      <c r="G476" s="302">
        <v>210691963</v>
      </c>
      <c r="H476" s="302">
        <v>-20043413</v>
      </c>
      <c r="I476" s="302">
        <v>620220499</v>
      </c>
      <c r="J476" s="302">
        <v>207373454</v>
      </c>
      <c r="K476" s="302">
        <v>412847045</v>
      </c>
      <c r="L476" s="302">
        <v>243328287</v>
      </c>
      <c r="M476" s="302">
        <v>62589986</v>
      </c>
      <c r="N476" s="302">
        <v>458774106</v>
      </c>
      <c r="O476" s="302">
        <v>146651673</v>
      </c>
      <c r="P476" s="302">
        <v>312122433</v>
      </c>
      <c r="Q476" s="303"/>
    </row>
    <row r="477" spans="1:17" s="304" customFormat="1" x14ac:dyDescent="0.25">
      <c r="A477" s="300">
        <v>470</v>
      </c>
      <c r="B477" s="300">
        <v>890200474</v>
      </c>
      <c r="C477" s="300" t="s">
        <v>1352</v>
      </c>
      <c r="D477" s="300" t="s">
        <v>891</v>
      </c>
      <c r="E477" s="300" t="s">
        <v>957</v>
      </c>
      <c r="F477" s="301" t="s">
        <v>958</v>
      </c>
      <c r="G477" s="302">
        <v>210514211</v>
      </c>
      <c r="H477" s="302">
        <v>1065115</v>
      </c>
      <c r="I477" s="302">
        <v>291907069</v>
      </c>
      <c r="J477" s="302">
        <v>125116810</v>
      </c>
      <c r="K477" s="302">
        <v>166790259</v>
      </c>
      <c r="L477" s="302">
        <v>224960399</v>
      </c>
      <c r="M477" s="302">
        <v>10978243</v>
      </c>
      <c r="N477" s="302">
        <v>222129981</v>
      </c>
      <c r="O477" s="302">
        <v>121907626</v>
      </c>
      <c r="P477" s="302">
        <v>100222355</v>
      </c>
      <c r="Q477" s="303"/>
    </row>
    <row r="478" spans="1:17" s="304" customFormat="1" x14ac:dyDescent="0.25">
      <c r="A478" s="312">
        <v>471</v>
      </c>
      <c r="B478" s="312">
        <v>890311243</v>
      </c>
      <c r="C478" s="312" t="s">
        <v>1353</v>
      </c>
      <c r="D478" s="312" t="s">
        <v>808</v>
      </c>
      <c r="E478" s="312" t="s">
        <v>876</v>
      </c>
      <c r="F478" s="313" t="s">
        <v>877</v>
      </c>
      <c r="G478" s="314">
        <v>209684966</v>
      </c>
      <c r="H478" s="314">
        <v>53076</v>
      </c>
      <c r="I478" s="314">
        <v>213128497</v>
      </c>
      <c r="J478" s="314">
        <v>138892896</v>
      </c>
      <c r="K478" s="314">
        <v>74235601</v>
      </c>
      <c r="L478" s="314">
        <v>244729718</v>
      </c>
      <c r="M478" s="314">
        <v>438327</v>
      </c>
      <c r="N478" s="314">
        <v>189010243</v>
      </c>
      <c r="O478" s="314">
        <v>110047985</v>
      </c>
      <c r="P478" s="314">
        <v>78962258</v>
      </c>
      <c r="Q478" s="303"/>
    </row>
    <row r="479" spans="1:17" s="304" customFormat="1" x14ac:dyDescent="0.25">
      <c r="A479" s="300">
        <v>472</v>
      </c>
      <c r="B479" s="300">
        <v>860500480</v>
      </c>
      <c r="C479" s="300" t="s">
        <v>1354</v>
      </c>
      <c r="D479" s="300" t="s">
        <v>758</v>
      </c>
      <c r="E479" s="300" t="s">
        <v>1355</v>
      </c>
      <c r="F479" s="301" t="s">
        <v>764</v>
      </c>
      <c r="G479" s="302">
        <v>209598063</v>
      </c>
      <c r="H479" s="302">
        <v>-8183101</v>
      </c>
      <c r="I479" s="302">
        <v>64148761</v>
      </c>
      <c r="J479" s="302">
        <v>61846322</v>
      </c>
      <c r="K479" s="302">
        <v>2302439</v>
      </c>
      <c r="L479" s="302">
        <v>206807279</v>
      </c>
      <c r="M479" s="302">
        <v>-7023261</v>
      </c>
      <c r="N479" s="302">
        <v>60178908</v>
      </c>
      <c r="O479" s="302">
        <v>57379391</v>
      </c>
      <c r="P479" s="302">
        <v>2799517</v>
      </c>
      <c r="Q479" s="303"/>
    </row>
    <row r="480" spans="1:17" s="304" customFormat="1" x14ac:dyDescent="0.25">
      <c r="A480" s="300">
        <v>473</v>
      </c>
      <c r="B480" s="300">
        <v>860050906</v>
      </c>
      <c r="C480" s="300" t="s">
        <v>1356</v>
      </c>
      <c r="D480" s="300" t="s">
        <v>758</v>
      </c>
      <c r="E480" s="300" t="s">
        <v>1086</v>
      </c>
      <c r="F480" s="301" t="s">
        <v>766</v>
      </c>
      <c r="G480" s="302">
        <v>209355283</v>
      </c>
      <c r="H480" s="302">
        <v>1741152</v>
      </c>
      <c r="I480" s="302">
        <v>34313980</v>
      </c>
      <c r="J480" s="302">
        <v>16654236</v>
      </c>
      <c r="K480" s="302">
        <v>17659744</v>
      </c>
      <c r="L480" s="302">
        <v>239368350</v>
      </c>
      <c r="M480" s="302">
        <v>3693417</v>
      </c>
      <c r="N480" s="302">
        <v>35163687</v>
      </c>
      <c r="O480" s="302">
        <v>19090932</v>
      </c>
      <c r="P480" s="302">
        <v>16072755</v>
      </c>
      <c r="Q480" s="303"/>
    </row>
    <row r="481" spans="1:17" s="304" customFormat="1" x14ac:dyDescent="0.25">
      <c r="A481" s="300">
        <v>474</v>
      </c>
      <c r="B481" s="300">
        <v>800191700</v>
      </c>
      <c r="C481" s="300" t="s">
        <v>1357</v>
      </c>
      <c r="D481" s="300" t="s">
        <v>763</v>
      </c>
      <c r="E481" s="300" t="s">
        <v>1358</v>
      </c>
      <c r="F481" s="301" t="s">
        <v>779</v>
      </c>
      <c r="G481" s="302">
        <v>209328759</v>
      </c>
      <c r="H481" s="302">
        <v>5671417</v>
      </c>
      <c r="I481" s="302">
        <v>167287731</v>
      </c>
      <c r="J481" s="302">
        <v>92769511</v>
      </c>
      <c r="K481" s="302">
        <v>74518220</v>
      </c>
      <c r="L481" s="302">
        <v>176625587</v>
      </c>
      <c r="M481" s="302">
        <v>2750898</v>
      </c>
      <c r="N481" s="302">
        <v>158997965</v>
      </c>
      <c r="O481" s="302">
        <v>94051669</v>
      </c>
      <c r="P481" s="302">
        <v>64946296</v>
      </c>
      <c r="Q481" s="303"/>
    </row>
    <row r="482" spans="1:17" s="304" customFormat="1" x14ac:dyDescent="0.25">
      <c r="A482" s="300">
        <v>475</v>
      </c>
      <c r="B482" s="300">
        <v>800106774</v>
      </c>
      <c r="C482" s="300" t="s">
        <v>1359</v>
      </c>
      <c r="D482" s="300" t="s">
        <v>758</v>
      </c>
      <c r="E482" s="300" t="s">
        <v>786</v>
      </c>
      <c r="F482" s="301" t="s">
        <v>764</v>
      </c>
      <c r="G482" s="302">
        <v>206576504</v>
      </c>
      <c r="H482" s="302">
        <v>3344738</v>
      </c>
      <c r="I482" s="302">
        <v>41277056</v>
      </c>
      <c r="J482" s="302">
        <v>34289026</v>
      </c>
      <c r="K482" s="302">
        <v>6988030</v>
      </c>
      <c r="L482" s="302">
        <v>193165958</v>
      </c>
      <c r="M482" s="302">
        <v>2318445</v>
      </c>
      <c r="N482" s="302">
        <v>39591797</v>
      </c>
      <c r="O482" s="302">
        <v>29885298</v>
      </c>
      <c r="P482" s="302">
        <v>9706499</v>
      </c>
      <c r="Q482" s="303"/>
    </row>
    <row r="483" spans="1:17" s="304" customFormat="1" x14ac:dyDescent="0.25">
      <c r="A483" s="300">
        <v>476</v>
      </c>
      <c r="B483" s="300">
        <v>800218958</v>
      </c>
      <c r="C483" s="300" t="s">
        <v>1360</v>
      </c>
      <c r="D483" s="300" t="s">
        <v>758</v>
      </c>
      <c r="E483" s="300" t="s">
        <v>1078</v>
      </c>
      <c r="F483" s="301" t="s">
        <v>779</v>
      </c>
      <c r="G483" s="302">
        <v>206176998</v>
      </c>
      <c r="H483" s="302">
        <v>2525147</v>
      </c>
      <c r="I483" s="302">
        <v>216961096</v>
      </c>
      <c r="J483" s="302">
        <v>56629472</v>
      </c>
      <c r="K483" s="302">
        <v>160331624</v>
      </c>
      <c r="L483" s="302">
        <v>211088569</v>
      </c>
      <c r="M483" s="302">
        <v>6337591</v>
      </c>
      <c r="N483" s="302">
        <v>209332722</v>
      </c>
      <c r="O483" s="302">
        <v>56775844</v>
      </c>
      <c r="P483" s="302">
        <v>152556878</v>
      </c>
      <c r="Q483" s="303"/>
    </row>
    <row r="484" spans="1:17" s="304" customFormat="1" x14ac:dyDescent="0.25">
      <c r="A484" s="300">
        <v>477</v>
      </c>
      <c r="B484" s="300">
        <v>802023228</v>
      </c>
      <c r="C484" s="300" t="s">
        <v>1361</v>
      </c>
      <c r="D484" s="300" t="s">
        <v>768</v>
      </c>
      <c r="E484" s="300" t="s">
        <v>773</v>
      </c>
      <c r="F484" s="301" t="s">
        <v>764</v>
      </c>
      <c r="G484" s="302">
        <v>205779660</v>
      </c>
      <c r="H484" s="302">
        <v>453463</v>
      </c>
      <c r="I484" s="302">
        <v>26049241</v>
      </c>
      <c r="J484" s="302">
        <v>20376601</v>
      </c>
      <c r="K484" s="302">
        <v>5672640</v>
      </c>
      <c r="L484" s="302">
        <v>180669132</v>
      </c>
      <c r="M484" s="302">
        <v>267892</v>
      </c>
      <c r="N484" s="302">
        <v>26000387</v>
      </c>
      <c r="O484" s="302">
        <v>20781307</v>
      </c>
      <c r="P484" s="302">
        <v>5219080</v>
      </c>
      <c r="Q484" s="303"/>
    </row>
    <row r="485" spans="1:17" s="304" customFormat="1" x14ac:dyDescent="0.25">
      <c r="A485" s="300">
        <v>478</v>
      </c>
      <c r="B485" s="300">
        <v>860503159</v>
      </c>
      <c r="C485" s="300" t="s">
        <v>1362</v>
      </c>
      <c r="D485" s="300" t="s">
        <v>758</v>
      </c>
      <c r="E485" s="300" t="s">
        <v>848</v>
      </c>
      <c r="F485" s="301" t="s">
        <v>764</v>
      </c>
      <c r="G485" s="302">
        <v>205528126</v>
      </c>
      <c r="H485" s="302">
        <v>4964729</v>
      </c>
      <c r="I485" s="302">
        <v>124572112</v>
      </c>
      <c r="J485" s="302">
        <v>24969367</v>
      </c>
      <c r="K485" s="302">
        <v>99602745</v>
      </c>
      <c r="L485" s="302">
        <v>179425968</v>
      </c>
      <c r="M485" s="302">
        <v>5018516</v>
      </c>
      <c r="N485" s="302">
        <v>140505622</v>
      </c>
      <c r="O485" s="302">
        <v>45867607</v>
      </c>
      <c r="P485" s="302">
        <v>94638015</v>
      </c>
      <c r="Q485" s="303"/>
    </row>
    <row r="486" spans="1:17" s="304" customFormat="1" x14ac:dyDescent="0.25">
      <c r="A486" s="300">
        <v>479</v>
      </c>
      <c r="B486" s="300">
        <v>900189181</v>
      </c>
      <c r="C486" s="300" t="s">
        <v>1363</v>
      </c>
      <c r="D486" s="300" t="s">
        <v>758</v>
      </c>
      <c r="E486" s="300" t="s">
        <v>905</v>
      </c>
      <c r="F486" s="301" t="s">
        <v>779</v>
      </c>
      <c r="G486" s="302">
        <v>205185251</v>
      </c>
      <c r="H486" s="302">
        <v>39289445</v>
      </c>
      <c r="I486" s="302">
        <v>203361385</v>
      </c>
      <c r="J486" s="302">
        <v>107874453</v>
      </c>
      <c r="K486" s="302">
        <v>95486932</v>
      </c>
      <c r="L486" s="302">
        <v>187432412</v>
      </c>
      <c r="M486" s="302">
        <v>61634306</v>
      </c>
      <c r="N486" s="302">
        <v>170252626</v>
      </c>
      <c r="O486" s="302">
        <v>47465172</v>
      </c>
      <c r="P486" s="302">
        <v>122787454</v>
      </c>
      <c r="Q486" s="303"/>
    </row>
    <row r="487" spans="1:17" s="304" customFormat="1" x14ac:dyDescent="0.25">
      <c r="A487" s="300">
        <v>480</v>
      </c>
      <c r="B487" s="300">
        <v>900110594</v>
      </c>
      <c r="C487" s="300" t="s">
        <v>1364</v>
      </c>
      <c r="D487" s="300" t="s">
        <v>758</v>
      </c>
      <c r="E487" s="300" t="s">
        <v>1028</v>
      </c>
      <c r="F487" s="301" t="s">
        <v>764</v>
      </c>
      <c r="G487" s="302">
        <v>204162762</v>
      </c>
      <c r="H487" s="302">
        <v>-2316999</v>
      </c>
      <c r="I487" s="302">
        <v>72314207</v>
      </c>
      <c r="J487" s="302">
        <v>66359478</v>
      </c>
      <c r="K487" s="302">
        <v>5954729</v>
      </c>
      <c r="L487" s="302">
        <v>266903418</v>
      </c>
      <c r="M487" s="302">
        <v>-2145</v>
      </c>
      <c r="N487" s="302">
        <v>90738048</v>
      </c>
      <c r="O487" s="302">
        <v>82699589</v>
      </c>
      <c r="P487" s="302">
        <v>8038459</v>
      </c>
      <c r="Q487" s="303"/>
    </row>
    <row r="488" spans="1:17" s="304" customFormat="1" x14ac:dyDescent="0.25">
      <c r="A488" s="300">
        <v>481</v>
      </c>
      <c r="B488" s="300">
        <v>900160905</v>
      </c>
      <c r="C488" s="300" t="s">
        <v>1365</v>
      </c>
      <c r="D488" s="300" t="s">
        <v>758</v>
      </c>
      <c r="E488" s="300" t="s">
        <v>846</v>
      </c>
      <c r="F488" s="301" t="s">
        <v>760</v>
      </c>
      <c r="G488" s="302">
        <v>203438032</v>
      </c>
      <c r="H488" s="302">
        <v>12162626</v>
      </c>
      <c r="I488" s="302">
        <v>321906509</v>
      </c>
      <c r="J488" s="302">
        <v>27540417</v>
      </c>
      <c r="K488" s="302">
        <v>294366092</v>
      </c>
      <c r="L488" s="302">
        <v>162385570</v>
      </c>
      <c r="M488" s="302">
        <v>2294864</v>
      </c>
      <c r="N488" s="302">
        <v>284314605</v>
      </c>
      <c r="O488" s="302">
        <v>24029836</v>
      </c>
      <c r="P488" s="302">
        <v>260284769</v>
      </c>
      <c r="Q488" s="303"/>
    </row>
    <row r="489" spans="1:17" s="304" customFormat="1" x14ac:dyDescent="0.25">
      <c r="A489" s="300">
        <v>482</v>
      </c>
      <c r="B489" s="300">
        <v>890103400</v>
      </c>
      <c r="C489" s="300" t="s">
        <v>1366</v>
      </c>
      <c r="D489" s="300" t="s">
        <v>768</v>
      </c>
      <c r="E489" s="300" t="s">
        <v>957</v>
      </c>
      <c r="F489" s="301" t="s">
        <v>958</v>
      </c>
      <c r="G489" s="302">
        <v>203390750</v>
      </c>
      <c r="H489" s="302">
        <v>2318265</v>
      </c>
      <c r="I489" s="302">
        <v>147226640</v>
      </c>
      <c r="J489" s="302">
        <v>112671718</v>
      </c>
      <c r="K489" s="302">
        <v>34554922</v>
      </c>
      <c r="L489" s="302">
        <v>184667332</v>
      </c>
      <c r="M489" s="302">
        <v>1191320</v>
      </c>
      <c r="N489" s="302">
        <v>130603085</v>
      </c>
      <c r="O489" s="302">
        <v>96058935</v>
      </c>
      <c r="P489" s="302">
        <v>34544150</v>
      </c>
      <c r="Q489" s="303"/>
    </row>
    <row r="490" spans="1:17" s="304" customFormat="1" x14ac:dyDescent="0.25">
      <c r="A490" s="300">
        <v>483</v>
      </c>
      <c r="B490" s="300">
        <v>900123408</v>
      </c>
      <c r="C490" s="300" t="s">
        <v>1367</v>
      </c>
      <c r="D490" s="300" t="s">
        <v>758</v>
      </c>
      <c r="E490" s="300" t="s">
        <v>848</v>
      </c>
      <c r="F490" s="301" t="s">
        <v>764</v>
      </c>
      <c r="G490" s="302">
        <v>203354510</v>
      </c>
      <c r="H490" s="302">
        <v>3320954</v>
      </c>
      <c r="I490" s="302">
        <v>98186142</v>
      </c>
      <c r="J490" s="302">
        <v>90955468</v>
      </c>
      <c r="K490" s="302">
        <v>7230674</v>
      </c>
      <c r="L490" s="302">
        <v>183820338</v>
      </c>
      <c r="M490" s="302">
        <v>2296750</v>
      </c>
      <c r="N490" s="302">
        <v>94638689</v>
      </c>
      <c r="O490" s="302">
        <v>86435070</v>
      </c>
      <c r="P490" s="302">
        <v>8203619</v>
      </c>
      <c r="Q490" s="303"/>
    </row>
    <row r="491" spans="1:17" s="304" customFormat="1" x14ac:dyDescent="0.25">
      <c r="A491" s="300">
        <v>484</v>
      </c>
      <c r="B491" s="300">
        <v>860026759</v>
      </c>
      <c r="C491" s="300" t="s">
        <v>1368</v>
      </c>
      <c r="D491" s="300" t="s">
        <v>808</v>
      </c>
      <c r="E491" s="300" t="s">
        <v>1369</v>
      </c>
      <c r="F491" s="301" t="s">
        <v>779</v>
      </c>
      <c r="G491" s="302">
        <v>202022043</v>
      </c>
      <c r="H491" s="302">
        <v>20561571</v>
      </c>
      <c r="I491" s="302">
        <v>534742080</v>
      </c>
      <c r="J491" s="302">
        <v>236094200</v>
      </c>
      <c r="K491" s="302">
        <v>298647880</v>
      </c>
      <c r="L491" s="302">
        <v>203104207</v>
      </c>
      <c r="M491" s="302">
        <v>22753864</v>
      </c>
      <c r="N491" s="302">
        <v>524737608</v>
      </c>
      <c r="O491" s="302">
        <v>213932865</v>
      </c>
      <c r="P491" s="302">
        <v>310804743</v>
      </c>
      <c r="Q491" s="303"/>
    </row>
    <row r="492" spans="1:17" s="304" customFormat="1" x14ac:dyDescent="0.25">
      <c r="A492" s="300">
        <v>485</v>
      </c>
      <c r="B492" s="300">
        <v>890911431</v>
      </c>
      <c r="C492" s="300" t="s">
        <v>1370</v>
      </c>
      <c r="D492" s="300" t="s">
        <v>763</v>
      </c>
      <c r="E492" s="300" t="s">
        <v>876</v>
      </c>
      <c r="F492" s="311" t="s">
        <v>877</v>
      </c>
      <c r="G492" s="302">
        <v>201502021</v>
      </c>
      <c r="H492" s="302">
        <v>16591355</v>
      </c>
      <c r="I492" s="302">
        <v>339543946</v>
      </c>
      <c r="J492" s="302">
        <v>191318915</v>
      </c>
      <c r="K492" s="302">
        <v>148225031</v>
      </c>
      <c r="L492" s="302">
        <v>139845719</v>
      </c>
      <c r="M492" s="302">
        <v>12498153</v>
      </c>
      <c r="N492" s="302">
        <v>277337544</v>
      </c>
      <c r="O492" s="302">
        <v>143219272</v>
      </c>
      <c r="P492" s="302">
        <v>134118272</v>
      </c>
      <c r="Q492" s="303"/>
    </row>
    <row r="493" spans="1:17" s="304" customFormat="1" x14ac:dyDescent="0.25">
      <c r="A493" s="300">
        <v>486</v>
      </c>
      <c r="B493" s="300">
        <v>890300684</v>
      </c>
      <c r="C493" s="300" t="s">
        <v>1371</v>
      </c>
      <c r="D493" s="300" t="s">
        <v>808</v>
      </c>
      <c r="E493" s="300" t="s">
        <v>868</v>
      </c>
      <c r="F493" s="301" t="s">
        <v>779</v>
      </c>
      <c r="G493" s="302">
        <v>201301918</v>
      </c>
      <c r="H493" s="302">
        <v>12017880</v>
      </c>
      <c r="I493" s="302">
        <v>140402408</v>
      </c>
      <c r="J493" s="302">
        <v>60372154</v>
      </c>
      <c r="K493" s="302">
        <v>80030254</v>
      </c>
      <c r="L493" s="302">
        <v>190432701</v>
      </c>
      <c r="M493" s="302">
        <v>13268514</v>
      </c>
      <c r="N493" s="302">
        <v>120536249</v>
      </c>
      <c r="O493" s="302">
        <v>53533242</v>
      </c>
      <c r="P493" s="302">
        <v>67003007</v>
      </c>
      <c r="Q493" s="303"/>
    </row>
    <row r="494" spans="1:17" s="304" customFormat="1" x14ac:dyDescent="0.25">
      <c r="A494" s="300">
        <v>487</v>
      </c>
      <c r="B494" s="300">
        <v>800180808</v>
      </c>
      <c r="C494" s="300" t="s">
        <v>1372</v>
      </c>
      <c r="D494" s="300" t="s">
        <v>758</v>
      </c>
      <c r="E494" s="300" t="s">
        <v>846</v>
      </c>
      <c r="F494" s="301" t="s">
        <v>760</v>
      </c>
      <c r="G494" s="302">
        <v>201084780</v>
      </c>
      <c r="H494" s="302">
        <v>6258569</v>
      </c>
      <c r="I494" s="302">
        <v>205556114</v>
      </c>
      <c r="J494" s="302">
        <v>115488663</v>
      </c>
      <c r="K494" s="302">
        <v>90067451</v>
      </c>
      <c r="L494" s="302">
        <v>172247951</v>
      </c>
      <c r="M494" s="302">
        <v>6842453</v>
      </c>
      <c r="N494" s="302">
        <v>190746882</v>
      </c>
      <c r="O494" s="302">
        <v>109316939</v>
      </c>
      <c r="P494" s="302">
        <v>81429943</v>
      </c>
      <c r="Q494" s="303"/>
    </row>
    <row r="495" spans="1:17" s="304" customFormat="1" x14ac:dyDescent="0.25">
      <c r="A495" s="300">
        <v>488</v>
      </c>
      <c r="B495" s="300">
        <v>890205645</v>
      </c>
      <c r="C495" s="300" t="s">
        <v>1373</v>
      </c>
      <c r="D495" s="300" t="s">
        <v>891</v>
      </c>
      <c r="E495" s="300" t="s">
        <v>1290</v>
      </c>
      <c r="F495" s="311" t="s">
        <v>877</v>
      </c>
      <c r="G495" s="302">
        <v>200578084</v>
      </c>
      <c r="H495" s="302">
        <v>15842843</v>
      </c>
      <c r="I495" s="302">
        <v>544198913</v>
      </c>
      <c r="J495" s="302">
        <v>376181946</v>
      </c>
      <c r="K495" s="302">
        <v>168016967</v>
      </c>
      <c r="L495" s="302">
        <v>215802506</v>
      </c>
      <c r="M495" s="302">
        <v>11961078</v>
      </c>
      <c r="N495" s="302">
        <v>420064525</v>
      </c>
      <c r="O495" s="302">
        <v>307014427</v>
      </c>
      <c r="P495" s="302">
        <v>113050098</v>
      </c>
      <c r="Q495" s="303"/>
    </row>
    <row r="496" spans="1:17" s="304" customFormat="1" x14ac:dyDescent="0.25">
      <c r="A496" s="300">
        <v>489</v>
      </c>
      <c r="B496" s="300">
        <v>890905360</v>
      </c>
      <c r="C496" s="300" t="s">
        <v>1374</v>
      </c>
      <c r="D496" s="300" t="s">
        <v>763</v>
      </c>
      <c r="E496" s="300" t="s">
        <v>776</v>
      </c>
      <c r="F496" s="301" t="s">
        <v>764</v>
      </c>
      <c r="G496" s="302">
        <v>200399520</v>
      </c>
      <c r="H496" s="302">
        <v>19884569</v>
      </c>
      <c r="I496" s="302">
        <v>175569140</v>
      </c>
      <c r="J496" s="302">
        <v>35338452</v>
      </c>
      <c r="K496" s="302">
        <v>140230688</v>
      </c>
      <c r="L496" s="302">
        <v>183393387</v>
      </c>
      <c r="M496" s="302">
        <v>21501085</v>
      </c>
      <c r="N496" s="302">
        <v>153166886</v>
      </c>
      <c r="O496" s="302">
        <v>26835680</v>
      </c>
      <c r="P496" s="302">
        <v>126331206</v>
      </c>
      <c r="Q496" s="303"/>
    </row>
    <row r="497" spans="1:17" s="304" customFormat="1" x14ac:dyDescent="0.25">
      <c r="A497" s="300">
        <v>490</v>
      </c>
      <c r="B497" s="300">
        <v>800252396</v>
      </c>
      <c r="C497" s="300" t="s">
        <v>1375</v>
      </c>
      <c r="D497" s="300" t="s">
        <v>768</v>
      </c>
      <c r="E497" s="300" t="s">
        <v>759</v>
      </c>
      <c r="F497" s="301" t="s">
        <v>766</v>
      </c>
      <c r="G497" s="309">
        <v>199852177.70100001</v>
      </c>
      <c r="H497" s="309">
        <v>15653814.832</v>
      </c>
      <c r="I497" s="309">
        <v>199792970.43099999</v>
      </c>
      <c r="J497" s="309">
        <v>123302007.001</v>
      </c>
      <c r="K497" s="309">
        <v>76490963.430000007</v>
      </c>
      <c r="L497" s="309">
        <v>182235063.21900001</v>
      </c>
      <c r="M497" s="309">
        <v>13623245.539000001</v>
      </c>
      <c r="N497" s="309">
        <v>201947570.85499999</v>
      </c>
      <c r="O497" s="309">
        <v>128849501.27</v>
      </c>
      <c r="P497" s="309">
        <v>73098069.584999993</v>
      </c>
      <c r="Q497" s="303"/>
    </row>
    <row r="498" spans="1:17" s="304" customFormat="1" x14ac:dyDescent="0.25">
      <c r="A498" s="300">
        <v>491</v>
      </c>
      <c r="B498" s="300">
        <v>890906388</v>
      </c>
      <c r="C498" s="300" t="s">
        <v>1376</v>
      </c>
      <c r="D498" s="300" t="s">
        <v>763</v>
      </c>
      <c r="E498" s="300" t="s">
        <v>876</v>
      </c>
      <c r="F498" s="311" t="s">
        <v>877</v>
      </c>
      <c r="G498" s="302">
        <v>199625932</v>
      </c>
      <c r="H498" s="302">
        <v>8207381</v>
      </c>
      <c r="I498" s="302">
        <v>205300661</v>
      </c>
      <c r="J498" s="302">
        <v>76677076</v>
      </c>
      <c r="K498" s="302">
        <v>128623585</v>
      </c>
      <c r="L498" s="302">
        <v>222411852</v>
      </c>
      <c r="M498" s="302">
        <v>2939374</v>
      </c>
      <c r="N498" s="302">
        <v>217474888</v>
      </c>
      <c r="O498" s="302">
        <v>94258665</v>
      </c>
      <c r="P498" s="302">
        <v>123216223</v>
      </c>
      <c r="Q498" s="303"/>
    </row>
    <row r="499" spans="1:17" s="304" customFormat="1" x14ac:dyDescent="0.25">
      <c r="A499" s="300">
        <v>492</v>
      </c>
      <c r="B499" s="300">
        <v>813000898</v>
      </c>
      <c r="C499" s="300" t="s">
        <v>1377</v>
      </c>
      <c r="D499" s="300" t="s">
        <v>758</v>
      </c>
      <c r="E499" s="300" t="s">
        <v>773</v>
      </c>
      <c r="F499" s="301" t="s">
        <v>764</v>
      </c>
      <c r="G499" s="302">
        <v>198384055</v>
      </c>
      <c r="H499" s="302">
        <v>2872931</v>
      </c>
      <c r="I499" s="302">
        <v>92843752</v>
      </c>
      <c r="J499" s="302">
        <v>57929972</v>
      </c>
      <c r="K499" s="302">
        <v>34913780</v>
      </c>
      <c r="L499" s="302">
        <v>157535205</v>
      </c>
      <c r="M499" s="302">
        <v>2096197</v>
      </c>
      <c r="N499" s="302">
        <v>78284059</v>
      </c>
      <c r="O499" s="302">
        <v>46142085</v>
      </c>
      <c r="P499" s="302">
        <v>32141974</v>
      </c>
      <c r="Q499" s="303"/>
    </row>
    <row r="500" spans="1:17" s="304" customFormat="1" x14ac:dyDescent="0.25">
      <c r="A500" s="300">
        <v>493</v>
      </c>
      <c r="B500" s="300">
        <v>860007884</v>
      </c>
      <c r="C500" s="300" t="s">
        <v>1378</v>
      </c>
      <c r="D500" s="300" t="s">
        <v>758</v>
      </c>
      <c r="E500" s="300" t="s">
        <v>880</v>
      </c>
      <c r="F500" s="301" t="s">
        <v>764</v>
      </c>
      <c r="G500" s="302">
        <v>198329760</v>
      </c>
      <c r="H500" s="302">
        <v>1403871</v>
      </c>
      <c r="I500" s="302">
        <v>86058980</v>
      </c>
      <c r="J500" s="302">
        <v>47780846</v>
      </c>
      <c r="K500" s="302">
        <v>38278134</v>
      </c>
      <c r="L500" s="302">
        <v>203948422</v>
      </c>
      <c r="M500" s="302">
        <v>2212055</v>
      </c>
      <c r="N500" s="302">
        <v>76185357</v>
      </c>
      <c r="O500" s="302">
        <v>38815718</v>
      </c>
      <c r="P500" s="302">
        <v>37369639</v>
      </c>
      <c r="Q500" s="303"/>
    </row>
    <row r="501" spans="1:17" s="304" customFormat="1" x14ac:dyDescent="0.25">
      <c r="A501" s="300">
        <v>494</v>
      </c>
      <c r="B501" s="308">
        <v>890480110</v>
      </c>
      <c r="C501" s="300" t="s">
        <v>1379</v>
      </c>
      <c r="D501" s="300" t="s">
        <v>768</v>
      </c>
      <c r="E501" s="300" t="s">
        <v>759</v>
      </c>
      <c r="F501" s="301" t="s">
        <v>766</v>
      </c>
      <c r="G501" s="309">
        <v>197782057</v>
      </c>
      <c r="H501" s="309">
        <v>-30858131</v>
      </c>
      <c r="I501" s="309">
        <v>148487803</v>
      </c>
      <c r="J501" s="309">
        <v>126211802</v>
      </c>
      <c r="K501" s="309">
        <v>22276001</v>
      </c>
      <c r="L501" s="309">
        <v>166296966</v>
      </c>
      <c r="M501" s="309">
        <v>4073592</v>
      </c>
      <c r="N501" s="309">
        <v>173049674</v>
      </c>
      <c r="O501" s="309">
        <v>126267244</v>
      </c>
      <c r="P501" s="309">
        <v>46782430</v>
      </c>
      <c r="Q501" s="303"/>
    </row>
    <row r="502" spans="1:17" s="304" customFormat="1" x14ac:dyDescent="0.25">
      <c r="A502" s="300">
        <v>495</v>
      </c>
      <c r="B502" s="300">
        <v>800200336</v>
      </c>
      <c r="C502" s="300" t="s">
        <v>1380</v>
      </c>
      <c r="D502" s="300" t="s">
        <v>758</v>
      </c>
      <c r="E502" s="300" t="s">
        <v>909</v>
      </c>
      <c r="F502" s="301" t="s">
        <v>764</v>
      </c>
      <c r="G502" s="302">
        <v>197443087</v>
      </c>
      <c r="H502" s="302">
        <v>398816</v>
      </c>
      <c r="I502" s="302">
        <v>91189342</v>
      </c>
      <c r="J502" s="302">
        <v>76119602</v>
      </c>
      <c r="K502" s="302">
        <v>15069740</v>
      </c>
      <c r="L502" s="302">
        <v>182440544</v>
      </c>
      <c r="M502" s="302">
        <v>652403</v>
      </c>
      <c r="N502" s="302">
        <v>90776731</v>
      </c>
      <c r="O502" s="302">
        <v>76105807</v>
      </c>
      <c r="P502" s="302">
        <v>14670924</v>
      </c>
      <c r="Q502" s="303"/>
    </row>
    <row r="503" spans="1:17" s="304" customFormat="1" x14ac:dyDescent="0.25">
      <c r="A503" s="300">
        <v>496</v>
      </c>
      <c r="B503" s="300">
        <v>800143586</v>
      </c>
      <c r="C503" s="300" t="s">
        <v>1381</v>
      </c>
      <c r="D503" s="300" t="s">
        <v>758</v>
      </c>
      <c r="E503" s="300" t="s">
        <v>876</v>
      </c>
      <c r="F503" s="311" t="s">
        <v>877</v>
      </c>
      <c r="G503" s="302">
        <v>197141792</v>
      </c>
      <c r="H503" s="302">
        <v>8439344</v>
      </c>
      <c r="I503" s="302">
        <v>154516362</v>
      </c>
      <c r="J503" s="302">
        <v>82100989</v>
      </c>
      <c r="K503" s="302">
        <v>72415373</v>
      </c>
      <c r="L503" s="302">
        <v>159006851</v>
      </c>
      <c r="M503" s="302">
        <v>4545196</v>
      </c>
      <c r="N503" s="302">
        <v>149911038</v>
      </c>
      <c r="O503" s="302">
        <v>88937017</v>
      </c>
      <c r="P503" s="302">
        <v>60974021</v>
      </c>
      <c r="Q503" s="303"/>
    </row>
    <row r="504" spans="1:17" s="304" customFormat="1" x14ac:dyDescent="0.25">
      <c r="A504" s="300">
        <v>497</v>
      </c>
      <c r="B504" s="300">
        <v>830011337</v>
      </c>
      <c r="C504" s="300" t="s">
        <v>1382</v>
      </c>
      <c r="D504" s="300" t="s">
        <v>758</v>
      </c>
      <c r="E504" s="300" t="s">
        <v>1140</v>
      </c>
      <c r="F504" s="301" t="s">
        <v>764</v>
      </c>
      <c r="G504" s="302">
        <v>196585164</v>
      </c>
      <c r="H504" s="302">
        <v>11999638</v>
      </c>
      <c r="I504" s="302">
        <v>136891307</v>
      </c>
      <c r="J504" s="302">
        <v>35557052</v>
      </c>
      <c r="K504" s="302">
        <v>101334255</v>
      </c>
      <c r="L504" s="302">
        <v>188559475</v>
      </c>
      <c r="M504" s="302">
        <v>11815328</v>
      </c>
      <c r="N504" s="302">
        <v>130362892</v>
      </c>
      <c r="O504" s="302">
        <v>41083227</v>
      </c>
      <c r="P504" s="302">
        <v>89279665</v>
      </c>
      <c r="Q504" s="303"/>
    </row>
    <row r="505" spans="1:17" s="304" customFormat="1" x14ac:dyDescent="0.25">
      <c r="A505" s="300">
        <v>498</v>
      </c>
      <c r="B505" s="300">
        <v>900514524</v>
      </c>
      <c r="C505" s="300" t="s">
        <v>1383</v>
      </c>
      <c r="D505" s="300" t="s">
        <v>758</v>
      </c>
      <c r="E505" s="300" t="s">
        <v>776</v>
      </c>
      <c r="F505" s="301" t="s">
        <v>764</v>
      </c>
      <c r="G505" s="302">
        <v>195164358</v>
      </c>
      <c r="H505" s="302">
        <v>-2302636</v>
      </c>
      <c r="I505" s="302">
        <v>164820927</v>
      </c>
      <c r="J505" s="302">
        <v>47892591</v>
      </c>
      <c r="K505" s="302">
        <v>116928336</v>
      </c>
      <c r="L505" s="302">
        <v>77469517</v>
      </c>
      <c r="M505" s="302">
        <v>4042303</v>
      </c>
      <c r="N505" s="302">
        <v>149607631</v>
      </c>
      <c r="O505" s="302">
        <v>44093358</v>
      </c>
      <c r="P505" s="302">
        <v>105514273</v>
      </c>
      <c r="Q505" s="303"/>
    </row>
    <row r="506" spans="1:17" s="304" customFormat="1" x14ac:dyDescent="0.25">
      <c r="A506" s="300">
        <v>499</v>
      </c>
      <c r="B506" s="300">
        <v>860036081</v>
      </c>
      <c r="C506" s="300" t="s">
        <v>1384</v>
      </c>
      <c r="D506" s="300" t="s">
        <v>758</v>
      </c>
      <c r="E506" s="300" t="s">
        <v>1331</v>
      </c>
      <c r="F506" s="311" t="s">
        <v>877</v>
      </c>
      <c r="G506" s="302">
        <v>194844069</v>
      </c>
      <c r="H506" s="302">
        <v>3872325</v>
      </c>
      <c r="I506" s="302">
        <v>182767108</v>
      </c>
      <c r="J506" s="302">
        <v>124038273</v>
      </c>
      <c r="K506" s="302">
        <v>58728835</v>
      </c>
      <c r="L506" s="302">
        <v>252538268</v>
      </c>
      <c r="M506" s="302">
        <v>-12914491</v>
      </c>
      <c r="N506" s="302">
        <v>174517789</v>
      </c>
      <c r="O506" s="302">
        <v>129707778</v>
      </c>
      <c r="P506" s="302">
        <v>44810011</v>
      </c>
      <c r="Q506" s="303"/>
    </row>
    <row r="507" spans="1:17" s="304" customFormat="1" x14ac:dyDescent="0.25">
      <c r="A507" s="300">
        <v>500</v>
      </c>
      <c r="B507" s="300">
        <v>860058070</v>
      </c>
      <c r="C507" s="300" t="s">
        <v>1385</v>
      </c>
      <c r="D507" s="300" t="s">
        <v>758</v>
      </c>
      <c r="E507" s="300" t="s">
        <v>1290</v>
      </c>
      <c r="F507" s="311" t="s">
        <v>877</v>
      </c>
      <c r="G507" s="302">
        <v>194744045</v>
      </c>
      <c r="H507" s="302">
        <v>52596420</v>
      </c>
      <c r="I507" s="302">
        <v>718598988</v>
      </c>
      <c r="J507" s="302">
        <v>410298513</v>
      </c>
      <c r="K507" s="302">
        <v>308300475</v>
      </c>
      <c r="L507" s="302">
        <v>290200073</v>
      </c>
      <c r="M507" s="302">
        <v>48598933</v>
      </c>
      <c r="N507" s="302">
        <v>631973818</v>
      </c>
      <c r="O507" s="302">
        <v>366727351</v>
      </c>
      <c r="P507" s="302">
        <v>265246467</v>
      </c>
      <c r="Q507" s="303"/>
    </row>
    <row r="508" spans="1:17" s="304" customFormat="1" x14ac:dyDescent="0.25">
      <c r="A508" s="300">
        <v>501</v>
      </c>
      <c r="B508" s="300">
        <v>890304099</v>
      </c>
      <c r="C508" s="300" t="s">
        <v>1386</v>
      </c>
      <c r="D508" s="300" t="s">
        <v>808</v>
      </c>
      <c r="E508" s="300" t="s">
        <v>1387</v>
      </c>
      <c r="F508" s="300" t="s">
        <v>766</v>
      </c>
      <c r="G508" s="302">
        <v>194343649</v>
      </c>
      <c r="H508" s="302">
        <v>12771343</v>
      </c>
      <c r="I508" s="302">
        <v>338317045</v>
      </c>
      <c r="J508" s="302">
        <v>95882806</v>
      </c>
      <c r="K508" s="302">
        <v>242434239</v>
      </c>
      <c r="L508" s="302">
        <v>188877991</v>
      </c>
      <c r="M508" s="302">
        <v>97476343</v>
      </c>
      <c r="N508" s="302">
        <v>312950479</v>
      </c>
      <c r="O508" s="302">
        <v>99074708</v>
      </c>
      <c r="P508" s="302">
        <v>213875771</v>
      </c>
      <c r="Q508" s="303"/>
    </row>
    <row r="509" spans="1:17" s="304" customFormat="1" x14ac:dyDescent="0.25">
      <c r="A509" s="300">
        <v>502</v>
      </c>
      <c r="B509" s="300">
        <v>800149149</v>
      </c>
      <c r="C509" s="300" t="s">
        <v>1388</v>
      </c>
      <c r="D509" s="300" t="s">
        <v>758</v>
      </c>
      <c r="E509" s="300" t="s">
        <v>860</v>
      </c>
      <c r="F509" s="301" t="s">
        <v>779</v>
      </c>
      <c r="G509" s="302">
        <v>192607342</v>
      </c>
      <c r="H509" s="302">
        <v>1371247</v>
      </c>
      <c r="I509" s="302">
        <v>89022384</v>
      </c>
      <c r="J509" s="302">
        <v>53349323</v>
      </c>
      <c r="K509" s="302">
        <v>35673061</v>
      </c>
      <c r="L509" s="302">
        <v>162161263</v>
      </c>
      <c r="M509" s="302">
        <v>631543</v>
      </c>
      <c r="N509" s="302">
        <v>82637332</v>
      </c>
      <c r="O509" s="302">
        <v>52069235</v>
      </c>
      <c r="P509" s="302">
        <v>30568097</v>
      </c>
      <c r="Q509" s="303"/>
    </row>
    <row r="510" spans="1:17" s="304" customFormat="1" x14ac:dyDescent="0.25">
      <c r="A510" s="300">
        <v>503</v>
      </c>
      <c r="B510" s="300">
        <v>811028650</v>
      </c>
      <c r="C510" s="300" t="s">
        <v>1389</v>
      </c>
      <c r="D510" s="300" t="s">
        <v>763</v>
      </c>
      <c r="E510" s="300" t="s">
        <v>1355</v>
      </c>
      <c r="F510" s="301" t="s">
        <v>764</v>
      </c>
      <c r="G510" s="302">
        <v>192498647</v>
      </c>
      <c r="H510" s="302">
        <v>4619831</v>
      </c>
      <c r="I510" s="302">
        <v>109545116</v>
      </c>
      <c r="J510" s="302">
        <v>70078522</v>
      </c>
      <c r="K510" s="302">
        <v>39466594</v>
      </c>
      <c r="L510" s="302">
        <v>154385840</v>
      </c>
      <c r="M510" s="302">
        <v>4506409</v>
      </c>
      <c r="N510" s="302">
        <v>62144289</v>
      </c>
      <c r="O510" s="302">
        <v>35223440</v>
      </c>
      <c r="P510" s="302">
        <v>26920849</v>
      </c>
      <c r="Q510" s="303"/>
    </row>
    <row r="511" spans="1:17" s="304" customFormat="1" x14ac:dyDescent="0.25">
      <c r="A511" s="300">
        <v>504</v>
      </c>
      <c r="B511" s="300">
        <v>830126395</v>
      </c>
      <c r="C511" s="300" t="s">
        <v>1390</v>
      </c>
      <c r="D511" s="300" t="s">
        <v>758</v>
      </c>
      <c r="E511" s="300" t="s">
        <v>781</v>
      </c>
      <c r="F511" s="301" t="s">
        <v>766</v>
      </c>
      <c r="G511" s="302">
        <v>192373028</v>
      </c>
      <c r="H511" s="302">
        <v>20643969</v>
      </c>
      <c r="I511" s="302">
        <v>77194809</v>
      </c>
      <c r="J511" s="302">
        <v>26034275</v>
      </c>
      <c r="K511" s="302">
        <v>51160534</v>
      </c>
      <c r="L511" s="302">
        <v>159809584</v>
      </c>
      <c r="M511" s="302">
        <v>14479713</v>
      </c>
      <c r="N511" s="302">
        <v>66772535</v>
      </c>
      <c r="O511" s="302">
        <v>28991563</v>
      </c>
      <c r="P511" s="302">
        <v>37780972</v>
      </c>
      <c r="Q511" s="303"/>
    </row>
    <row r="512" spans="1:17" s="304" customFormat="1" x14ac:dyDescent="0.25">
      <c r="A512" s="300">
        <v>505</v>
      </c>
      <c r="B512" s="300">
        <v>890917020</v>
      </c>
      <c r="C512" s="300" t="s">
        <v>1391</v>
      </c>
      <c r="D512" s="300" t="s">
        <v>763</v>
      </c>
      <c r="E512" s="300" t="s">
        <v>933</v>
      </c>
      <c r="F512" s="301" t="s">
        <v>779</v>
      </c>
      <c r="G512" s="302">
        <v>191422426</v>
      </c>
      <c r="H512" s="302">
        <v>15034436</v>
      </c>
      <c r="I512" s="302">
        <v>197362277</v>
      </c>
      <c r="J512" s="302">
        <v>31860715</v>
      </c>
      <c r="K512" s="302">
        <v>165501562</v>
      </c>
      <c r="L512" s="302">
        <v>183796904</v>
      </c>
      <c r="M512" s="302">
        <v>6717985</v>
      </c>
      <c r="N512" s="302">
        <v>181072352</v>
      </c>
      <c r="O512" s="302">
        <v>37584469</v>
      </c>
      <c r="P512" s="302">
        <v>143487883</v>
      </c>
      <c r="Q512" s="303"/>
    </row>
    <row r="513" spans="1:17" s="304" customFormat="1" x14ac:dyDescent="0.25">
      <c r="A513" s="300">
        <v>506</v>
      </c>
      <c r="B513" s="300">
        <v>891408584</v>
      </c>
      <c r="C513" s="300" t="s">
        <v>1392</v>
      </c>
      <c r="D513" s="300" t="s">
        <v>763</v>
      </c>
      <c r="E513" s="300" t="s">
        <v>1215</v>
      </c>
      <c r="F513" s="301" t="s">
        <v>766</v>
      </c>
      <c r="G513" s="302">
        <v>191357980</v>
      </c>
      <c r="H513" s="302">
        <v>3733627</v>
      </c>
      <c r="I513" s="302">
        <v>55863957</v>
      </c>
      <c r="J513" s="302">
        <v>37537258</v>
      </c>
      <c r="K513" s="302">
        <v>18326699</v>
      </c>
      <c r="L513" s="302">
        <v>153067511</v>
      </c>
      <c r="M513" s="302">
        <v>2293534</v>
      </c>
      <c r="N513" s="302">
        <v>48452578</v>
      </c>
      <c r="O513" s="302">
        <v>32141690</v>
      </c>
      <c r="P513" s="302">
        <v>16310888</v>
      </c>
      <c r="Q513" s="303"/>
    </row>
    <row r="514" spans="1:17" s="304" customFormat="1" x14ac:dyDescent="0.25">
      <c r="A514" s="300">
        <v>507</v>
      </c>
      <c r="B514" s="300">
        <v>890101897</v>
      </c>
      <c r="C514" s="300" t="s">
        <v>1393</v>
      </c>
      <c r="D514" s="300" t="s">
        <v>768</v>
      </c>
      <c r="E514" s="300" t="s">
        <v>759</v>
      </c>
      <c r="F514" s="301" t="s">
        <v>779</v>
      </c>
      <c r="G514" s="302">
        <v>191280609.15000001</v>
      </c>
      <c r="H514" s="302">
        <v>6161771.0549999997</v>
      </c>
      <c r="I514" s="302">
        <v>101902481.302</v>
      </c>
      <c r="J514" s="302">
        <v>43985593.630000003</v>
      </c>
      <c r="K514" s="302">
        <v>57916887.671999998</v>
      </c>
      <c r="L514" s="302">
        <v>170313032.50600001</v>
      </c>
      <c r="M514" s="302">
        <v>5679283.5839999998</v>
      </c>
      <c r="N514" s="302">
        <v>109423007.491</v>
      </c>
      <c r="O514" s="302">
        <v>56988291.267999999</v>
      </c>
      <c r="P514" s="302">
        <v>52434716.222999997</v>
      </c>
      <c r="Q514" s="303"/>
    </row>
    <row r="515" spans="1:17" s="304" customFormat="1" x14ac:dyDescent="0.25">
      <c r="A515" s="300">
        <v>508</v>
      </c>
      <c r="B515" s="300">
        <v>900104079</v>
      </c>
      <c r="C515" s="300" t="s">
        <v>1394</v>
      </c>
      <c r="D515" s="300" t="s">
        <v>758</v>
      </c>
      <c r="E515" s="300" t="s">
        <v>832</v>
      </c>
      <c r="F515" s="301" t="s">
        <v>766</v>
      </c>
      <c r="G515" s="302">
        <v>190995028</v>
      </c>
      <c r="H515" s="302">
        <v>190750268</v>
      </c>
      <c r="I515" s="302">
        <v>5143612396</v>
      </c>
      <c r="J515" s="302">
        <v>27200283</v>
      </c>
      <c r="K515" s="302">
        <v>5116412113</v>
      </c>
      <c r="L515" s="302">
        <v>167317579</v>
      </c>
      <c r="M515" s="302">
        <v>164310466</v>
      </c>
      <c r="N515" s="302">
        <v>4815353487</v>
      </c>
      <c r="O515" s="302">
        <v>364906</v>
      </c>
      <c r="P515" s="302">
        <v>4814988581</v>
      </c>
      <c r="Q515" s="303"/>
    </row>
    <row r="516" spans="1:17" s="304" customFormat="1" x14ac:dyDescent="0.25">
      <c r="A516" s="300">
        <v>509</v>
      </c>
      <c r="B516" s="300">
        <v>900031088</v>
      </c>
      <c r="C516" s="300" t="s">
        <v>1395</v>
      </c>
      <c r="D516" s="300" t="s">
        <v>768</v>
      </c>
      <c r="E516" s="300" t="s">
        <v>1059</v>
      </c>
      <c r="F516" s="301" t="s">
        <v>764</v>
      </c>
      <c r="G516" s="302">
        <v>190959191</v>
      </c>
      <c r="H516" s="302">
        <v>-182933</v>
      </c>
      <c r="I516" s="302">
        <v>28679401</v>
      </c>
      <c r="J516" s="302">
        <v>25378748</v>
      </c>
      <c r="K516" s="302">
        <v>3300653</v>
      </c>
      <c r="L516" s="302">
        <v>188929687</v>
      </c>
      <c r="M516" s="302">
        <v>6983</v>
      </c>
      <c r="N516" s="302">
        <v>25807162</v>
      </c>
      <c r="O516" s="302">
        <v>22983086</v>
      </c>
      <c r="P516" s="302">
        <v>2824076</v>
      </c>
      <c r="Q516" s="303"/>
    </row>
    <row r="517" spans="1:17" s="304" customFormat="1" x14ac:dyDescent="0.25">
      <c r="A517" s="300">
        <v>510</v>
      </c>
      <c r="B517" s="300">
        <v>800066199</v>
      </c>
      <c r="C517" s="300" t="s">
        <v>1396</v>
      </c>
      <c r="D517" s="300" t="s">
        <v>768</v>
      </c>
      <c r="E517" s="300" t="s">
        <v>843</v>
      </c>
      <c r="F517" s="301" t="s">
        <v>766</v>
      </c>
      <c r="G517" s="302">
        <v>190861259</v>
      </c>
      <c r="H517" s="302">
        <v>-723000</v>
      </c>
      <c r="I517" s="302">
        <v>20856576</v>
      </c>
      <c r="J517" s="302">
        <v>20752674</v>
      </c>
      <c r="K517" s="302">
        <v>103902</v>
      </c>
      <c r="L517" s="302">
        <v>54887512</v>
      </c>
      <c r="M517" s="302">
        <v>19910</v>
      </c>
      <c r="N517" s="302">
        <v>7984738</v>
      </c>
      <c r="O517" s="302">
        <v>7663791</v>
      </c>
      <c r="P517" s="302">
        <v>320947</v>
      </c>
      <c r="Q517" s="303"/>
    </row>
    <row r="518" spans="1:17" s="304" customFormat="1" x14ac:dyDescent="0.25">
      <c r="A518" s="300">
        <v>511</v>
      </c>
      <c r="B518" s="300">
        <v>860531287</v>
      </c>
      <c r="C518" s="300" t="s">
        <v>1397</v>
      </c>
      <c r="D518" s="300" t="s">
        <v>758</v>
      </c>
      <c r="E518" s="300" t="s">
        <v>798</v>
      </c>
      <c r="F518" s="301" t="s">
        <v>764</v>
      </c>
      <c r="G518" s="302">
        <v>190760039</v>
      </c>
      <c r="H518" s="302">
        <v>798992</v>
      </c>
      <c r="I518" s="302">
        <v>108673692</v>
      </c>
      <c r="J518" s="302">
        <v>95042027</v>
      </c>
      <c r="K518" s="302">
        <v>13631665</v>
      </c>
      <c r="L518" s="302">
        <v>174688765</v>
      </c>
      <c r="M518" s="302">
        <v>2200857</v>
      </c>
      <c r="N518" s="302">
        <v>101282353</v>
      </c>
      <c r="O518" s="302">
        <v>87189539</v>
      </c>
      <c r="P518" s="302">
        <v>14092814</v>
      </c>
      <c r="Q518" s="303"/>
    </row>
    <row r="519" spans="1:17" s="304" customFormat="1" x14ac:dyDescent="0.25">
      <c r="A519" s="300">
        <v>512</v>
      </c>
      <c r="B519" s="300">
        <v>811045607</v>
      </c>
      <c r="C519" s="300" t="s">
        <v>1398</v>
      </c>
      <c r="D519" s="300" t="s">
        <v>763</v>
      </c>
      <c r="E519" s="300" t="s">
        <v>786</v>
      </c>
      <c r="F519" s="301" t="s">
        <v>764</v>
      </c>
      <c r="G519" s="302">
        <v>190734328</v>
      </c>
      <c r="H519" s="302">
        <v>1147263</v>
      </c>
      <c r="I519" s="302">
        <v>52399539</v>
      </c>
      <c r="J519" s="302">
        <v>29279742</v>
      </c>
      <c r="K519" s="302">
        <v>23119797</v>
      </c>
      <c r="L519" s="302">
        <v>173163738</v>
      </c>
      <c r="M519" s="302">
        <v>2443162</v>
      </c>
      <c r="N519" s="302">
        <v>41656736</v>
      </c>
      <c r="O519" s="302">
        <v>22582877</v>
      </c>
      <c r="P519" s="302">
        <v>19073859</v>
      </c>
      <c r="Q519" s="303"/>
    </row>
    <row r="520" spans="1:17" s="304" customFormat="1" x14ac:dyDescent="0.25">
      <c r="A520" s="300">
        <v>513</v>
      </c>
      <c r="B520" s="300">
        <v>890901264</v>
      </c>
      <c r="C520" s="300" t="s">
        <v>1399</v>
      </c>
      <c r="D520" s="300" t="s">
        <v>763</v>
      </c>
      <c r="E520" s="300" t="s">
        <v>1059</v>
      </c>
      <c r="F520" s="301" t="s">
        <v>764</v>
      </c>
      <c r="G520" s="302">
        <v>189938005</v>
      </c>
      <c r="H520" s="302">
        <v>2519036</v>
      </c>
      <c r="I520" s="302">
        <v>93414520</v>
      </c>
      <c r="J520" s="302">
        <v>60463331</v>
      </c>
      <c r="K520" s="302">
        <v>32951189</v>
      </c>
      <c r="L520" s="302">
        <v>198355291</v>
      </c>
      <c r="M520" s="302">
        <v>2381143</v>
      </c>
      <c r="N520" s="302">
        <v>108391129</v>
      </c>
      <c r="O520" s="302">
        <v>72510218</v>
      </c>
      <c r="P520" s="302">
        <v>35880911</v>
      </c>
      <c r="Q520" s="303"/>
    </row>
    <row r="521" spans="1:17" s="304" customFormat="1" x14ac:dyDescent="0.25">
      <c r="A521" s="300">
        <v>514</v>
      </c>
      <c r="B521" s="300">
        <v>860532244</v>
      </c>
      <c r="C521" s="300" t="s">
        <v>1400</v>
      </c>
      <c r="D521" s="300" t="s">
        <v>758</v>
      </c>
      <c r="E521" s="300" t="s">
        <v>776</v>
      </c>
      <c r="F521" s="301" t="s">
        <v>764</v>
      </c>
      <c r="G521" s="302">
        <v>189759061</v>
      </c>
      <c r="H521" s="302">
        <v>870851</v>
      </c>
      <c r="I521" s="302">
        <v>61646510</v>
      </c>
      <c r="J521" s="302">
        <v>50736820</v>
      </c>
      <c r="K521" s="302">
        <v>10909690</v>
      </c>
      <c r="L521" s="302">
        <v>134717937</v>
      </c>
      <c r="M521" s="302">
        <v>839751</v>
      </c>
      <c r="N521" s="302">
        <v>47975746</v>
      </c>
      <c r="O521" s="302">
        <v>38223462</v>
      </c>
      <c r="P521" s="302">
        <v>9752284</v>
      </c>
      <c r="Q521" s="303"/>
    </row>
    <row r="522" spans="1:17" s="304" customFormat="1" x14ac:dyDescent="0.25">
      <c r="A522" s="300">
        <v>515</v>
      </c>
      <c r="B522" s="300">
        <v>830093262</v>
      </c>
      <c r="C522" s="300" t="s">
        <v>1401</v>
      </c>
      <c r="D522" s="300" t="s">
        <v>758</v>
      </c>
      <c r="E522" s="300" t="s">
        <v>771</v>
      </c>
      <c r="F522" s="301" t="s">
        <v>760</v>
      </c>
      <c r="G522" s="302">
        <v>189356633</v>
      </c>
      <c r="H522" s="302">
        <v>67957870</v>
      </c>
      <c r="I522" s="302">
        <v>272546444</v>
      </c>
      <c r="J522" s="302">
        <v>103284416</v>
      </c>
      <c r="K522" s="302">
        <v>169262028</v>
      </c>
      <c r="L522" s="302">
        <v>124241747</v>
      </c>
      <c r="M522" s="302">
        <v>39618873</v>
      </c>
      <c r="N522" s="302">
        <v>221897134</v>
      </c>
      <c r="O522" s="302">
        <v>70296295</v>
      </c>
      <c r="P522" s="302">
        <v>151600839</v>
      </c>
      <c r="Q522" s="303"/>
    </row>
    <row r="523" spans="1:17" s="304" customFormat="1" x14ac:dyDescent="0.25">
      <c r="A523" s="300">
        <v>516</v>
      </c>
      <c r="B523" s="300">
        <v>891856718</v>
      </c>
      <c r="C523" s="300" t="s">
        <v>1402</v>
      </c>
      <c r="D523" s="300" t="s">
        <v>1149</v>
      </c>
      <c r="E523" s="300" t="s">
        <v>1403</v>
      </c>
      <c r="F523" s="301" t="s">
        <v>766</v>
      </c>
      <c r="G523" s="302">
        <v>189241715</v>
      </c>
      <c r="H523" s="302">
        <v>15210120</v>
      </c>
      <c r="I523" s="302">
        <v>79467890</v>
      </c>
      <c r="J523" s="302">
        <v>42235231</v>
      </c>
      <c r="K523" s="302">
        <v>37232659</v>
      </c>
      <c r="L523" s="302">
        <v>189028575</v>
      </c>
      <c r="M523" s="302">
        <v>13731978</v>
      </c>
      <c r="N523" s="302">
        <v>67697020</v>
      </c>
      <c r="O523" s="302">
        <v>42968745</v>
      </c>
      <c r="P523" s="302">
        <v>24728275</v>
      </c>
      <c r="Q523" s="303"/>
    </row>
    <row r="524" spans="1:17" s="304" customFormat="1" x14ac:dyDescent="0.25">
      <c r="A524" s="300">
        <v>517</v>
      </c>
      <c r="B524" s="300">
        <v>830138325</v>
      </c>
      <c r="C524" s="300" t="s">
        <v>1404</v>
      </c>
      <c r="D524" s="300" t="s">
        <v>758</v>
      </c>
      <c r="E524" s="300" t="s">
        <v>759</v>
      </c>
      <c r="F524" s="301" t="s">
        <v>766</v>
      </c>
      <c r="G524" s="302">
        <v>189130246.16499999</v>
      </c>
      <c r="H524" s="302">
        <v>298538.72822000005</v>
      </c>
      <c r="I524" s="302">
        <v>22796610.031540003</v>
      </c>
      <c r="J524" s="302">
        <v>17964772.36688</v>
      </c>
      <c r="K524" s="302">
        <v>4831837.6646600002</v>
      </c>
      <c r="L524" s="302">
        <v>178258875.75939003</v>
      </c>
      <c r="M524" s="302">
        <v>289484.32685000001</v>
      </c>
      <c r="N524" s="302">
        <v>22271237.100470003</v>
      </c>
      <c r="O524" s="302">
        <v>17972949.50725</v>
      </c>
      <c r="P524" s="302">
        <v>4298287.5932200002</v>
      </c>
      <c r="Q524" s="303"/>
    </row>
    <row r="525" spans="1:17" s="304" customFormat="1" x14ac:dyDescent="0.25">
      <c r="A525" s="300">
        <v>518</v>
      </c>
      <c r="B525" s="300">
        <v>802019339</v>
      </c>
      <c r="C525" s="300" t="s">
        <v>1405</v>
      </c>
      <c r="D525" s="300" t="s">
        <v>768</v>
      </c>
      <c r="E525" s="300" t="s">
        <v>873</v>
      </c>
      <c r="F525" s="301" t="s">
        <v>779</v>
      </c>
      <c r="G525" s="302">
        <v>188635215</v>
      </c>
      <c r="H525" s="302">
        <v>16911088</v>
      </c>
      <c r="I525" s="302">
        <v>148385021</v>
      </c>
      <c r="J525" s="302">
        <v>72334582</v>
      </c>
      <c r="K525" s="302">
        <v>76050439</v>
      </c>
      <c r="L525" s="302">
        <v>168831919</v>
      </c>
      <c r="M525" s="302">
        <v>10416162</v>
      </c>
      <c r="N525" s="302">
        <v>144301179</v>
      </c>
      <c r="O525" s="302">
        <v>84877564</v>
      </c>
      <c r="P525" s="302">
        <v>59423615</v>
      </c>
      <c r="Q525" s="303"/>
    </row>
    <row r="526" spans="1:17" s="304" customFormat="1" x14ac:dyDescent="0.25">
      <c r="A526" s="300">
        <v>519</v>
      </c>
      <c r="B526" s="300">
        <v>890905065</v>
      </c>
      <c r="C526" s="300" t="s">
        <v>1406</v>
      </c>
      <c r="D526" s="300" t="s">
        <v>763</v>
      </c>
      <c r="E526" s="300" t="s">
        <v>759</v>
      </c>
      <c r="F526" s="301" t="s">
        <v>766</v>
      </c>
      <c r="G526" s="302">
        <v>187135231</v>
      </c>
      <c r="H526" s="302">
        <v>7449449</v>
      </c>
      <c r="I526" s="302">
        <v>432829587</v>
      </c>
      <c r="J526" s="302">
        <v>144647296</v>
      </c>
      <c r="K526" s="302">
        <v>288182291</v>
      </c>
      <c r="L526" s="302">
        <v>183388255</v>
      </c>
      <c r="M526" s="302">
        <v>-7429633</v>
      </c>
      <c r="N526" s="302">
        <v>430438795</v>
      </c>
      <c r="O526" s="302">
        <v>149427536</v>
      </c>
      <c r="P526" s="302">
        <v>281011259</v>
      </c>
      <c r="Q526" s="303"/>
    </row>
    <row r="527" spans="1:17" s="304" customFormat="1" x14ac:dyDescent="0.25">
      <c r="A527" s="300">
        <v>520</v>
      </c>
      <c r="B527" s="300">
        <v>900422614</v>
      </c>
      <c r="C527" s="300" t="s">
        <v>1407</v>
      </c>
      <c r="D527" s="300" t="s">
        <v>758</v>
      </c>
      <c r="E527" s="300" t="s">
        <v>1408</v>
      </c>
      <c r="F527" s="301" t="s">
        <v>766</v>
      </c>
      <c r="G527" s="302">
        <v>187073479</v>
      </c>
      <c r="H527" s="302">
        <v>-19402410</v>
      </c>
      <c r="I527" s="302">
        <v>741579335</v>
      </c>
      <c r="J527" s="302">
        <v>576007600</v>
      </c>
      <c r="K527" s="302">
        <v>165571735</v>
      </c>
      <c r="L527" s="302">
        <v>195209141</v>
      </c>
      <c r="M527" s="302">
        <v>-13970237</v>
      </c>
      <c r="N527" s="302">
        <v>777225188</v>
      </c>
      <c r="O527" s="302">
        <v>798221742</v>
      </c>
      <c r="P527" s="302">
        <v>-20996554</v>
      </c>
      <c r="Q527" s="303"/>
    </row>
    <row r="528" spans="1:17" s="304" customFormat="1" x14ac:dyDescent="0.25">
      <c r="A528" s="300">
        <v>521</v>
      </c>
      <c r="B528" s="300">
        <v>816002019</v>
      </c>
      <c r="C528" s="300" t="s">
        <v>1409</v>
      </c>
      <c r="D528" s="300" t="s">
        <v>763</v>
      </c>
      <c r="E528" s="300" t="s">
        <v>759</v>
      </c>
      <c r="F528" s="301" t="s">
        <v>766</v>
      </c>
      <c r="G528" s="309">
        <v>185492099.51300001</v>
      </c>
      <c r="H528" s="309">
        <v>8300054.0039999997</v>
      </c>
      <c r="I528" s="309">
        <v>362951534.79699999</v>
      </c>
      <c r="J528" s="309">
        <v>57210074.875</v>
      </c>
      <c r="K528" s="309">
        <v>305741459.92199999</v>
      </c>
      <c r="L528" s="309">
        <v>189289554.32499999</v>
      </c>
      <c r="M528" s="309">
        <v>6507402.7010000004</v>
      </c>
      <c r="N528" s="309">
        <v>378864531.53899997</v>
      </c>
      <c r="O528" s="309">
        <v>57824083.292000003</v>
      </c>
      <c r="P528" s="309">
        <v>321040448.24699998</v>
      </c>
      <c r="Q528" s="303"/>
    </row>
    <row r="529" spans="1:17" s="304" customFormat="1" x14ac:dyDescent="0.25">
      <c r="A529" s="300">
        <v>522</v>
      </c>
      <c r="B529" s="300">
        <v>890907638</v>
      </c>
      <c r="C529" s="300" t="s">
        <v>1410</v>
      </c>
      <c r="D529" s="300" t="s">
        <v>763</v>
      </c>
      <c r="E529" s="300" t="s">
        <v>759</v>
      </c>
      <c r="F529" s="301" t="s">
        <v>766</v>
      </c>
      <c r="G529" s="302">
        <v>185331246.86000001</v>
      </c>
      <c r="H529" s="302">
        <v>2282331.6519999998</v>
      </c>
      <c r="I529" s="302">
        <v>120119097.082</v>
      </c>
      <c r="J529" s="302">
        <v>51285045.267999999</v>
      </c>
      <c r="K529" s="302">
        <v>68834051.813999996</v>
      </c>
      <c r="L529" s="302">
        <v>169128983.382</v>
      </c>
      <c r="M529" s="302">
        <v>1103831.649</v>
      </c>
      <c r="N529" s="302">
        <v>109496450.182</v>
      </c>
      <c r="O529" s="302">
        <v>44251819.961999997</v>
      </c>
      <c r="P529" s="302">
        <v>65244630.219999999</v>
      </c>
      <c r="Q529" s="303"/>
    </row>
    <row r="530" spans="1:17" s="304" customFormat="1" x14ac:dyDescent="0.25">
      <c r="A530" s="300">
        <v>523</v>
      </c>
      <c r="B530" s="300">
        <v>860017055</v>
      </c>
      <c r="C530" s="300" t="s">
        <v>1411</v>
      </c>
      <c r="D530" s="300" t="s">
        <v>758</v>
      </c>
      <c r="E530" s="300" t="s">
        <v>1412</v>
      </c>
      <c r="F530" s="301" t="s">
        <v>779</v>
      </c>
      <c r="G530" s="302">
        <v>185239407</v>
      </c>
      <c r="H530" s="302">
        <v>12932857</v>
      </c>
      <c r="I530" s="302">
        <v>183123400</v>
      </c>
      <c r="J530" s="302">
        <v>48752154</v>
      </c>
      <c r="K530" s="302">
        <v>134371246</v>
      </c>
      <c r="L530" s="302">
        <v>179567758</v>
      </c>
      <c r="M530" s="302">
        <v>10955527</v>
      </c>
      <c r="N530" s="302">
        <v>164073983</v>
      </c>
      <c r="O530" s="302">
        <v>50625932</v>
      </c>
      <c r="P530" s="302">
        <v>113448051</v>
      </c>
      <c r="Q530" s="303"/>
    </row>
    <row r="531" spans="1:17" s="304" customFormat="1" x14ac:dyDescent="0.25">
      <c r="A531" s="300">
        <v>524</v>
      </c>
      <c r="B531" s="300">
        <v>890903910</v>
      </c>
      <c r="C531" s="300" t="s">
        <v>1413</v>
      </c>
      <c r="D531" s="300" t="s">
        <v>758</v>
      </c>
      <c r="E531" s="300" t="s">
        <v>1322</v>
      </c>
      <c r="F531" s="301" t="s">
        <v>766</v>
      </c>
      <c r="G531" s="302">
        <v>184685547</v>
      </c>
      <c r="H531" s="302">
        <v>34705365</v>
      </c>
      <c r="I531" s="302">
        <v>431994291</v>
      </c>
      <c r="J531" s="302">
        <v>55792973</v>
      </c>
      <c r="K531" s="302">
        <v>376201318</v>
      </c>
      <c r="L531" s="302">
        <v>167665342</v>
      </c>
      <c r="M531" s="302">
        <v>50221741</v>
      </c>
      <c r="N531" s="302">
        <v>441107644</v>
      </c>
      <c r="O531" s="302">
        <v>36065932</v>
      </c>
      <c r="P531" s="302">
        <v>405041712</v>
      </c>
      <c r="Q531" s="303"/>
    </row>
    <row r="532" spans="1:17" s="304" customFormat="1" x14ac:dyDescent="0.25">
      <c r="A532" s="300">
        <v>525</v>
      </c>
      <c r="B532" s="300">
        <v>830022634</v>
      </c>
      <c r="C532" s="300" t="s">
        <v>1414</v>
      </c>
      <c r="D532" s="300" t="s">
        <v>758</v>
      </c>
      <c r="E532" s="300" t="s">
        <v>1032</v>
      </c>
      <c r="F532" s="301" t="s">
        <v>764</v>
      </c>
      <c r="G532" s="302">
        <v>184589569</v>
      </c>
      <c r="H532" s="302">
        <v>5992443</v>
      </c>
      <c r="I532" s="302">
        <v>345240128</v>
      </c>
      <c r="J532" s="302">
        <v>45709807</v>
      </c>
      <c r="K532" s="302">
        <v>299530321</v>
      </c>
      <c r="L532" s="302">
        <v>158065756</v>
      </c>
      <c r="M532" s="302">
        <v>7442867</v>
      </c>
      <c r="N532" s="302">
        <v>331473587</v>
      </c>
      <c r="O532" s="302">
        <v>46024002</v>
      </c>
      <c r="P532" s="302">
        <v>285449585</v>
      </c>
      <c r="Q532" s="303"/>
    </row>
    <row r="533" spans="1:17" s="304" customFormat="1" x14ac:dyDescent="0.25">
      <c r="A533" s="300">
        <v>526</v>
      </c>
      <c r="B533" s="300">
        <v>830034723</v>
      </c>
      <c r="C533" s="300" t="s">
        <v>1415</v>
      </c>
      <c r="D533" s="300" t="s">
        <v>758</v>
      </c>
      <c r="E533" s="300" t="s">
        <v>832</v>
      </c>
      <c r="F533" s="301" t="s">
        <v>766</v>
      </c>
      <c r="G533" s="302">
        <v>183432090</v>
      </c>
      <c r="H533" s="302">
        <v>81783744</v>
      </c>
      <c r="I533" s="302">
        <v>3454710593</v>
      </c>
      <c r="J533" s="302">
        <v>19451020</v>
      </c>
      <c r="K533" s="302">
        <v>3435259573</v>
      </c>
      <c r="L533" s="302">
        <v>1175539920</v>
      </c>
      <c r="M533" s="302">
        <v>1165273645</v>
      </c>
      <c r="N533" s="302">
        <v>3288012770</v>
      </c>
      <c r="O533" s="302">
        <v>11308940</v>
      </c>
      <c r="P533" s="302">
        <v>3276703830</v>
      </c>
      <c r="Q533" s="303"/>
    </row>
    <row r="534" spans="1:17" s="304" customFormat="1" x14ac:dyDescent="0.25">
      <c r="A534" s="300">
        <v>527</v>
      </c>
      <c r="B534" s="300">
        <v>860000656</v>
      </c>
      <c r="C534" s="300" t="s">
        <v>1416</v>
      </c>
      <c r="D534" s="300" t="s">
        <v>763</v>
      </c>
      <c r="E534" s="300" t="s">
        <v>1417</v>
      </c>
      <c r="F534" s="301" t="s">
        <v>766</v>
      </c>
      <c r="G534" s="302">
        <v>183007206</v>
      </c>
      <c r="H534" s="302">
        <v>9109327</v>
      </c>
      <c r="I534" s="302">
        <v>153456981</v>
      </c>
      <c r="J534" s="302">
        <v>104939731</v>
      </c>
      <c r="K534" s="302">
        <v>48517250</v>
      </c>
      <c r="L534" s="302">
        <v>127639816</v>
      </c>
      <c r="M534" s="302">
        <v>1102995</v>
      </c>
      <c r="N534" s="302">
        <v>134800495</v>
      </c>
      <c r="O534" s="302">
        <v>92872852</v>
      </c>
      <c r="P534" s="302">
        <v>41927643</v>
      </c>
      <c r="Q534" s="303"/>
    </row>
    <row r="535" spans="1:17" s="304" customFormat="1" x14ac:dyDescent="0.25">
      <c r="A535" s="300">
        <v>528</v>
      </c>
      <c r="B535" s="305">
        <v>900178724</v>
      </c>
      <c r="C535" s="306" t="s">
        <v>1418</v>
      </c>
      <c r="D535" s="300" t="s">
        <v>758</v>
      </c>
      <c r="E535" s="300" t="s">
        <v>759</v>
      </c>
      <c r="F535" s="300" t="s">
        <v>766</v>
      </c>
      <c r="G535" s="302">
        <v>182949467</v>
      </c>
      <c r="H535" s="302">
        <v>3369657</v>
      </c>
      <c r="I535" s="302">
        <v>128133129</v>
      </c>
      <c r="J535" s="302">
        <v>99235156</v>
      </c>
      <c r="K535" s="302">
        <v>28897973</v>
      </c>
      <c r="L535" s="309">
        <v>158024365</v>
      </c>
      <c r="M535" s="309">
        <v>2013703</v>
      </c>
      <c r="N535" s="302">
        <v>119859188</v>
      </c>
      <c r="O535" s="302">
        <v>98166261</v>
      </c>
      <c r="P535" s="302">
        <v>21692927</v>
      </c>
      <c r="Q535" s="303"/>
    </row>
    <row r="536" spans="1:17" s="304" customFormat="1" x14ac:dyDescent="0.25">
      <c r="A536" s="300">
        <v>529</v>
      </c>
      <c r="B536" s="300">
        <v>900319404</v>
      </c>
      <c r="C536" s="300" t="s">
        <v>1419</v>
      </c>
      <c r="D536" s="300" t="s">
        <v>768</v>
      </c>
      <c r="E536" s="300" t="s">
        <v>1420</v>
      </c>
      <c r="F536" s="301" t="s">
        <v>764</v>
      </c>
      <c r="G536" s="302">
        <v>182747506</v>
      </c>
      <c r="H536" s="302">
        <v>405304</v>
      </c>
      <c r="I536" s="302">
        <v>99808355</v>
      </c>
      <c r="J536" s="302">
        <v>81536254</v>
      </c>
      <c r="K536" s="302">
        <v>18272101</v>
      </c>
      <c r="L536" s="302">
        <v>232111976</v>
      </c>
      <c r="M536" s="302">
        <v>1054391</v>
      </c>
      <c r="N536" s="302">
        <v>94454181</v>
      </c>
      <c r="O536" s="302">
        <v>85901359</v>
      </c>
      <c r="P536" s="302">
        <v>8552822</v>
      </c>
      <c r="Q536" s="303"/>
    </row>
    <row r="537" spans="1:17" s="304" customFormat="1" x14ac:dyDescent="0.25">
      <c r="A537" s="300">
        <v>530</v>
      </c>
      <c r="B537" s="300">
        <v>860000753</v>
      </c>
      <c r="C537" s="300" t="s">
        <v>1421</v>
      </c>
      <c r="D537" s="300" t="s">
        <v>758</v>
      </c>
      <c r="E537" s="300" t="s">
        <v>863</v>
      </c>
      <c r="F537" s="301" t="s">
        <v>764</v>
      </c>
      <c r="G537" s="302">
        <v>182529334</v>
      </c>
      <c r="H537" s="302">
        <v>14651976</v>
      </c>
      <c r="I537" s="302">
        <v>85917207</v>
      </c>
      <c r="J537" s="302">
        <v>61030727</v>
      </c>
      <c r="K537" s="302">
        <v>24886480</v>
      </c>
      <c r="L537" s="302">
        <v>167255419</v>
      </c>
      <c r="M537" s="302">
        <v>9595920</v>
      </c>
      <c r="N537" s="302">
        <v>65259320</v>
      </c>
      <c r="O537" s="302">
        <v>43580959</v>
      </c>
      <c r="P537" s="302">
        <v>21678361</v>
      </c>
      <c r="Q537" s="303"/>
    </row>
    <row r="538" spans="1:17" s="304" customFormat="1" x14ac:dyDescent="0.25">
      <c r="A538" s="300">
        <v>531</v>
      </c>
      <c r="B538" s="300">
        <v>8600462012</v>
      </c>
      <c r="C538" s="300" t="s">
        <v>1422</v>
      </c>
      <c r="D538" s="300" t="s">
        <v>808</v>
      </c>
      <c r="E538" s="300" t="s">
        <v>759</v>
      </c>
      <c r="F538" s="300" t="s">
        <v>766</v>
      </c>
      <c r="G538" s="302">
        <v>182083703.73500001</v>
      </c>
      <c r="H538" s="302">
        <v>0</v>
      </c>
      <c r="I538" s="302">
        <v>59982255.814000003</v>
      </c>
      <c r="J538" s="302">
        <v>32902807.449000001</v>
      </c>
      <c r="K538" s="302">
        <v>27079448.364999998</v>
      </c>
      <c r="L538" s="302">
        <v>165521241.05899999</v>
      </c>
      <c r="M538" s="302">
        <v>575828.9</v>
      </c>
      <c r="N538" s="302">
        <v>60311516.348999999</v>
      </c>
      <c r="O538" s="302">
        <v>33891801.578000002</v>
      </c>
      <c r="P538" s="302">
        <v>26419714.771000002</v>
      </c>
      <c r="Q538" s="303"/>
    </row>
    <row r="539" spans="1:17" s="304" customFormat="1" x14ac:dyDescent="0.25">
      <c r="A539" s="300">
        <v>532</v>
      </c>
      <c r="B539" s="300">
        <v>900163926</v>
      </c>
      <c r="C539" s="300" t="s">
        <v>1423</v>
      </c>
      <c r="D539" s="300" t="s">
        <v>758</v>
      </c>
      <c r="E539" s="300" t="s">
        <v>759</v>
      </c>
      <c r="F539" s="301" t="s">
        <v>766</v>
      </c>
      <c r="G539" s="302">
        <v>182028271</v>
      </c>
      <c r="H539" s="302">
        <v>12150817</v>
      </c>
      <c r="I539" s="302">
        <v>56623474</v>
      </c>
      <c r="J539" s="302">
        <v>33532341</v>
      </c>
      <c r="K539" s="302">
        <v>23091133</v>
      </c>
      <c r="L539" s="302">
        <v>223219366</v>
      </c>
      <c r="M539" s="302">
        <v>5518148</v>
      </c>
      <c r="N539" s="302">
        <v>103705311</v>
      </c>
      <c r="O539" s="302">
        <v>92764995</v>
      </c>
      <c r="P539" s="302">
        <v>10940316</v>
      </c>
      <c r="Q539" s="303"/>
    </row>
    <row r="540" spans="1:17" s="304" customFormat="1" x14ac:dyDescent="0.25">
      <c r="A540" s="300">
        <v>533</v>
      </c>
      <c r="B540" s="300">
        <v>819004712</v>
      </c>
      <c r="C540" s="300" t="s">
        <v>1424</v>
      </c>
      <c r="D540" s="300" t="s">
        <v>768</v>
      </c>
      <c r="E540" s="300" t="s">
        <v>856</v>
      </c>
      <c r="F540" s="301" t="s">
        <v>779</v>
      </c>
      <c r="G540" s="302">
        <v>180419350</v>
      </c>
      <c r="H540" s="302">
        <v>15364878</v>
      </c>
      <c r="I540" s="302">
        <v>370885944</v>
      </c>
      <c r="J540" s="302">
        <v>138206963</v>
      </c>
      <c r="K540" s="302">
        <v>232678981</v>
      </c>
      <c r="L540" s="302">
        <v>222098093</v>
      </c>
      <c r="M540" s="302">
        <v>15101228</v>
      </c>
      <c r="N540" s="302">
        <v>307164050</v>
      </c>
      <c r="O540" s="302">
        <v>122020948</v>
      </c>
      <c r="P540" s="302">
        <v>185143102</v>
      </c>
      <c r="Q540" s="303"/>
    </row>
    <row r="541" spans="1:17" s="304" customFormat="1" x14ac:dyDescent="0.25">
      <c r="A541" s="300">
        <v>534</v>
      </c>
      <c r="B541" s="300">
        <v>8902041620</v>
      </c>
      <c r="C541" s="300" t="s">
        <v>1425</v>
      </c>
      <c r="D541" s="300" t="s">
        <v>891</v>
      </c>
      <c r="E541" s="300" t="s">
        <v>759</v>
      </c>
      <c r="F541" s="300" t="s">
        <v>766</v>
      </c>
      <c r="G541" s="302">
        <v>179086523.11199999</v>
      </c>
      <c r="H541" s="302">
        <v>5197549.074</v>
      </c>
      <c r="I541" s="302">
        <v>43457889.479999997</v>
      </c>
      <c r="J541" s="302">
        <v>20960224.263999999</v>
      </c>
      <c r="K541" s="302">
        <v>22497665.215999998</v>
      </c>
      <c r="L541" s="302">
        <v>130436364.21699999</v>
      </c>
      <c r="M541" s="302">
        <v>0</v>
      </c>
      <c r="N541" s="302">
        <v>34962301.276000001</v>
      </c>
      <c r="O541" s="302">
        <v>17464137.134</v>
      </c>
      <c r="P541" s="302">
        <v>17498164.142000001</v>
      </c>
      <c r="Q541" s="303"/>
    </row>
    <row r="542" spans="1:17" s="304" customFormat="1" x14ac:dyDescent="0.25">
      <c r="A542" s="300">
        <v>535</v>
      </c>
      <c r="B542" s="300">
        <v>890901172</v>
      </c>
      <c r="C542" s="300" t="s">
        <v>1426</v>
      </c>
      <c r="D542" s="300" t="s">
        <v>763</v>
      </c>
      <c r="E542" s="300" t="s">
        <v>759</v>
      </c>
      <c r="F542" s="301" t="s">
        <v>764</v>
      </c>
      <c r="G542" s="302">
        <v>178946788.69420999</v>
      </c>
      <c r="H542" s="302">
        <v>-1451274.1712499999</v>
      </c>
      <c r="I542" s="302">
        <v>94949683.419469997</v>
      </c>
      <c r="J542" s="302">
        <v>44984454.554779999</v>
      </c>
      <c r="K542" s="302">
        <v>49965228.864690006</v>
      </c>
      <c r="L542" s="302">
        <v>151697601.39573002</v>
      </c>
      <c r="M542" s="302">
        <v>1225241.6108599999</v>
      </c>
      <c r="N542" s="302">
        <v>81266335.245440006</v>
      </c>
      <c r="O542" s="302">
        <v>31972566.2885</v>
      </c>
      <c r="P542" s="302">
        <v>49293768.956940003</v>
      </c>
      <c r="Q542" s="303"/>
    </row>
    <row r="543" spans="1:17" s="304" customFormat="1" x14ac:dyDescent="0.25">
      <c r="A543" s="300">
        <v>536</v>
      </c>
      <c r="B543" s="300">
        <v>830090773</v>
      </c>
      <c r="C543" s="300" t="s">
        <v>1427</v>
      </c>
      <c r="D543" s="300" t="s">
        <v>758</v>
      </c>
      <c r="E543" s="300" t="s">
        <v>846</v>
      </c>
      <c r="F543" s="301" t="s">
        <v>760</v>
      </c>
      <c r="G543" s="302">
        <v>178534437</v>
      </c>
      <c r="H543" s="302">
        <v>228568</v>
      </c>
      <c r="I543" s="302">
        <v>90649194</v>
      </c>
      <c r="J543" s="302">
        <v>45204063</v>
      </c>
      <c r="K543" s="302">
        <v>45445131</v>
      </c>
      <c r="L543" s="302">
        <v>213827904</v>
      </c>
      <c r="M543" s="302">
        <v>3067107</v>
      </c>
      <c r="N543" s="302">
        <v>106313260</v>
      </c>
      <c r="O543" s="302">
        <v>59166339</v>
      </c>
      <c r="P543" s="302">
        <v>47146921</v>
      </c>
      <c r="Q543" s="303"/>
    </row>
    <row r="544" spans="1:17" s="304" customFormat="1" x14ac:dyDescent="0.25">
      <c r="A544" s="300">
        <v>537</v>
      </c>
      <c r="B544" s="300">
        <v>900397359</v>
      </c>
      <c r="C544" s="300" t="s">
        <v>1428</v>
      </c>
      <c r="D544" s="300" t="s">
        <v>758</v>
      </c>
      <c r="E544" s="300" t="s">
        <v>876</v>
      </c>
      <c r="F544" s="311" t="s">
        <v>877</v>
      </c>
      <c r="G544" s="302">
        <v>177771547</v>
      </c>
      <c r="H544" s="302">
        <v>-139509</v>
      </c>
      <c r="I544" s="302">
        <v>179619046</v>
      </c>
      <c r="J544" s="302">
        <v>233507946</v>
      </c>
      <c r="K544" s="302">
        <v>-53888900</v>
      </c>
      <c r="L544" s="302">
        <v>125731212</v>
      </c>
      <c r="M544" s="302">
        <v>-59550613</v>
      </c>
      <c r="N544" s="302">
        <v>179182224</v>
      </c>
      <c r="O544" s="302">
        <v>232931614</v>
      </c>
      <c r="P544" s="302">
        <v>-53749390</v>
      </c>
      <c r="Q544" s="303"/>
    </row>
    <row r="545" spans="1:17" s="304" customFormat="1" x14ac:dyDescent="0.25">
      <c r="A545" s="300">
        <v>538</v>
      </c>
      <c r="B545" s="300">
        <v>800251760</v>
      </c>
      <c r="C545" s="300" t="s">
        <v>1429</v>
      </c>
      <c r="D545" s="300" t="s">
        <v>758</v>
      </c>
      <c r="E545" s="300" t="s">
        <v>863</v>
      </c>
      <c r="F545" s="301" t="s">
        <v>764</v>
      </c>
      <c r="G545" s="302">
        <v>177387832</v>
      </c>
      <c r="H545" s="302">
        <v>17551969</v>
      </c>
      <c r="I545" s="302">
        <v>124163089</v>
      </c>
      <c r="J545" s="302">
        <v>42125698</v>
      </c>
      <c r="K545" s="302">
        <v>82037391</v>
      </c>
      <c r="L545" s="302">
        <v>142230834</v>
      </c>
      <c r="M545" s="302">
        <v>11041938</v>
      </c>
      <c r="N545" s="302">
        <v>105957778</v>
      </c>
      <c r="O545" s="302">
        <v>44444280</v>
      </c>
      <c r="P545" s="302">
        <v>61513498</v>
      </c>
      <c r="Q545" s="303"/>
    </row>
    <row r="546" spans="1:17" s="304" customFormat="1" x14ac:dyDescent="0.25">
      <c r="A546" s="300">
        <v>539</v>
      </c>
      <c r="B546" s="300">
        <v>832000662</v>
      </c>
      <c r="C546" s="300" t="s">
        <v>1430</v>
      </c>
      <c r="D546" s="300" t="s">
        <v>758</v>
      </c>
      <c r="E546" s="300" t="s">
        <v>776</v>
      </c>
      <c r="F546" s="301" t="s">
        <v>764</v>
      </c>
      <c r="G546" s="302">
        <v>177190359</v>
      </c>
      <c r="H546" s="302">
        <v>3213536</v>
      </c>
      <c r="I546" s="302">
        <v>75091946</v>
      </c>
      <c r="J546" s="302">
        <v>53578473</v>
      </c>
      <c r="K546" s="302">
        <v>21513473</v>
      </c>
      <c r="L546" s="302">
        <v>167138948</v>
      </c>
      <c r="M546" s="302">
        <v>3539295</v>
      </c>
      <c r="N546" s="302">
        <v>65178587</v>
      </c>
      <c r="O546" s="302">
        <v>44769612</v>
      </c>
      <c r="P546" s="302">
        <v>20408975</v>
      </c>
      <c r="Q546" s="303"/>
    </row>
    <row r="547" spans="1:17" s="304" customFormat="1" x14ac:dyDescent="0.25">
      <c r="A547" s="300">
        <v>540</v>
      </c>
      <c r="B547" s="300">
        <v>800162612</v>
      </c>
      <c r="C547" s="300" t="s">
        <v>1431</v>
      </c>
      <c r="D547" s="300" t="s">
        <v>808</v>
      </c>
      <c r="E547" s="300" t="s">
        <v>1097</v>
      </c>
      <c r="F547" s="301" t="s">
        <v>766</v>
      </c>
      <c r="G547" s="302">
        <v>177127555</v>
      </c>
      <c r="H547" s="302">
        <v>447159</v>
      </c>
      <c r="I547" s="302">
        <v>42152553</v>
      </c>
      <c r="J547" s="302">
        <v>33160766</v>
      </c>
      <c r="K547" s="302">
        <v>8991787</v>
      </c>
      <c r="L547" s="302">
        <v>157152853</v>
      </c>
      <c r="M547" s="302">
        <v>388005</v>
      </c>
      <c r="N547" s="302">
        <v>35152650</v>
      </c>
      <c r="O547" s="302">
        <v>27275301</v>
      </c>
      <c r="P547" s="302">
        <v>7877349</v>
      </c>
      <c r="Q547" s="303"/>
    </row>
    <row r="548" spans="1:17" s="304" customFormat="1" x14ac:dyDescent="0.25">
      <c r="A548" s="300">
        <v>541</v>
      </c>
      <c r="B548" s="300">
        <v>860042141</v>
      </c>
      <c r="C548" s="300" t="s">
        <v>1432</v>
      </c>
      <c r="D548" s="300" t="s">
        <v>763</v>
      </c>
      <c r="E548" s="300" t="s">
        <v>868</v>
      </c>
      <c r="F548" s="301" t="s">
        <v>779</v>
      </c>
      <c r="G548" s="302">
        <v>176828074</v>
      </c>
      <c r="H548" s="302">
        <v>-28647607</v>
      </c>
      <c r="I548" s="302">
        <v>380811021</v>
      </c>
      <c r="J548" s="302">
        <v>217784857</v>
      </c>
      <c r="K548" s="302">
        <v>163026164</v>
      </c>
      <c r="L548" s="302">
        <v>188195879</v>
      </c>
      <c r="M548" s="302">
        <v>2160965</v>
      </c>
      <c r="N548" s="302">
        <v>392968671</v>
      </c>
      <c r="O548" s="302">
        <v>208819301</v>
      </c>
      <c r="P548" s="302">
        <v>184149370</v>
      </c>
      <c r="Q548" s="303"/>
    </row>
    <row r="549" spans="1:17" s="304" customFormat="1" x14ac:dyDescent="0.25">
      <c r="A549" s="300">
        <v>542</v>
      </c>
      <c r="B549" s="300">
        <v>890301680</v>
      </c>
      <c r="C549" s="300" t="s">
        <v>1433</v>
      </c>
      <c r="D549" s="300" t="s">
        <v>808</v>
      </c>
      <c r="E549" s="300" t="s">
        <v>880</v>
      </c>
      <c r="F549" s="301" t="s">
        <v>764</v>
      </c>
      <c r="G549" s="302">
        <v>176366721</v>
      </c>
      <c r="H549" s="302">
        <v>134534</v>
      </c>
      <c r="I549" s="302">
        <v>94789506</v>
      </c>
      <c r="J549" s="302">
        <v>63341873</v>
      </c>
      <c r="K549" s="302">
        <v>31447633</v>
      </c>
      <c r="L549" s="302">
        <v>133974161</v>
      </c>
      <c r="M549" s="302">
        <v>1213556</v>
      </c>
      <c r="N549" s="302">
        <v>81002386</v>
      </c>
      <c r="O549" s="302">
        <v>47681152</v>
      </c>
      <c r="P549" s="302">
        <v>33321234</v>
      </c>
      <c r="Q549" s="303"/>
    </row>
    <row r="550" spans="1:17" s="304" customFormat="1" x14ac:dyDescent="0.25">
      <c r="A550" s="300">
        <v>543</v>
      </c>
      <c r="B550" s="300">
        <v>890208890</v>
      </c>
      <c r="C550" s="300" t="s">
        <v>1434</v>
      </c>
      <c r="D550" s="300" t="s">
        <v>891</v>
      </c>
      <c r="E550" s="300" t="s">
        <v>1355</v>
      </c>
      <c r="F550" s="301" t="s">
        <v>764</v>
      </c>
      <c r="G550" s="302">
        <v>174871709</v>
      </c>
      <c r="H550" s="302">
        <v>1117746</v>
      </c>
      <c r="I550" s="302">
        <v>130786675</v>
      </c>
      <c r="J550" s="302">
        <v>120962242</v>
      </c>
      <c r="K550" s="302">
        <v>9824433</v>
      </c>
      <c r="L550" s="302">
        <v>169290077</v>
      </c>
      <c r="M550" s="302">
        <v>1988799</v>
      </c>
      <c r="N550" s="302">
        <v>117615670</v>
      </c>
      <c r="O550" s="302">
        <v>106990733</v>
      </c>
      <c r="P550" s="302">
        <v>10624937</v>
      </c>
      <c r="Q550" s="303"/>
    </row>
    <row r="551" spans="1:17" s="304" customFormat="1" x14ac:dyDescent="0.25">
      <c r="A551" s="300">
        <v>544</v>
      </c>
      <c r="B551" s="300">
        <v>900483378</v>
      </c>
      <c r="C551" s="300" t="s">
        <v>1435</v>
      </c>
      <c r="D551" s="300" t="s">
        <v>758</v>
      </c>
      <c r="E551" s="300" t="s">
        <v>965</v>
      </c>
      <c r="F551" s="301" t="s">
        <v>779</v>
      </c>
      <c r="G551" s="302">
        <v>174778665</v>
      </c>
      <c r="H551" s="302">
        <v>-617682</v>
      </c>
      <c r="I551" s="302">
        <v>88368677</v>
      </c>
      <c r="J551" s="302">
        <v>85646215</v>
      </c>
      <c r="K551" s="302">
        <v>2722462</v>
      </c>
      <c r="L551" s="302">
        <v>228508981</v>
      </c>
      <c r="M551" s="302">
        <v>-1618964</v>
      </c>
      <c r="N551" s="302">
        <v>76532851</v>
      </c>
      <c r="O551" s="302">
        <v>73192707</v>
      </c>
      <c r="P551" s="302">
        <v>3340144</v>
      </c>
      <c r="Q551" s="303"/>
    </row>
    <row r="552" spans="1:17" s="304" customFormat="1" x14ac:dyDescent="0.25">
      <c r="A552" s="300">
        <v>545</v>
      </c>
      <c r="B552" s="300">
        <v>900172963</v>
      </c>
      <c r="C552" s="300" t="s">
        <v>1436</v>
      </c>
      <c r="D552" s="300" t="s">
        <v>758</v>
      </c>
      <c r="E552" s="300" t="s">
        <v>1198</v>
      </c>
      <c r="F552" s="301" t="s">
        <v>764</v>
      </c>
      <c r="G552" s="302">
        <v>173904719</v>
      </c>
      <c r="H552" s="302">
        <v>-1224845</v>
      </c>
      <c r="I552" s="302">
        <v>31393141</v>
      </c>
      <c r="J552" s="302">
        <v>23713226</v>
      </c>
      <c r="K552" s="302">
        <v>7679915</v>
      </c>
      <c r="L552" s="302">
        <v>80081624</v>
      </c>
      <c r="M552" s="302">
        <v>5277584</v>
      </c>
      <c r="N552" s="302">
        <v>42795782</v>
      </c>
      <c r="O552" s="302">
        <v>30065515</v>
      </c>
      <c r="P552" s="302">
        <v>12730267</v>
      </c>
      <c r="Q552" s="303"/>
    </row>
    <row r="553" spans="1:17" s="304" customFormat="1" x14ac:dyDescent="0.25">
      <c r="A553" s="300">
        <v>546</v>
      </c>
      <c r="B553" s="300">
        <v>860054249</v>
      </c>
      <c r="C553" s="300" t="s">
        <v>1437</v>
      </c>
      <c r="D553" s="300" t="s">
        <v>758</v>
      </c>
      <c r="E553" s="300" t="s">
        <v>776</v>
      </c>
      <c r="F553" s="301" t="s">
        <v>764</v>
      </c>
      <c r="G553" s="302">
        <v>173422278</v>
      </c>
      <c r="H553" s="302">
        <v>13267655</v>
      </c>
      <c r="I553" s="302">
        <v>142785932</v>
      </c>
      <c r="J553" s="302">
        <v>77871685</v>
      </c>
      <c r="K553" s="302">
        <v>64914247</v>
      </c>
      <c r="L553" s="302">
        <v>188808192</v>
      </c>
      <c r="M553" s="302">
        <v>14552929</v>
      </c>
      <c r="N553" s="302">
        <v>157771392</v>
      </c>
      <c r="O553" s="302">
        <v>93027164</v>
      </c>
      <c r="P553" s="302">
        <v>64744228</v>
      </c>
      <c r="Q553" s="303"/>
    </row>
    <row r="554" spans="1:17" s="304" customFormat="1" x14ac:dyDescent="0.25">
      <c r="A554" s="300">
        <v>547</v>
      </c>
      <c r="B554" s="300">
        <v>8600139516</v>
      </c>
      <c r="C554" s="300" t="s">
        <v>1438</v>
      </c>
      <c r="D554" s="300" t="s">
        <v>758</v>
      </c>
      <c r="E554" s="300" t="s">
        <v>759</v>
      </c>
      <c r="F554" s="300" t="s">
        <v>766</v>
      </c>
      <c r="G554" s="302">
        <v>173267708.36199999</v>
      </c>
      <c r="H554" s="302">
        <v>0</v>
      </c>
      <c r="I554" s="302">
        <v>74456593.012999997</v>
      </c>
      <c r="J554" s="302">
        <v>31727749.375999998</v>
      </c>
      <c r="K554" s="302">
        <v>42728843.637000002</v>
      </c>
      <c r="L554" s="302">
        <v>154762664.06200001</v>
      </c>
      <c r="M554" s="302">
        <v>0</v>
      </c>
      <c r="N554" s="302">
        <v>61888092.310000002</v>
      </c>
      <c r="O554" s="302">
        <v>32900579.313999999</v>
      </c>
      <c r="P554" s="302">
        <v>28987512.995999999</v>
      </c>
      <c r="Q554" s="303"/>
    </row>
    <row r="555" spans="1:17" s="304" customFormat="1" x14ac:dyDescent="0.25">
      <c r="A555" s="300">
        <v>548</v>
      </c>
      <c r="B555" s="300">
        <v>800041829</v>
      </c>
      <c r="C555" s="300" t="s">
        <v>1439</v>
      </c>
      <c r="D555" s="300" t="s">
        <v>763</v>
      </c>
      <c r="E555" s="300" t="s">
        <v>880</v>
      </c>
      <c r="F555" s="301" t="s">
        <v>764</v>
      </c>
      <c r="G555" s="302">
        <v>172989090</v>
      </c>
      <c r="H555" s="302">
        <v>2355303</v>
      </c>
      <c r="I555" s="302">
        <v>63776255</v>
      </c>
      <c r="J555" s="302">
        <v>37194600</v>
      </c>
      <c r="K555" s="302">
        <v>26581655</v>
      </c>
      <c r="L555" s="302">
        <v>205012389</v>
      </c>
      <c r="M555" s="302">
        <v>2768288</v>
      </c>
      <c r="N555" s="302">
        <v>84825122</v>
      </c>
      <c r="O555" s="302">
        <v>59775670</v>
      </c>
      <c r="P555" s="302">
        <v>25049452</v>
      </c>
      <c r="Q555" s="303"/>
    </row>
    <row r="556" spans="1:17" s="304" customFormat="1" x14ac:dyDescent="0.25">
      <c r="A556" s="300">
        <v>549</v>
      </c>
      <c r="B556" s="300">
        <v>890907163</v>
      </c>
      <c r="C556" s="300" t="s">
        <v>1440</v>
      </c>
      <c r="D556" s="300" t="s">
        <v>763</v>
      </c>
      <c r="E556" s="300" t="s">
        <v>860</v>
      </c>
      <c r="F556" s="301" t="s">
        <v>779</v>
      </c>
      <c r="G556" s="302">
        <v>172942269</v>
      </c>
      <c r="H556" s="302">
        <v>21986</v>
      </c>
      <c r="I556" s="302">
        <v>75577135</v>
      </c>
      <c r="J556" s="302">
        <v>48756645</v>
      </c>
      <c r="K556" s="302">
        <v>26820490</v>
      </c>
      <c r="L556" s="302">
        <v>160031203</v>
      </c>
      <c r="M556" s="302">
        <v>103765</v>
      </c>
      <c r="N556" s="302">
        <v>76547165</v>
      </c>
      <c r="O556" s="302">
        <v>49748663</v>
      </c>
      <c r="P556" s="302">
        <v>26798502</v>
      </c>
      <c r="Q556" s="303"/>
    </row>
    <row r="557" spans="1:17" s="304" customFormat="1" x14ac:dyDescent="0.25">
      <c r="A557" s="300">
        <v>550</v>
      </c>
      <c r="B557" s="300">
        <v>860005396</v>
      </c>
      <c r="C557" s="300" t="s">
        <v>1441</v>
      </c>
      <c r="D557" s="300" t="s">
        <v>758</v>
      </c>
      <c r="E557" s="300" t="s">
        <v>1176</v>
      </c>
      <c r="F557" s="301" t="s">
        <v>764</v>
      </c>
      <c r="G557" s="302">
        <v>171961698</v>
      </c>
      <c r="H557" s="302">
        <v>4801646</v>
      </c>
      <c r="I557" s="302">
        <v>94260913</v>
      </c>
      <c r="J557" s="302">
        <v>47651497</v>
      </c>
      <c r="K557" s="302">
        <v>46609416</v>
      </c>
      <c r="L557" s="302">
        <v>170372993</v>
      </c>
      <c r="M557" s="302">
        <v>4855783</v>
      </c>
      <c r="N557" s="302">
        <v>97649089</v>
      </c>
      <c r="O557" s="302">
        <v>54873455</v>
      </c>
      <c r="P557" s="302">
        <v>42775634</v>
      </c>
      <c r="Q557" s="303"/>
    </row>
    <row r="558" spans="1:17" s="304" customFormat="1" x14ac:dyDescent="0.25">
      <c r="A558" s="300">
        <v>551</v>
      </c>
      <c r="B558" s="300">
        <v>899999143</v>
      </c>
      <c r="C558" s="300" t="s">
        <v>1442</v>
      </c>
      <c r="D558" s="300" t="s">
        <v>758</v>
      </c>
      <c r="E558" s="300" t="s">
        <v>759</v>
      </c>
      <c r="F558" s="301" t="s">
        <v>766</v>
      </c>
      <c r="G558" s="302">
        <v>171571535</v>
      </c>
      <c r="H558" s="302">
        <v>-10537999</v>
      </c>
      <c r="I558" s="302">
        <v>126427256</v>
      </c>
      <c r="J558" s="302">
        <v>124182529</v>
      </c>
      <c r="K558" s="302">
        <v>2244727</v>
      </c>
      <c r="L558" s="302">
        <v>162209495</v>
      </c>
      <c r="M558" s="302">
        <v>-1946629</v>
      </c>
      <c r="N558" s="302">
        <v>129060992</v>
      </c>
      <c r="O558" s="302">
        <v>116331571</v>
      </c>
      <c r="P558" s="302">
        <v>12729421</v>
      </c>
      <c r="Q558" s="303"/>
    </row>
    <row r="559" spans="1:17" s="304" customFormat="1" x14ac:dyDescent="0.25">
      <c r="A559" s="312">
        <v>552</v>
      </c>
      <c r="B559" s="312">
        <v>830129289</v>
      </c>
      <c r="C559" s="312" t="s">
        <v>1443</v>
      </c>
      <c r="D559" s="312" t="s">
        <v>758</v>
      </c>
      <c r="E559" s="312" t="s">
        <v>876</v>
      </c>
      <c r="F559" s="313" t="s">
        <v>877</v>
      </c>
      <c r="G559" s="314">
        <v>171235727</v>
      </c>
      <c r="H559" s="314">
        <v>12036037</v>
      </c>
      <c r="I559" s="314">
        <v>208850501</v>
      </c>
      <c r="J559" s="314">
        <v>145040948</v>
      </c>
      <c r="K559" s="314">
        <v>63809553</v>
      </c>
      <c r="L559" s="314">
        <v>129130149</v>
      </c>
      <c r="M559" s="314">
        <v>6382704</v>
      </c>
      <c r="N559" s="314">
        <v>159667047</v>
      </c>
      <c r="O559" s="314">
        <v>110370402</v>
      </c>
      <c r="P559" s="314">
        <v>49296645</v>
      </c>
      <c r="Q559" s="303"/>
    </row>
    <row r="560" spans="1:17" s="304" customFormat="1" x14ac:dyDescent="0.25">
      <c r="A560" s="300">
        <v>553</v>
      </c>
      <c r="B560" s="300">
        <v>890301163</v>
      </c>
      <c r="C560" s="300" t="s">
        <v>1444</v>
      </c>
      <c r="D560" s="300" t="s">
        <v>808</v>
      </c>
      <c r="E560" s="300" t="s">
        <v>776</v>
      </c>
      <c r="F560" s="301" t="s">
        <v>764</v>
      </c>
      <c r="G560" s="302">
        <v>170437899</v>
      </c>
      <c r="H560" s="302">
        <v>1102912</v>
      </c>
      <c r="I560" s="302">
        <v>43742335</v>
      </c>
      <c r="J560" s="302">
        <v>29075804</v>
      </c>
      <c r="K560" s="302">
        <v>14666531</v>
      </c>
      <c r="L560" s="302">
        <v>157262297</v>
      </c>
      <c r="M560" s="302">
        <v>2707815</v>
      </c>
      <c r="N560" s="302">
        <v>33170255</v>
      </c>
      <c r="O560" s="302">
        <v>19665831</v>
      </c>
      <c r="P560" s="302">
        <v>13504424</v>
      </c>
      <c r="Q560" s="303"/>
    </row>
    <row r="561" spans="1:17" s="304" customFormat="1" x14ac:dyDescent="0.25">
      <c r="A561" s="300">
        <v>554</v>
      </c>
      <c r="B561" s="300">
        <v>860502509</v>
      </c>
      <c r="C561" s="300" t="s">
        <v>1445</v>
      </c>
      <c r="D561" s="300" t="s">
        <v>758</v>
      </c>
      <c r="E561" s="300" t="s">
        <v>1078</v>
      </c>
      <c r="F561" s="301" t="s">
        <v>779</v>
      </c>
      <c r="G561" s="302">
        <v>170345954</v>
      </c>
      <c r="H561" s="302">
        <v>1326909</v>
      </c>
      <c r="I561" s="302">
        <v>232235092</v>
      </c>
      <c r="J561" s="302">
        <v>84083122</v>
      </c>
      <c r="K561" s="302">
        <v>148151970</v>
      </c>
      <c r="L561" s="302">
        <v>153202355</v>
      </c>
      <c r="M561" s="302">
        <v>4470099</v>
      </c>
      <c r="N561" s="302">
        <v>219798093</v>
      </c>
      <c r="O561" s="302">
        <v>80866392</v>
      </c>
      <c r="P561" s="302">
        <v>138931701</v>
      </c>
      <c r="Q561" s="303"/>
    </row>
    <row r="562" spans="1:17" s="304" customFormat="1" x14ac:dyDescent="0.25">
      <c r="A562" s="300">
        <v>555</v>
      </c>
      <c r="B562" s="300">
        <v>800013834</v>
      </c>
      <c r="C562" s="300" t="s">
        <v>1446</v>
      </c>
      <c r="D562" s="300" t="s">
        <v>758</v>
      </c>
      <c r="E562" s="300" t="s">
        <v>995</v>
      </c>
      <c r="F562" s="301" t="s">
        <v>779</v>
      </c>
      <c r="G562" s="302">
        <v>169920295</v>
      </c>
      <c r="H562" s="302">
        <v>1706510</v>
      </c>
      <c r="I562" s="302">
        <v>229128225</v>
      </c>
      <c r="J562" s="302">
        <v>163862837</v>
      </c>
      <c r="K562" s="302">
        <v>65265388</v>
      </c>
      <c r="L562" s="302">
        <v>140651719</v>
      </c>
      <c r="M562" s="302">
        <v>6866052</v>
      </c>
      <c r="N562" s="302">
        <v>160968039</v>
      </c>
      <c r="O562" s="302">
        <v>95522371</v>
      </c>
      <c r="P562" s="302">
        <v>65445668</v>
      </c>
      <c r="Q562" s="303"/>
    </row>
    <row r="563" spans="1:17" s="304" customFormat="1" x14ac:dyDescent="0.25">
      <c r="A563" s="300">
        <v>556</v>
      </c>
      <c r="B563" s="300">
        <v>860035996</v>
      </c>
      <c r="C563" s="300" t="s">
        <v>1447</v>
      </c>
      <c r="D563" s="300" t="s">
        <v>758</v>
      </c>
      <c r="E563" s="300" t="s">
        <v>1417</v>
      </c>
      <c r="F563" s="301" t="s">
        <v>766</v>
      </c>
      <c r="G563" s="302">
        <v>169884323</v>
      </c>
      <c r="H563" s="302">
        <v>9168895</v>
      </c>
      <c r="I563" s="302">
        <v>80475446</v>
      </c>
      <c r="J563" s="302">
        <v>47043289</v>
      </c>
      <c r="K563" s="302">
        <v>33432157</v>
      </c>
      <c r="L563" s="302">
        <v>171927587</v>
      </c>
      <c r="M563" s="302">
        <v>14153054</v>
      </c>
      <c r="N563" s="302">
        <v>68500330</v>
      </c>
      <c r="O563" s="302">
        <v>43378465</v>
      </c>
      <c r="P563" s="302">
        <v>25121865</v>
      </c>
      <c r="Q563" s="303"/>
    </row>
    <row r="564" spans="1:17" s="304" customFormat="1" x14ac:dyDescent="0.25">
      <c r="A564" s="300">
        <v>557</v>
      </c>
      <c r="B564" s="300">
        <v>830007716</v>
      </c>
      <c r="C564" s="300" t="s">
        <v>1448</v>
      </c>
      <c r="D564" s="300" t="s">
        <v>758</v>
      </c>
      <c r="E564" s="300" t="s">
        <v>1032</v>
      </c>
      <c r="F564" s="301" t="s">
        <v>764</v>
      </c>
      <c r="G564" s="302">
        <v>169765130</v>
      </c>
      <c r="H564" s="302">
        <v>2325675</v>
      </c>
      <c r="I564" s="302">
        <v>53614176</v>
      </c>
      <c r="J564" s="302">
        <v>51187880</v>
      </c>
      <c r="K564" s="302">
        <v>2426296</v>
      </c>
      <c r="L564" s="302">
        <v>145113730</v>
      </c>
      <c r="M564" s="302">
        <v>-2103048</v>
      </c>
      <c r="N564" s="302">
        <v>37758946</v>
      </c>
      <c r="O564" s="302">
        <v>39652928</v>
      </c>
      <c r="P564" s="302">
        <v>-1893982</v>
      </c>
      <c r="Q564" s="303"/>
    </row>
    <row r="565" spans="1:17" s="304" customFormat="1" x14ac:dyDescent="0.25">
      <c r="A565" s="300">
        <v>558</v>
      </c>
      <c r="B565" s="300">
        <v>890101176</v>
      </c>
      <c r="C565" s="300" t="s">
        <v>1449</v>
      </c>
      <c r="D565" s="300" t="s">
        <v>768</v>
      </c>
      <c r="E565" s="300" t="s">
        <v>776</v>
      </c>
      <c r="F565" s="301" t="s">
        <v>764</v>
      </c>
      <c r="G565" s="302">
        <v>169414610</v>
      </c>
      <c r="H565" s="302">
        <v>1742941</v>
      </c>
      <c r="I565" s="302">
        <v>82546855</v>
      </c>
      <c r="J565" s="302">
        <v>61730005</v>
      </c>
      <c r="K565" s="302">
        <v>20816850</v>
      </c>
      <c r="L565" s="302">
        <v>188599429</v>
      </c>
      <c r="M565" s="302">
        <v>2790618</v>
      </c>
      <c r="N565" s="302">
        <v>85515356</v>
      </c>
      <c r="O565" s="302">
        <v>65017406</v>
      </c>
      <c r="P565" s="302">
        <v>20497950</v>
      </c>
      <c r="Q565" s="303"/>
    </row>
    <row r="566" spans="1:17" s="304" customFormat="1" x14ac:dyDescent="0.25">
      <c r="A566" s="300">
        <v>559</v>
      </c>
      <c r="B566" s="300">
        <v>815002042</v>
      </c>
      <c r="C566" s="300" t="s">
        <v>1450</v>
      </c>
      <c r="D566" s="300" t="s">
        <v>808</v>
      </c>
      <c r="E566" s="300" t="s">
        <v>1451</v>
      </c>
      <c r="F566" s="301" t="s">
        <v>779</v>
      </c>
      <c r="G566" s="302">
        <v>169338313</v>
      </c>
      <c r="H566" s="302">
        <v>30415881</v>
      </c>
      <c r="I566" s="302">
        <v>207330603</v>
      </c>
      <c r="J566" s="302">
        <v>49487191</v>
      </c>
      <c r="K566" s="302">
        <v>157843412</v>
      </c>
      <c r="L566" s="302">
        <v>161709341</v>
      </c>
      <c r="M566" s="302">
        <v>14897929</v>
      </c>
      <c r="N566" s="302">
        <v>171954102</v>
      </c>
      <c r="O566" s="302">
        <v>42662495</v>
      </c>
      <c r="P566" s="302">
        <v>129291607</v>
      </c>
      <c r="Q566" s="303"/>
    </row>
    <row r="567" spans="1:17" s="304" customFormat="1" x14ac:dyDescent="0.25">
      <c r="A567" s="300">
        <v>560</v>
      </c>
      <c r="B567" s="300">
        <v>800057310</v>
      </c>
      <c r="C567" s="300" t="s">
        <v>1452</v>
      </c>
      <c r="D567" s="300" t="s">
        <v>758</v>
      </c>
      <c r="E567" s="300" t="s">
        <v>1453</v>
      </c>
      <c r="F567" s="301" t="s">
        <v>764</v>
      </c>
      <c r="G567" s="302">
        <v>169234263</v>
      </c>
      <c r="H567" s="302">
        <v>3788481</v>
      </c>
      <c r="I567" s="302">
        <v>179873435</v>
      </c>
      <c r="J567" s="302">
        <v>112828557</v>
      </c>
      <c r="K567" s="302">
        <v>67044878</v>
      </c>
      <c r="L567" s="302">
        <v>93225125</v>
      </c>
      <c r="M567" s="302">
        <v>4155633</v>
      </c>
      <c r="N567" s="302">
        <v>127010130</v>
      </c>
      <c r="O567" s="302">
        <v>63753733</v>
      </c>
      <c r="P567" s="302">
        <v>63256397</v>
      </c>
      <c r="Q567" s="303"/>
    </row>
    <row r="568" spans="1:17" s="304" customFormat="1" x14ac:dyDescent="0.25">
      <c r="A568" s="300">
        <v>561</v>
      </c>
      <c r="B568" s="300">
        <v>860038023</v>
      </c>
      <c r="C568" s="300" t="s">
        <v>1454</v>
      </c>
      <c r="D568" s="300" t="s">
        <v>758</v>
      </c>
      <c r="E568" s="300" t="s">
        <v>846</v>
      </c>
      <c r="F568" s="301" t="s">
        <v>760</v>
      </c>
      <c r="G568" s="302">
        <v>169043515</v>
      </c>
      <c r="H568" s="302">
        <v>17318566</v>
      </c>
      <c r="I568" s="302">
        <v>194535144</v>
      </c>
      <c r="J568" s="302">
        <v>33806565</v>
      </c>
      <c r="K568" s="302">
        <v>160728579</v>
      </c>
      <c r="L568" s="302">
        <v>159466037</v>
      </c>
      <c r="M568" s="302">
        <v>71120</v>
      </c>
      <c r="N568" s="302">
        <v>212530305</v>
      </c>
      <c r="O568" s="302">
        <v>37717866</v>
      </c>
      <c r="P568" s="302">
        <v>174812439</v>
      </c>
      <c r="Q568" s="303"/>
    </row>
    <row r="569" spans="1:17" s="304" customFormat="1" x14ac:dyDescent="0.25">
      <c r="A569" s="300">
        <v>562</v>
      </c>
      <c r="B569" s="300">
        <v>890941663</v>
      </c>
      <c r="C569" s="300" t="s">
        <v>1455</v>
      </c>
      <c r="D569" s="300" t="s">
        <v>763</v>
      </c>
      <c r="E569" s="300" t="s">
        <v>1032</v>
      </c>
      <c r="F569" s="301" t="s">
        <v>764</v>
      </c>
      <c r="G569" s="302">
        <v>168824171</v>
      </c>
      <c r="H569" s="302">
        <v>5185385</v>
      </c>
      <c r="I569" s="302">
        <v>71720680</v>
      </c>
      <c r="J569" s="302">
        <v>21633928</v>
      </c>
      <c r="K569" s="302">
        <v>50086752</v>
      </c>
      <c r="L569" s="302">
        <v>160386658</v>
      </c>
      <c r="M569" s="302">
        <v>2824280</v>
      </c>
      <c r="N569" s="302">
        <v>70151564</v>
      </c>
      <c r="O569" s="302">
        <v>24686441</v>
      </c>
      <c r="P569" s="302">
        <v>45465123</v>
      </c>
      <c r="Q569" s="303"/>
    </row>
    <row r="570" spans="1:17" s="304" customFormat="1" x14ac:dyDescent="0.25">
      <c r="A570" s="300">
        <v>563</v>
      </c>
      <c r="B570" s="300">
        <v>900037148</v>
      </c>
      <c r="C570" s="300" t="s">
        <v>1456</v>
      </c>
      <c r="D570" s="300" t="s">
        <v>758</v>
      </c>
      <c r="E570" s="300" t="s">
        <v>1457</v>
      </c>
      <c r="F570" s="301" t="s">
        <v>766</v>
      </c>
      <c r="G570" s="302">
        <v>167990642</v>
      </c>
      <c r="H570" s="302">
        <v>6103946</v>
      </c>
      <c r="I570" s="302">
        <v>79148840</v>
      </c>
      <c r="J570" s="302">
        <v>64419450</v>
      </c>
      <c r="K570" s="302">
        <v>14729390</v>
      </c>
      <c r="L570" s="302">
        <v>186719197</v>
      </c>
      <c r="M570" s="302">
        <v>3019578</v>
      </c>
      <c r="N570" s="302">
        <v>76072442</v>
      </c>
      <c r="O570" s="302">
        <v>64389950</v>
      </c>
      <c r="P570" s="302">
        <v>11682492</v>
      </c>
      <c r="Q570" s="303"/>
    </row>
    <row r="571" spans="1:17" s="304" customFormat="1" x14ac:dyDescent="0.25">
      <c r="A571" s="300">
        <v>564</v>
      </c>
      <c r="B571" s="300">
        <v>817002753</v>
      </c>
      <c r="C571" s="300" t="s">
        <v>1945</v>
      </c>
      <c r="D571" s="300" t="s">
        <v>808</v>
      </c>
      <c r="E571" s="300" t="s">
        <v>919</v>
      </c>
      <c r="F571" s="300" t="s">
        <v>779</v>
      </c>
      <c r="G571" s="302">
        <v>167698576</v>
      </c>
      <c r="H571" s="302">
        <v>-21672527</v>
      </c>
      <c r="I571" s="302">
        <v>127403038</v>
      </c>
      <c r="J571" s="302">
        <v>118085934</v>
      </c>
      <c r="K571" s="302">
        <v>9317104</v>
      </c>
      <c r="L571" s="302">
        <v>194378900</v>
      </c>
      <c r="M571" s="302">
        <v>-76995507</v>
      </c>
      <c r="N571" s="302">
        <v>120387392</v>
      </c>
      <c r="O571" s="302">
        <v>182845014</v>
      </c>
      <c r="P571" s="302">
        <v>-62457622</v>
      </c>
      <c r="Q571" s="303"/>
    </row>
    <row r="572" spans="1:17" s="304" customFormat="1" x14ac:dyDescent="0.25">
      <c r="A572" s="300">
        <v>565</v>
      </c>
      <c r="B572" s="305">
        <v>832000760</v>
      </c>
      <c r="C572" s="306" t="s">
        <v>1458</v>
      </c>
      <c r="D572" s="300" t="s">
        <v>758</v>
      </c>
      <c r="E572" s="300" t="s">
        <v>759</v>
      </c>
      <c r="F572" s="300" t="s">
        <v>766</v>
      </c>
      <c r="G572" s="302">
        <v>167688011</v>
      </c>
      <c r="H572" s="302">
        <v>549050</v>
      </c>
      <c r="I572" s="302">
        <v>73994234</v>
      </c>
      <c r="J572" s="302">
        <v>79417815</v>
      </c>
      <c r="K572" s="302">
        <v>-5423581</v>
      </c>
      <c r="L572" s="302">
        <v>196629534</v>
      </c>
      <c r="M572" s="302">
        <v>-890765</v>
      </c>
      <c r="N572" s="302">
        <v>77712610</v>
      </c>
      <c r="O572" s="302">
        <v>83347935</v>
      </c>
      <c r="P572" s="302">
        <v>-5635325</v>
      </c>
      <c r="Q572" s="303"/>
    </row>
    <row r="573" spans="1:17" s="304" customFormat="1" x14ac:dyDescent="0.25">
      <c r="A573" s="300">
        <v>566</v>
      </c>
      <c r="B573" s="300">
        <v>800114766</v>
      </c>
      <c r="C573" s="300" t="s">
        <v>1459</v>
      </c>
      <c r="D573" s="300" t="s">
        <v>891</v>
      </c>
      <c r="E573" s="300" t="s">
        <v>853</v>
      </c>
      <c r="F573" s="301" t="s">
        <v>779</v>
      </c>
      <c r="G573" s="302">
        <v>167639076</v>
      </c>
      <c r="H573" s="302">
        <v>5284237</v>
      </c>
      <c r="I573" s="302">
        <v>71607069</v>
      </c>
      <c r="J573" s="302">
        <v>32520541</v>
      </c>
      <c r="K573" s="302">
        <v>39086528</v>
      </c>
      <c r="L573" s="302">
        <v>173423965</v>
      </c>
      <c r="M573" s="302">
        <v>9244404</v>
      </c>
      <c r="N573" s="302">
        <v>67822182</v>
      </c>
      <c r="O573" s="302">
        <v>27412069</v>
      </c>
      <c r="P573" s="302">
        <v>40410113</v>
      </c>
      <c r="Q573" s="303"/>
    </row>
    <row r="574" spans="1:17" s="304" customFormat="1" x14ac:dyDescent="0.25">
      <c r="A574" s="300">
        <v>567</v>
      </c>
      <c r="B574" s="300">
        <v>891300513</v>
      </c>
      <c r="C574" s="300" t="s">
        <v>1460</v>
      </c>
      <c r="D574" s="300" t="s">
        <v>808</v>
      </c>
      <c r="E574" s="300" t="s">
        <v>951</v>
      </c>
      <c r="F574" s="301" t="s">
        <v>779</v>
      </c>
      <c r="G574" s="302">
        <v>166778137</v>
      </c>
      <c r="H574" s="302">
        <v>-18724381</v>
      </c>
      <c r="I574" s="302">
        <v>373423555</v>
      </c>
      <c r="J574" s="302">
        <v>120943157</v>
      </c>
      <c r="K574" s="302">
        <v>252480398</v>
      </c>
      <c r="L574" s="302">
        <v>196980877</v>
      </c>
      <c r="M574" s="302">
        <v>2464412</v>
      </c>
      <c r="N574" s="302">
        <v>307960900</v>
      </c>
      <c r="O574" s="302">
        <v>91924406</v>
      </c>
      <c r="P574" s="302">
        <v>216036494</v>
      </c>
      <c r="Q574" s="303"/>
    </row>
    <row r="575" spans="1:17" s="304" customFormat="1" x14ac:dyDescent="0.25">
      <c r="A575" s="300">
        <v>568</v>
      </c>
      <c r="B575" s="300">
        <v>890900081</v>
      </c>
      <c r="C575" s="300" t="s">
        <v>1946</v>
      </c>
      <c r="D575" s="300" t="s">
        <v>763</v>
      </c>
      <c r="E575" s="300" t="s">
        <v>880</v>
      </c>
      <c r="F575" s="300" t="s">
        <v>764</v>
      </c>
      <c r="G575" s="302">
        <v>166505934</v>
      </c>
      <c r="H575" s="302">
        <v>1562635</v>
      </c>
      <c r="I575" s="302">
        <v>82549099</v>
      </c>
      <c r="J575" s="302">
        <v>37778034</v>
      </c>
      <c r="K575" s="302">
        <v>44771065</v>
      </c>
      <c r="L575" s="302">
        <v>181001257</v>
      </c>
      <c r="M575" s="302">
        <v>1051695</v>
      </c>
      <c r="N575" s="302">
        <v>88127818</v>
      </c>
      <c r="O575" s="302">
        <v>45255170</v>
      </c>
      <c r="P575" s="302">
        <v>42872648</v>
      </c>
      <c r="Q575" s="303"/>
    </row>
    <row r="576" spans="1:17" s="304" customFormat="1" x14ac:dyDescent="0.25">
      <c r="A576" s="300">
        <v>569</v>
      </c>
      <c r="B576" s="300">
        <v>830021417</v>
      </c>
      <c r="C576" s="300" t="s">
        <v>1461</v>
      </c>
      <c r="D576" s="300" t="s">
        <v>768</v>
      </c>
      <c r="E576" s="300" t="s">
        <v>788</v>
      </c>
      <c r="F576" s="301" t="s">
        <v>760</v>
      </c>
      <c r="G576" s="302">
        <v>166369223</v>
      </c>
      <c r="H576" s="302">
        <v>8197834</v>
      </c>
      <c r="I576" s="302">
        <v>198574804</v>
      </c>
      <c r="J576" s="302">
        <v>158699049</v>
      </c>
      <c r="K576" s="302">
        <v>39875755</v>
      </c>
      <c r="L576" s="302">
        <v>156645999</v>
      </c>
      <c r="M576" s="302">
        <v>-28653400</v>
      </c>
      <c r="N576" s="302">
        <v>188511757</v>
      </c>
      <c r="O576" s="302">
        <v>155611111</v>
      </c>
      <c r="P576" s="302">
        <v>32900646</v>
      </c>
      <c r="Q576" s="303"/>
    </row>
    <row r="577" spans="1:17" s="304" customFormat="1" x14ac:dyDescent="0.25">
      <c r="A577" s="300">
        <v>570</v>
      </c>
      <c r="B577" s="300">
        <v>830038607</v>
      </c>
      <c r="C577" s="300" t="s">
        <v>1462</v>
      </c>
      <c r="D577" s="300" t="s">
        <v>758</v>
      </c>
      <c r="E577" s="300" t="s">
        <v>1059</v>
      </c>
      <c r="F577" s="301" t="s">
        <v>764</v>
      </c>
      <c r="G577" s="302">
        <v>166191664</v>
      </c>
      <c r="H577" s="302">
        <v>-208604</v>
      </c>
      <c r="I577" s="302">
        <v>22697461</v>
      </c>
      <c r="J577" s="302">
        <v>4040662</v>
      </c>
      <c r="K577" s="302">
        <v>18656799</v>
      </c>
      <c r="L577" s="302">
        <v>322505452</v>
      </c>
      <c r="M577" s="302">
        <v>1053176</v>
      </c>
      <c r="N577" s="302">
        <v>102736609</v>
      </c>
      <c r="O577" s="302">
        <v>83871205</v>
      </c>
      <c r="P577" s="302">
        <v>18865404</v>
      </c>
      <c r="Q577" s="303"/>
    </row>
    <row r="578" spans="1:17" s="304" customFormat="1" x14ac:dyDescent="0.25">
      <c r="A578" s="300">
        <v>571</v>
      </c>
      <c r="B578" s="300">
        <v>860005669</v>
      </c>
      <c r="C578" s="300" t="s">
        <v>1463</v>
      </c>
      <c r="D578" s="300" t="s">
        <v>758</v>
      </c>
      <c r="E578" s="300" t="s">
        <v>953</v>
      </c>
      <c r="F578" s="301" t="s">
        <v>779</v>
      </c>
      <c r="G578" s="302">
        <v>165979171</v>
      </c>
      <c r="H578" s="302">
        <v>32562653</v>
      </c>
      <c r="I578" s="302">
        <v>195011107</v>
      </c>
      <c r="J578" s="302">
        <v>64771429</v>
      </c>
      <c r="K578" s="302">
        <v>130239678</v>
      </c>
      <c r="L578" s="302">
        <v>171702665</v>
      </c>
      <c r="M578" s="302">
        <v>30096397</v>
      </c>
      <c r="N578" s="302">
        <v>167953011</v>
      </c>
      <c r="O578" s="302">
        <v>43762885</v>
      </c>
      <c r="P578" s="302">
        <v>124190126</v>
      </c>
      <c r="Q578" s="303"/>
    </row>
    <row r="579" spans="1:17" s="304" customFormat="1" x14ac:dyDescent="0.25">
      <c r="A579" s="300">
        <v>572</v>
      </c>
      <c r="B579" s="300">
        <v>890922670</v>
      </c>
      <c r="C579" s="300" t="s">
        <v>1464</v>
      </c>
      <c r="D579" s="300" t="s">
        <v>763</v>
      </c>
      <c r="E579" s="300" t="s">
        <v>957</v>
      </c>
      <c r="F579" s="301" t="s">
        <v>958</v>
      </c>
      <c r="G579" s="302">
        <v>164982805</v>
      </c>
      <c r="H579" s="302">
        <v>-5011119</v>
      </c>
      <c r="I579" s="302">
        <v>193797927</v>
      </c>
      <c r="J579" s="302">
        <v>82894363</v>
      </c>
      <c r="K579" s="302">
        <v>110903564</v>
      </c>
      <c r="L579" s="302">
        <v>161322562</v>
      </c>
      <c r="M579" s="302">
        <v>-4161436</v>
      </c>
      <c r="N579" s="302">
        <v>180919652</v>
      </c>
      <c r="O579" s="302">
        <v>66128018</v>
      </c>
      <c r="P579" s="302">
        <v>114791634</v>
      </c>
      <c r="Q579" s="303"/>
    </row>
    <row r="580" spans="1:17" s="304" customFormat="1" x14ac:dyDescent="0.25">
      <c r="A580" s="300">
        <v>573</v>
      </c>
      <c r="B580" s="300">
        <v>800152208</v>
      </c>
      <c r="C580" s="300" t="s">
        <v>1465</v>
      </c>
      <c r="D580" s="300" t="s">
        <v>758</v>
      </c>
      <c r="E580" s="300" t="s">
        <v>1466</v>
      </c>
      <c r="F580" s="311" t="s">
        <v>877</v>
      </c>
      <c r="G580" s="302">
        <v>164832647</v>
      </c>
      <c r="H580" s="302">
        <v>5368560</v>
      </c>
      <c r="I580" s="302">
        <v>81067508</v>
      </c>
      <c r="J580" s="302">
        <v>45867458</v>
      </c>
      <c r="K580" s="302">
        <v>35200050</v>
      </c>
      <c r="L580" s="302">
        <v>134001512</v>
      </c>
      <c r="M580" s="302">
        <v>4185546</v>
      </c>
      <c r="N580" s="302">
        <v>69024318</v>
      </c>
      <c r="O580" s="302">
        <v>39985797</v>
      </c>
      <c r="P580" s="302">
        <v>29038521</v>
      </c>
      <c r="Q580" s="303"/>
    </row>
    <row r="581" spans="1:17" s="304" customFormat="1" x14ac:dyDescent="0.25">
      <c r="A581" s="300">
        <v>574</v>
      </c>
      <c r="B581" s="300">
        <v>8600203698</v>
      </c>
      <c r="C581" s="300" t="s">
        <v>1467</v>
      </c>
      <c r="D581" s="300" t="s">
        <v>768</v>
      </c>
      <c r="E581" s="300" t="s">
        <v>759</v>
      </c>
      <c r="F581" s="300" t="s">
        <v>766</v>
      </c>
      <c r="G581" s="302">
        <v>164733269</v>
      </c>
      <c r="H581" s="302">
        <v>0</v>
      </c>
      <c r="I581" s="302">
        <v>52351779</v>
      </c>
      <c r="J581" s="302">
        <v>25655775</v>
      </c>
      <c r="K581" s="302">
        <v>26696004</v>
      </c>
      <c r="L581" s="302">
        <v>116869067</v>
      </c>
      <c r="M581" s="302">
        <v>0</v>
      </c>
      <c r="N581" s="302">
        <v>39556129</v>
      </c>
      <c r="O581" s="302">
        <v>17569446</v>
      </c>
      <c r="P581" s="302">
        <v>21986683</v>
      </c>
      <c r="Q581" s="303"/>
    </row>
    <row r="582" spans="1:17" s="304" customFormat="1" x14ac:dyDescent="0.25">
      <c r="A582" s="300">
        <v>575</v>
      </c>
      <c r="B582" s="300">
        <v>830129327</v>
      </c>
      <c r="C582" s="300" t="s">
        <v>1468</v>
      </c>
      <c r="D582" s="300" t="s">
        <v>758</v>
      </c>
      <c r="E582" s="300" t="s">
        <v>1032</v>
      </c>
      <c r="F582" s="301" t="s">
        <v>764</v>
      </c>
      <c r="G582" s="302">
        <v>164633561</v>
      </c>
      <c r="H582" s="302">
        <v>-27799993</v>
      </c>
      <c r="I582" s="302">
        <v>86449243</v>
      </c>
      <c r="J582" s="302">
        <v>52809952</v>
      </c>
      <c r="K582" s="302">
        <v>33639291</v>
      </c>
      <c r="L582" s="302">
        <v>141261137</v>
      </c>
      <c r="M582" s="302">
        <v>-28939909</v>
      </c>
      <c r="N582" s="302">
        <v>78713859</v>
      </c>
      <c r="O582" s="302">
        <v>29634609</v>
      </c>
      <c r="P582" s="302">
        <v>49079250</v>
      </c>
      <c r="Q582" s="303"/>
    </row>
    <row r="583" spans="1:17" s="304" customFormat="1" x14ac:dyDescent="0.25">
      <c r="A583" s="300">
        <v>576</v>
      </c>
      <c r="B583" s="300">
        <v>860036892</v>
      </c>
      <c r="C583" s="300" t="s">
        <v>1469</v>
      </c>
      <c r="D583" s="300" t="s">
        <v>758</v>
      </c>
      <c r="E583" s="300" t="s">
        <v>848</v>
      </c>
      <c r="F583" s="301" t="s">
        <v>764</v>
      </c>
      <c r="G583" s="302">
        <v>164347999</v>
      </c>
      <c r="H583" s="302">
        <v>3052565</v>
      </c>
      <c r="I583" s="302">
        <v>113811913</v>
      </c>
      <c r="J583" s="302">
        <v>51842951</v>
      </c>
      <c r="K583" s="302">
        <v>61968962</v>
      </c>
      <c r="L583" s="302">
        <v>168085292</v>
      </c>
      <c r="M583" s="302">
        <v>5182308</v>
      </c>
      <c r="N583" s="302">
        <v>111997562</v>
      </c>
      <c r="O583" s="302">
        <v>47512200</v>
      </c>
      <c r="P583" s="302">
        <v>64485362</v>
      </c>
      <c r="Q583" s="303"/>
    </row>
    <row r="584" spans="1:17" s="304" customFormat="1" x14ac:dyDescent="0.25">
      <c r="A584" s="300">
        <v>577</v>
      </c>
      <c r="B584" s="300">
        <v>890924167</v>
      </c>
      <c r="C584" s="300" t="s">
        <v>1470</v>
      </c>
      <c r="D584" s="300" t="s">
        <v>763</v>
      </c>
      <c r="E584" s="300" t="s">
        <v>933</v>
      </c>
      <c r="F584" s="301" t="s">
        <v>779</v>
      </c>
      <c r="G584" s="302">
        <v>163743328</v>
      </c>
      <c r="H584" s="302">
        <v>594969</v>
      </c>
      <c r="I584" s="302">
        <v>90767300</v>
      </c>
      <c r="J584" s="302">
        <v>63709830</v>
      </c>
      <c r="K584" s="302">
        <v>27057470</v>
      </c>
      <c r="L584" s="302">
        <v>146567200</v>
      </c>
      <c r="M584" s="302">
        <v>468373</v>
      </c>
      <c r="N584" s="302">
        <v>82774412</v>
      </c>
      <c r="O584" s="302">
        <v>55011911</v>
      </c>
      <c r="P584" s="302">
        <v>27762501</v>
      </c>
      <c r="Q584" s="303"/>
    </row>
    <row r="585" spans="1:17" s="304" customFormat="1" x14ac:dyDescent="0.25">
      <c r="A585" s="300">
        <v>578</v>
      </c>
      <c r="B585" s="300">
        <v>860001963</v>
      </c>
      <c r="C585" s="300" t="s">
        <v>1471</v>
      </c>
      <c r="D585" s="300" t="s">
        <v>758</v>
      </c>
      <c r="E585" s="300" t="s">
        <v>1472</v>
      </c>
      <c r="F585" s="301" t="s">
        <v>779</v>
      </c>
      <c r="G585" s="302">
        <v>163640710</v>
      </c>
      <c r="H585" s="302">
        <v>1872945</v>
      </c>
      <c r="I585" s="302">
        <v>319683958</v>
      </c>
      <c r="J585" s="302">
        <v>103123252</v>
      </c>
      <c r="K585" s="302">
        <v>216560706</v>
      </c>
      <c r="L585" s="302">
        <v>166023314</v>
      </c>
      <c r="M585" s="302">
        <v>6735873</v>
      </c>
      <c r="N585" s="302">
        <v>332822696</v>
      </c>
      <c r="O585" s="302">
        <v>118694709</v>
      </c>
      <c r="P585" s="302">
        <v>214127987</v>
      </c>
      <c r="Q585" s="303"/>
    </row>
    <row r="586" spans="1:17" s="304" customFormat="1" x14ac:dyDescent="0.25">
      <c r="A586" s="300">
        <v>579</v>
      </c>
      <c r="B586" s="300">
        <v>860040094</v>
      </c>
      <c r="C586" s="300" t="s">
        <v>1473</v>
      </c>
      <c r="D586" s="300" t="s">
        <v>758</v>
      </c>
      <c r="E586" s="300" t="s">
        <v>1107</v>
      </c>
      <c r="F586" s="301" t="s">
        <v>764</v>
      </c>
      <c r="G586" s="302">
        <v>163454582</v>
      </c>
      <c r="H586" s="302">
        <v>16622514</v>
      </c>
      <c r="I586" s="302">
        <v>357819798</v>
      </c>
      <c r="J586" s="302">
        <v>92497995</v>
      </c>
      <c r="K586" s="302">
        <v>265321803</v>
      </c>
      <c r="L586" s="302">
        <v>160777479</v>
      </c>
      <c r="M586" s="302">
        <v>25578493</v>
      </c>
      <c r="N586" s="302">
        <v>318859380</v>
      </c>
      <c r="O586" s="302">
        <v>69039162</v>
      </c>
      <c r="P586" s="302">
        <v>249820218</v>
      </c>
      <c r="Q586" s="303"/>
    </row>
    <row r="587" spans="1:17" s="304" customFormat="1" x14ac:dyDescent="0.25">
      <c r="A587" s="300">
        <v>580</v>
      </c>
      <c r="B587" s="300">
        <v>8904018020</v>
      </c>
      <c r="C587" s="300" t="s">
        <v>1474</v>
      </c>
      <c r="D587" s="300" t="s">
        <v>768</v>
      </c>
      <c r="E587" s="300" t="s">
        <v>759</v>
      </c>
      <c r="F587" s="300" t="s">
        <v>766</v>
      </c>
      <c r="G587" s="302">
        <v>163452959.044</v>
      </c>
      <c r="H587" s="302">
        <v>0</v>
      </c>
      <c r="I587" s="302">
        <v>58583041.785999998</v>
      </c>
      <c r="J587" s="302">
        <v>26047121.425000001</v>
      </c>
      <c r="K587" s="302">
        <v>32535920.361000001</v>
      </c>
      <c r="L587" s="302">
        <v>131175722.991</v>
      </c>
      <c r="M587" s="302">
        <v>0</v>
      </c>
      <c r="N587" s="302">
        <v>51964633.806999996</v>
      </c>
      <c r="O587" s="302">
        <v>25987811.497000001</v>
      </c>
      <c r="P587" s="302">
        <v>25976822.309999999</v>
      </c>
      <c r="Q587" s="303"/>
    </row>
    <row r="588" spans="1:17" s="304" customFormat="1" x14ac:dyDescent="0.25">
      <c r="A588" s="300">
        <v>581</v>
      </c>
      <c r="B588" s="308">
        <v>891480000</v>
      </c>
      <c r="C588" s="300" t="s">
        <v>1475</v>
      </c>
      <c r="D588" s="300" t="s">
        <v>763</v>
      </c>
      <c r="E588" s="300" t="s">
        <v>759</v>
      </c>
      <c r="F588" s="301" t="s">
        <v>766</v>
      </c>
      <c r="G588" s="302">
        <v>163058504</v>
      </c>
      <c r="H588" s="302">
        <v>10253658</v>
      </c>
      <c r="I588" s="302">
        <v>232253308</v>
      </c>
      <c r="J588" s="302">
        <v>75854548</v>
      </c>
      <c r="K588" s="302">
        <v>156398759</v>
      </c>
      <c r="L588" s="302">
        <v>155854492</v>
      </c>
      <c r="M588" s="302">
        <v>10362468</v>
      </c>
      <c r="N588" s="302">
        <v>208790983</v>
      </c>
      <c r="O588" s="302">
        <v>69019468</v>
      </c>
      <c r="P588" s="302">
        <v>139771515</v>
      </c>
      <c r="Q588" s="303"/>
    </row>
    <row r="589" spans="1:17" s="304" customFormat="1" x14ac:dyDescent="0.25">
      <c r="A589" s="300">
        <v>582</v>
      </c>
      <c r="B589" s="300">
        <v>860007668</v>
      </c>
      <c r="C589" s="300" t="s">
        <v>1476</v>
      </c>
      <c r="D589" s="300" t="s">
        <v>758</v>
      </c>
      <c r="E589" s="300" t="s">
        <v>1477</v>
      </c>
      <c r="F589" s="301" t="s">
        <v>779</v>
      </c>
      <c r="G589" s="302">
        <v>163029996</v>
      </c>
      <c r="H589" s="302">
        <v>5092967</v>
      </c>
      <c r="I589" s="302">
        <v>160982756</v>
      </c>
      <c r="J589" s="302">
        <v>100506326</v>
      </c>
      <c r="K589" s="302">
        <v>60476430</v>
      </c>
      <c r="L589" s="302">
        <v>159968350</v>
      </c>
      <c r="M589" s="302">
        <v>3465287</v>
      </c>
      <c r="N589" s="302">
        <v>143965956</v>
      </c>
      <c r="O589" s="302">
        <v>87371936</v>
      </c>
      <c r="P589" s="302">
        <v>56594020</v>
      </c>
      <c r="Q589" s="303"/>
    </row>
    <row r="590" spans="1:17" s="304" customFormat="1" x14ac:dyDescent="0.25">
      <c r="A590" s="300">
        <v>583</v>
      </c>
      <c r="B590" s="300">
        <v>830039568</v>
      </c>
      <c r="C590" s="300" t="s">
        <v>1947</v>
      </c>
      <c r="D590" s="300" t="s">
        <v>758</v>
      </c>
      <c r="E590" s="300" t="s">
        <v>863</v>
      </c>
      <c r="F590" s="300" t="s">
        <v>764</v>
      </c>
      <c r="G590" s="302">
        <v>162807081</v>
      </c>
      <c r="H590" s="302">
        <v>-540465</v>
      </c>
      <c r="I590" s="302">
        <v>104030154</v>
      </c>
      <c r="J590" s="302">
        <v>48294250</v>
      </c>
      <c r="K590" s="302">
        <v>55735904</v>
      </c>
      <c r="L590" s="302">
        <v>169464865</v>
      </c>
      <c r="M590" s="302">
        <v>7173988</v>
      </c>
      <c r="N590" s="302">
        <v>112126391</v>
      </c>
      <c r="O590" s="302">
        <v>55715173</v>
      </c>
      <c r="P590" s="302">
        <v>56411218</v>
      </c>
      <c r="Q590" s="303"/>
    </row>
    <row r="591" spans="1:17" s="304" customFormat="1" x14ac:dyDescent="0.25">
      <c r="A591" s="300">
        <v>584</v>
      </c>
      <c r="B591" s="300">
        <v>860001777</v>
      </c>
      <c r="C591" s="300" t="s">
        <v>1948</v>
      </c>
      <c r="D591" s="300" t="s">
        <v>758</v>
      </c>
      <c r="E591" s="300" t="s">
        <v>1478</v>
      </c>
      <c r="F591" s="300" t="s">
        <v>764</v>
      </c>
      <c r="G591" s="302">
        <v>162424662</v>
      </c>
      <c r="H591" s="302">
        <v>972999</v>
      </c>
      <c r="I591" s="302">
        <v>107545045</v>
      </c>
      <c r="J591" s="302">
        <v>66141804</v>
      </c>
      <c r="K591" s="302">
        <v>41403241</v>
      </c>
      <c r="L591" s="302">
        <v>148778899</v>
      </c>
      <c r="M591" s="302">
        <v>-795848</v>
      </c>
      <c r="N591" s="302">
        <v>102530370</v>
      </c>
      <c r="O591" s="302">
        <v>68265417</v>
      </c>
      <c r="P591" s="302">
        <v>34264953</v>
      </c>
      <c r="Q591" s="303"/>
    </row>
    <row r="592" spans="1:17" s="304" customFormat="1" x14ac:dyDescent="0.25">
      <c r="A592" s="300">
        <v>585</v>
      </c>
      <c r="B592" s="300">
        <v>860514592</v>
      </c>
      <c r="C592" s="300" t="s">
        <v>1479</v>
      </c>
      <c r="D592" s="300" t="s">
        <v>758</v>
      </c>
      <c r="E592" s="300" t="s">
        <v>863</v>
      </c>
      <c r="F592" s="301" t="s">
        <v>764</v>
      </c>
      <c r="G592" s="302">
        <v>161838280</v>
      </c>
      <c r="H592" s="302">
        <v>1127419</v>
      </c>
      <c r="I592" s="302">
        <v>59655841</v>
      </c>
      <c r="J592" s="302">
        <v>53762250</v>
      </c>
      <c r="K592" s="302">
        <v>5893591</v>
      </c>
      <c r="L592" s="302">
        <v>131059162</v>
      </c>
      <c r="M592" s="302">
        <v>824027</v>
      </c>
      <c r="N592" s="302">
        <v>42526124</v>
      </c>
      <c r="O592" s="302">
        <v>37751874</v>
      </c>
      <c r="P592" s="302">
        <v>4774250</v>
      </c>
      <c r="Q592" s="303"/>
    </row>
    <row r="593" spans="1:17" s="304" customFormat="1" x14ac:dyDescent="0.25">
      <c r="A593" s="300">
        <v>586</v>
      </c>
      <c r="B593" s="300">
        <v>811040654</v>
      </c>
      <c r="C593" s="300" t="s">
        <v>1480</v>
      </c>
      <c r="D593" s="300" t="s">
        <v>763</v>
      </c>
      <c r="E593" s="300" t="s">
        <v>759</v>
      </c>
      <c r="F593" s="301" t="s">
        <v>766</v>
      </c>
      <c r="G593" s="302">
        <v>161625591.21200001</v>
      </c>
      <c r="H593" s="302">
        <v>73451.73</v>
      </c>
      <c r="I593" s="302">
        <v>13712091.308</v>
      </c>
      <c r="J593" s="302">
        <v>13117729.342</v>
      </c>
      <c r="K593" s="302">
        <v>594361.96600000001</v>
      </c>
      <c r="L593" s="302">
        <v>162867283.734</v>
      </c>
      <c r="M593" s="302">
        <v>129566.04</v>
      </c>
      <c r="N593" s="302">
        <v>3351147.3840000001</v>
      </c>
      <c r="O593" s="302">
        <v>2744877.95</v>
      </c>
      <c r="P593" s="302">
        <v>606269.43400000001</v>
      </c>
      <c r="Q593" s="303"/>
    </row>
    <row r="594" spans="1:17" s="304" customFormat="1" x14ac:dyDescent="0.25">
      <c r="A594" s="300">
        <v>587</v>
      </c>
      <c r="B594" s="308">
        <v>891280008</v>
      </c>
      <c r="C594" s="300" t="s">
        <v>1481</v>
      </c>
      <c r="D594" s="300" t="s">
        <v>808</v>
      </c>
      <c r="E594" s="300" t="s">
        <v>759</v>
      </c>
      <c r="F594" s="301" t="s">
        <v>766</v>
      </c>
      <c r="G594" s="302">
        <v>161413249</v>
      </c>
      <c r="H594" s="302">
        <v>8848897</v>
      </c>
      <c r="I594" s="302">
        <v>190408205</v>
      </c>
      <c r="J594" s="302">
        <v>72857891</v>
      </c>
      <c r="K594" s="302">
        <v>117550314</v>
      </c>
      <c r="L594" s="302">
        <v>127679787</v>
      </c>
      <c r="M594" s="302">
        <v>4199173</v>
      </c>
      <c r="N594" s="302">
        <v>161385806</v>
      </c>
      <c r="O594" s="302">
        <v>49847767</v>
      </c>
      <c r="P594" s="302">
        <v>111538039</v>
      </c>
      <c r="Q594" s="303"/>
    </row>
    <row r="595" spans="1:17" s="304" customFormat="1" x14ac:dyDescent="0.25">
      <c r="A595" s="300">
        <v>588</v>
      </c>
      <c r="B595" s="300">
        <v>860001317</v>
      </c>
      <c r="C595" s="300" t="s">
        <v>1482</v>
      </c>
      <c r="D595" s="300" t="s">
        <v>758</v>
      </c>
      <c r="E595" s="300" t="s">
        <v>1014</v>
      </c>
      <c r="F595" s="301" t="s">
        <v>766</v>
      </c>
      <c r="G595" s="302">
        <v>161037328</v>
      </c>
      <c r="H595" s="302">
        <v>-21257651</v>
      </c>
      <c r="I595" s="302">
        <v>428626569</v>
      </c>
      <c r="J595" s="302">
        <v>253155357</v>
      </c>
      <c r="K595" s="302">
        <v>175471212</v>
      </c>
      <c r="L595" s="302">
        <v>170133413</v>
      </c>
      <c r="M595" s="302">
        <v>-6276215</v>
      </c>
      <c r="N595" s="302">
        <v>448080276</v>
      </c>
      <c r="O595" s="302">
        <v>250533827</v>
      </c>
      <c r="P595" s="302">
        <v>197546449</v>
      </c>
      <c r="Q595" s="303"/>
    </row>
    <row r="596" spans="1:17" s="304" customFormat="1" x14ac:dyDescent="0.25">
      <c r="A596" s="300">
        <v>589</v>
      </c>
      <c r="B596" s="300">
        <v>900138670</v>
      </c>
      <c r="C596" s="300" t="s">
        <v>1483</v>
      </c>
      <c r="D596" s="300" t="s">
        <v>768</v>
      </c>
      <c r="E596" s="300" t="s">
        <v>1057</v>
      </c>
      <c r="F596" s="301" t="s">
        <v>779</v>
      </c>
      <c r="G596" s="302">
        <v>160749580</v>
      </c>
      <c r="H596" s="302">
        <v>456216</v>
      </c>
      <c r="I596" s="302">
        <v>38899225</v>
      </c>
      <c r="J596" s="302">
        <v>33297792</v>
      </c>
      <c r="K596" s="302">
        <v>5601433</v>
      </c>
      <c r="L596" s="302">
        <v>213362524</v>
      </c>
      <c r="M596" s="302">
        <v>172340</v>
      </c>
      <c r="N596" s="302">
        <v>34607766</v>
      </c>
      <c r="O596" s="302">
        <v>30805824</v>
      </c>
      <c r="P596" s="302">
        <v>3801942</v>
      </c>
      <c r="Q596" s="303"/>
    </row>
    <row r="597" spans="1:17" s="304" customFormat="1" x14ac:dyDescent="0.25">
      <c r="A597" s="300">
        <v>590</v>
      </c>
      <c r="B597" s="300">
        <v>890322007</v>
      </c>
      <c r="C597" s="300" t="s">
        <v>1484</v>
      </c>
      <c r="D597" s="300" t="s">
        <v>808</v>
      </c>
      <c r="E597" s="300" t="s">
        <v>1248</v>
      </c>
      <c r="F597" s="301" t="s">
        <v>779</v>
      </c>
      <c r="G597" s="302">
        <v>160605030</v>
      </c>
      <c r="H597" s="302">
        <v>11156649</v>
      </c>
      <c r="I597" s="302">
        <v>230709289</v>
      </c>
      <c r="J597" s="302">
        <v>116862087</v>
      </c>
      <c r="K597" s="302">
        <v>113847202</v>
      </c>
      <c r="L597" s="302">
        <v>145861504</v>
      </c>
      <c r="M597" s="302">
        <v>21077469</v>
      </c>
      <c r="N597" s="302">
        <v>230271859</v>
      </c>
      <c r="O597" s="302">
        <v>109257574</v>
      </c>
      <c r="P597" s="302">
        <v>121014285</v>
      </c>
      <c r="Q597" s="303"/>
    </row>
    <row r="598" spans="1:17" s="304" customFormat="1" x14ac:dyDescent="0.25">
      <c r="A598" s="300">
        <v>591</v>
      </c>
      <c r="B598" s="300">
        <v>817002510</v>
      </c>
      <c r="C598" s="300" t="s">
        <v>1485</v>
      </c>
      <c r="D598" s="300" t="s">
        <v>808</v>
      </c>
      <c r="E598" s="300" t="s">
        <v>919</v>
      </c>
      <c r="F598" s="301" t="s">
        <v>779</v>
      </c>
      <c r="G598" s="302">
        <v>160563568</v>
      </c>
      <c r="H598" s="302">
        <v>-2644755</v>
      </c>
      <c r="I598" s="302">
        <v>91918501</v>
      </c>
      <c r="J598" s="302">
        <v>51254826</v>
      </c>
      <c r="K598" s="302">
        <v>40663675</v>
      </c>
      <c r="L598" s="302">
        <v>170318416</v>
      </c>
      <c r="M598" s="302">
        <v>2774951</v>
      </c>
      <c r="N598" s="302">
        <v>96119791</v>
      </c>
      <c r="O598" s="302">
        <v>52156594</v>
      </c>
      <c r="P598" s="302">
        <v>43963197</v>
      </c>
      <c r="Q598" s="303"/>
    </row>
    <row r="599" spans="1:17" s="304" customFormat="1" x14ac:dyDescent="0.25">
      <c r="A599" s="300">
        <v>592</v>
      </c>
      <c r="B599" s="300">
        <v>860030808</v>
      </c>
      <c r="C599" s="300" t="s">
        <v>1486</v>
      </c>
      <c r="D599" s="300" t="s">
        <v>758</v>
      </c>
      <c r="E599" s="300" t="s">
        <v>1107</v>
      </c>
      <c r="F599" s="301" t="s">
        <v>779</v>
      </c>
      <c r="G599" s="302">
        <v>159896842</v>
      </c>
      <c r="H599" s="302">
        <v>14762560</v>
      </c>
      <c r="I599" s="302">
        <v>74279315</v>
      </c>
      <c r="J599" s="302">
        <v>30788222</v>
      </c>
      <c r="K599" s="302">
        <v>43491093</v>
      </c>
      <c r="L599" s="302">
        <v>128658468</v>
      </c>
      <c r="M599" s="302">
        <v>9235022</v>
      </c>
      <c r="N599" s="302">
        <v>64011249</v>
      </c>
      <c r="O599" s="302">
        <v>23233700</v>
      </c>
      <c r="P599" s="302">
        <v>40777549</v>
      </c>
      <c r="Q599" s="303"/>
    </row>
    <row r="600" spans="1:17" s="304" customFormat="1" x14ac:dyDescent="0.25">
      <c r="A600" s="300">
        <v>593</v>
      </c>
      <c r="B600" s="300">
        <v>817000747</v>
      </c>
      <c r="C600" s="300" t="s">
        <v>1487</v>
      </c>
      <c r="D600" s="300" t="s">
        <v>808</v>
      </c>
      <c r="E600" s="300" t="s">
        <v>905</v>
      </c>
      <c r="F600" s="301" t="s">
        <v>779</v>
      </c>
      <c r="G600" s="302">
        <v>159861862</v>
      </c>
      <c r="H600" s="302">
        <v>5007096</v>
      </c>
      <c r="I600" s="302">
        <v>82562270</v>
      </c>
      <c r="J600" s="302">
        <v>55846781</v>
      </c>
      <c r="K600" s="302">
        <v>26715489</v>
      </c>
      <c r="L600" s="302">
        <v>148499529</v>
      </c>
      <c r="M600" s="302">
        <v>1796693</v>
      </c>
      <c r="N600" s="302">
        <v>70448635</v>
      </c>
      <c r="O600" s="302">
        <v>45501519</v>
      </c>
      <c r="P600" s="302">
        <v>24947116</v>
      </c>
      <c r="Q600" s="303"/>
    </row>
    <row r="601" spans="1:17" s="304" customFormat="1" x14ac:dyDescent="0.25">
      <c r="A601" s="300">
        <v>594</v>
      </c>
      <c r="B601" s="300">
        <v>800067065</v>
      </c>
      <c r="C601" s="300" t="s">
        <v>1488</v>
      </c>
      <c r="D601" s="300" t="s">
        <v>763</v>
      </c>
      <c r="E601" s="300" t="s">
        <v>759</v>
      </c>
      <c r="F601" s="301" t="s">
        <v>766</v>
      </c>
      <c r="G601" s="302">
        <v>159858823</v>
      </c>
      <c r="H601" s="302">
        <v>3018270</v>
      </c>
      <c r="I601" s="302">
        <v>289065617</v>
      </c>
      <c r="J601" s="302">
        <v>150732189</v>
      </c>
      <c r="K601" s="302">
        <v>138333428</v>
      </c>
      <c r="L601" s="302">
        <v>145438887</v>
      </c>
      <c r="M601" s="302">
        <v>3198532</v>
      </c>
      <c r="N601" s="302">
        <v>265448052</v>
      </c>
      <c r="O601" s="302">
        <v>158290240</v>
      </c>
      <c r="P601" s="302">
        <v>107157812</v>
      </c>
      <c r="Q601" s="303"/>
    </row>
    <row r="602" spans="1:17" s="304" customFormat="1" x14ac:dyDescent="0.25">
      <c r="A602" s="300">
        <v>595</v>
      </c>
      <c r="B602" s="300">
        <v>890301054</v>
      </c>
      <c r="C602" s="300" t="s">
        <v>1489</v>
      </c>
      <c r="D602" s="300" t="s">
        <v>808</v>
      </c>
      <c r="E602" s="300" t="s">
        <v>985</v>
      </c>
      <c r="F602" s="301" t="s">
        <v>779</v>
      </c>
      <c r="G602" s="302">
        <v>159737410</v>
      </c>
      <c r="H602" s="302">
        <v>26553907</v>
      </c>
      <c r="I602" s="302">
        <v>277307717</v>
      </c>
      <c r="J602" s="302">
        <v>88109998</v>
      </c>
      <c r="K602" s="302">
        <v>189197719</v>
      </c>
      <c r="L602" s="302">
        <v>162479080</v>
      </c>
      <c r="M602" s="302">
        <v>18022078</v>
      </c>
      <c r="N602" s="302">
        <v>257652038</v>
      </c>
      <c r="O602" s="302">
        <v>77899059</v>
      </c>
      <c r="P602" s="302">
        <v>179752979</v>
      </c>
      <c r="Q602" s="303"/>
    </row>
    <row r="603" spans="1:17" s="304" customFormat="1" x14ac:dyDescent="0.25">
      <c r="A603" s="300">
        <v>596</v>
      </c>
      <c r="B603" s="300">
        <v>800052640</v>
      </c>
      <c r="C603" s="300" t="s">
        <v>1490</v>
      </c>
      <c r="D603" s="300" t="s">
        <v>763</v>
      </c>
      <c r="E603" s="300" t="s">
        <v>759</v>
      </c>
      <c r="F603" s="301" t="s">
        <v>766</v>
      </c>
      <c r="G603" s="309">
        <v>159136552.36199999</v>
      </c>
      <c r="H603" s="309">
        <v>15366652.073000001</v>
      </c>
      <c r="I603" s="309">
        <v>224062712.72099999</v>
      </c>
      <c r="J603" s="309">
        <v>73271528.300999999</v>
      </c>
      <c r="K603" s="309">
        <v>150791184.41999999</v>
      </c>
      <c r="L603" s="309">
        <v>158053074.421</v>
      </c>
      <c r="M603" s="309">
        <v>14952758.035</v>
      </c>
      <c r="N603" s="309">
        <v>212070025.02900001</v>
      </c>
      <c r="O603" s="309">
        <v>62105153.222999997</v>
      </c>
      <c r="P603" s="309">
        <v>149964871.80599999</v>
      </c>
      <c r="Q603" s="303"/>
    </row>
    <row r="604" spans="1:17" s="304" customFormat="1" x14ac:dyDescent="0.25">
      <c r="A604" s="300">
        <v>597</v>
      </c>
      <c r="B604" s="300">
        <v>890905032</v>
      </c>
      <c r="C604" s="300" t="s">
        <v>1491</v>
      </c>
      <c r="D604" s="300" t="s">
        <v>763</v>
      </c>
      <c r="E604" s="300" t="s">
        <v>868</v>
      </c>
      <c r="F604" s="301" t="s">
        <v>779</v>
      </c>
      <c r="G604" s="302">
        <v>158714401</v>
      </c>
      <c r="H604" s="302">
        <v>1318261</v>
      </c>
      <c r="I604" s="302">
        <v>130478008</v>
      </c>
      <c r="J604" s="302">
        <v>34588056</v>
      </c>
      <c r="K604" s="302">
        <v>95889952</v>
      </c>
      <c r="L604" s="302">
        <v>153966806</v>
      </c>
      <c r="M604" s="302">
        <v>70350</v>
      </c>
      <c r="N604" s="302">
        <v>128689871</v>
      </c>
      <c r="O604" s="302">
        <v>34118180</v>
      </c>
      <c r="P604" s="302">
        <v>94571691</v>
      </c>
      <c r="Q604" s="303"/>
    </row>
    <row r="605" spans="1:17" s="304" customFormat="1" x14ac:dyDescent="0.25">
      <c r="A605" s="300">
        <v>598</v>
      </c>
      <c r="B605" s="300">
        <v>860006853</v>
      </c>
      <c r="C605" s="300" t="s">
        <v>1492</v>
      </c>
      <c r="D605" s="300" t="s">
        <v>758</v>
      </c>
      <c r="E605" s="300" t="s">
        <v>1107</v>
      </c>
      <c r="F605" s="301" t="s">
        <v>779</v>
      </c>
      <c r="G605" s="302">
        <v>158656648</v>
      </c>
      <c r="H605" s="302">
        <v>-10175830</v>
      </c>
      <c r="I605" s="302">
        <v>198121042</v>
      </c>
      <c r="J605" s="302">
        <v>85737557</v>
      </c>
      <c r="K605" s="302">
        <v>112383485</v>
      </c>
      <c r="L605" s="302">
        <v>168714214</v>
      </c>
      <c r="M605" s="302">
        <v>-2608066</v>
      </c>
      <c r="N605" s="302">
        <v>192014493</v>
      </c>
      <c r="O605" s="302">
        <v>90038464</v>
      </c>
      <c r="P605" s="302">
        <v>101976029</v>
      </c>
      <c r="Q605" s="303"/>
    </row>
    <row r="606" spans="1:17" s="304" customFormat="1" x14ac:dyDescent="0.25">
      <c r="A606" s="300">
        <v>599</v>
      </c>
      <c r="B606" s="300">
        <v>890300213</v>
      </c>
      <c r="C606" s="300" t="s">
        <v>1493</v>
      </c>
      <c r="D606" s="300" t="s">
        <v>808</v>
      </c>
      <c r="E606" s="300" t="s">
        <v>970</v>
      </c>
      <c r="F606" s="301" t="s">
        <v>779</v>
      </c>
      <c r="G606" s="302">
        <v>158386560</v>
      </c>
      <c r="H606" s="302">
        <v>-2824667</v>
      </c>
      <c r="I606" s="302">
        <v>160506736</v>
      </c>
      <c r="J606" s="302">
        <v>78012685</v>
      </c>
      <c r="K606" s="302">
        <v>82494051</v>
      </c>
      <c r="L606" s="302">
        <v>173641434</v>
      </c>
      <c r="M606" s="302">
        <v>634049</v>
      </c>
      <c r="N606" s="302">
        <v>151461810</v>
      </c>
      <c r="O606" s="302">
        <v>75346689</v>
      </c>
      <c r="P606" s="302">
        <v>76115121</v>
      </c>
      <c r="Q606" s="303"/>
    </row>
    <row r="607" spans="1:17" s="304" customFormat="1" x14ac:dyDescent="0.25">
      <c r="A607" s="300">
        <v>600</v>
      </c>
      <c r="B607" s="300">
        <v>800096040</v>
      </c>
      <c r="C607" s="300" t="s">
        <v>1494</v>
      </c>
      <c r="D607" s="300" t="s">
        <v>808</v>
      </c>
      <c r="E607" s="300" t="s">
        <v>905</v>
      </c>
      <c r="F607" s="301" t="s">
        <v>779</v>
      </c>
      <c r="G607" s="302">
        <v>158243269</v>
      </c>
      <c r="H607" s="302">
        <v>1327020</v>
      </c>
      <c r="I607" s="302">
        <v>188423672</v>
      </c>
      <c r="J607" s="302">
        <v>108659656</v>
      </c>
      <c r="K607" s="302">
        <v>79764016</v>
      </c>
      <c r="L607" s="302">
        <v>156736123</v>
      </c>
      <c r="M607" s="302">
        <v>2343767</v>
      </c>
      <c r="N607" s="302">
        <v>173318653</v>
      </c>
      <c r="O607" s="302">
        <v>100905244</v>
      </c>
      <c r="P607" s="302">
        <v>72413409</v>
      </c>
      <c r="Q607" s="303"/>
    </row>
    <row r="608" spans="1:17" s="304" customFormat="1" x14ac:dyDescent="0.25">
      <c r="A608" s="300">
        <v>601</v>
      </c>
      <c r="B608" s="300">
        <v>860013704</v>
      </c>
      <c r="C608" s="300" t="s">
        <v>1495</v>
      </c>
      <c r="D608" s="300" t="s">
        <v>763</v>
      </c>
      <c r="E608" s="300" t="s">
        <v>1107</v>
      </c>
      <c r="F608" s="301" t="s">
        <v>779</v>
      </c>
      <c r="G608" s="302">
        <v>158242094</v>
      </c>
      <c r="H608" s="302">
        <v>6616464</v>
      </c>
      <c r="I608" s="302">
        <v>325650856</v>
      </c>
      <c r="J608" s="302">
        <v>90054761</v>
      </c>
      <c r="K608" s="302">
        <v>235596095</v>
      </c>
      <c r="L608" s="302">
        <v>165103877</v>
      </c>
      <c r="M608" s="302">
        <v>12190334</v>
      </c>
      <c r="N608" s="302">
        <v>328844683</v>
      </c>
      <c r="O608" s="302">
        <v>93742392</v>
      </c>
      <c r="P608" s="302">
        <v>235102291</v>
      </c>
      <c r="Q608" s="303"/>
    </row>
    <row r="609" spans="1:17" s="304" customFormat="1" x14ac:dyDescent="0.25">
      <c r="A609" s="300">
        <v>602</v>
      </c>
      <c r="B609" s="300">
        <v>860001899</v>
      </c>
      <c r="C609" s="300" t="s">
        <v>1496</v>
      </c>
      <c r="D609" s="300" t="s">
        <v>768</v>
      </c>
      <c r="E609" s="300" t="s">
        <v>916</v>
      </c>
      <c r="F609" s="301" t="s">
        <v>779</v>
      </c>
      <c r="G609" s="302">
        <v>157899194</v>
      </c>
      <c r="H609" s="302">
        <v>-47752822</v>
      </c>
      <c r="I609" s="302">
        <v>384823411</v>
      </c>
      <c r="J609" s="302">
        <v>269616053</v>
      </c>
      <c r="K609" s="302">
        <v>115207358</v>
      </c>
      <c r="L609" s="302">
        <v>216801272</v>
      </c>
      <c r="M609" s="302">
        <v>-40871133</v>
      </c>
      <c r="N609" s="302">
        <v>427842650</v>
      </c>
      <c r="O609" s="302">
        <v>408884303</v>
      </c>
      <c r="P609" s="302">
        <v>18958347</v>
      </c>
      <c r="Q609" s="303"/>
    </row>
    <row r="610" spans="1:17" s="304" customFormat="1" x14ac:dyDescent="0.25">
      <c r="A610" s="300">
        <v>603</v>
      </c>
      <c r="B610" s="300">
        <v>890204814</v>
      </c>
      <c r="C610" s="300" t="s">
        <v>1497</v>
      </c>
      <c r="D610" s="300" t="s">
        <v>891</v>
      </c>
      <c r="E610" s="300" t="s">
        <v>902</v>
      </c>
      <c r="F610" s="301" t="s">
        <v>779</v>
      </c>
      <c r="G610" s="302">
        <v>157822873</v>
      </c>
      <c r="H610" s="302">
        <v>5101325</v>
      </c>
      <c r="I610" s="302">
        <v>77713421</v>
      </c>
      <c r="J610" s="302">
        <v>42907214</v>
      </c>
      <c r="K610" s="302">
        <v>34806207</v>
      </c>
      <c r="L610" s="302">
        <v>145507095</v>
      </c>
      <c r="M610" s="302">
        <v>5099677</v>
      </c>
      <c r="N610" s="302">
        <v>54129602</v>
      </c>
      <c r="O610" s="302">
        <v>20151286</v>
      </c>
      <c r="P610" s="302">
        <v>33978316</v>
      </c>
      <c r="Q610" s="303"/>
    </row>
    <row r="611" spans="1:17" s="304" customFormat="1" x14ac:dyDescent="0.25">
      <c r="A611" s="300">
        <v>604</v>
      </c>
      <c r="B611" s="300">
        <v>890301443</v>
      </c>
      <c r="C611" s="300" t="s">
        <v>1498</v>
      </c>
      <c r="D611" s="300" t="s">
        <v>808</v>
      </c>
      <c r="E611" s="300" t="s">
        <v>1055</v>
      </c>
      <c r="F611" s="301" t="s">
        <v>766</v>
      </c>
      <c r="G611" s="302">
        <v>157000847</v>
      </c>
      <c r="H611" s="302">
        <v>135652077</v>
      </c>
      <c r="I611" s="302">
        <v>2397888381</v>
      </c>
      <c r="J611" s="302">
        <v>77735578</v>
      </c>
      <c r="K611" s="302">
        <v>2320152803</v>
      </c>
      <c r="L611" s="302">
        <v>136546116</v>
      </c>
      <c r="M611" s="302">
        <v>116906160</v>
      </c>
      <c r="N611" s="302">
        <v>2324748108</v>
      </c>
      <c r="O611" s="302">
        <v>79525885</v>
      </c>
      <c r="P611" s="302">
        <v>2245222223</v>
      </c>
      <c r="Q611" s="303"/>
    </row>
    <row r="612" spans="1:17" s="304" customFormat="1" x14ac:dyDescent="0.25">
      <c r="A612" s="300">
        <v>605</v>
      </c>
      <c r="B612" s="308">
        <v>890806490</v>
      </c>
      <c r="C612" s="300" t="s">
        <v>1499</v>
      </c>
      <c r="D612" s="300" t="s">
        <v>763</v>
      </c>
      <c r="E612" s="300" t="s">
        <v>759</v>
      </c>
      <c r="F612" s="301" t="s">
        <v>766</v>
      </c>
      <c r="G612" s="309">
        <v>156466974.61000001</v>
      </c>
      <c r="H612" s="309">
        <v>7026710.2580000004</v>
      </c>
      <c r="I612" s="309">
        <v>174506301.22599998</v>
      </c>
      <c r="J612" s="309">
        <v>65579851.702999994</v>
      </c>
      <c r="K612" s="309">
        <v>108926449.523</v>
      </c>
      <c r="L612" s="309">
        <v>153781981.574</v>
      </c>
      <c r="M612" s="309">
        <v>3316997.6320000002</v>
      </c>
      <c r="N612" s="309">
        <v>166098393.74599999</v>
      </c>
      <c r="O612" s="309">
        <v>62420193.349999994</v>
      </c>
      <c r="P612" s="309">
        <v>103678200.396</v>
      </c>
      <c r="Q612" s="303"/>
    </row>
    <row r="613" spans="1:17" s="304" customFormat="1" x14ac:dyDescent="0.25">
      <c r="A613" s="300">
        <v>606</v>
      </c>
      <c r="B613" s="308">
        <v>891800213</v>
      </c>
      <c r="C613" s="300" t="s">
        <v>1500</v>
      </c>
      <c r="D613" s="300" t="s">
        <v>758</v>
      </c>
      <c r="E613" s="300" t="s">
        <v>759</v>
      </c>
      <c r="F613" s="301" t="s">
        <v>766</v>
      </c>
      <c r="G613" s="309">
        <v>156397437</v>
      </c>
      <c r="H613" s="309">
        <v>4445558.4551899731</v>
      </c>
      <c r="I613" s="309">
        <v>201128845.32957</v>
      </c>
      <c r="J613" s="309">
        <v>109538781.50456001</v>
      </c>
      <c r="K613" s="309">
        <v>91590063.827119961</v>
      </c>
      <c r="L613" s="309">
        <v>136311911</v>
      </c>
      <c r="M613" s="309">
        <v>5250501</v>
      </c>
      <c r="N613" s="309">
        <v>180804681.79558998</v>
      </c>
      <c r="O613" s="309">
        <v>95641381.698139995</v>
      </c>
      <c r="P613" s="309">
        <v>85163300.14395</v>
      </c>
      <c r="Q613" s="303"/>
    </row>
    <row r="614" spans="1:17" s="304" customFormat="1" x14ac:dyDescent="0.25">
      <c r="A614" s="300">
        <v>607</v>
      </c>
      <c r="B614" s="308">
        <v>890201578</v>
      </c>
      <c r="C614" s="300" t="s">
        <v>1501</v>
      </c>
      <c r="D614" s="300" t="s">
        <v>891</v>
      </c>
      <c r="E614" s="300" t="s">
        <v>759</v>
      </c>
      <c r="F614" s="301" t="s">
        <v>766</v>
      </c>
      <c r="G614" s="302">
        <v>156162290</v>
      </c>
      <c r="H614" s="302">
        <v>13763826</v>
      </c>
      <c r="I614" s="302">
        <v>208154365</v>
      </c>
      <c r="J614" s="302">
        <v>75803392</v>
      </c>
      <c r="K614" s="302">
        <v>132350973</v>
      </c>
      <c r="L614" s="302">
        <v>139686588</v>
      </c>
      <c r="M614" s="302">
        <v>13318397</v>
      </c>
      <c r="N614" s="302">
        <v>183155593</v>
      </c>
      <c r="O614" s="302">
        <v>68154630</v>
      </c>
      <c r="P614" s="302">
        <v>115000963</v>
      </c>
      <c r="Q614" s="303"/>
    </row>
    <row r="615" spans="1:17" s="304" customFormat="1" x14ac:dyDescent="0.25">
      <c r="A615" s="300">
        <v>608</v>
      </c>
      <c r="B615" s="300">
        <v>860403972</v>
      </c>
      <c r="C615" s="300" t="s">
        <v>1502</v>
      </c>
      <c r="D615" s="300" t="s">
        <v>758</v>
      </c>
      <c r="E615" s="300" t="s">
        <v>957</v>
      </c>
      <c r="F615" s="301" t="s">
        <v>958</v>
      </c>
      <c r="G615" s="302">
        <v>155702709</v>
      </c>
      <c r="H615" s="302">
        <v>3417778</v>
      </c>
      <c r="I615" s="302">
        <v>66094046</v>
      </c>
      <c r="J615" s="302">
        <v>16760626</v>
      </c>
      <c r="K615" s="302">
        <v>49333420</v>
      </c>
      <c r="L615" s="302">
        <v>143010760</v>
      </c>
      <c r="M615" s="302">
        <v>3706318</v>
      </c>
      <c r="N615" s="302">
        <v>56374300</v>
      </c>
      <c r="O615" s="302">
        <v>19561527</v>
      </c>
      <c r="P615" s="302">
        <v>36812773</v>
      </c>
      <c r="Q615" s="303"/>
    </row>
    <row r="616" spans="1:17" s="304" customFormat="1" x14ac:dyDescent="0.25">
      <c r="A616" s="300">
        <v>609</v>
      </c>
      <c r="B616" s="300">
        <v>890905055</v>
      </c>
      <c r="C616" s="300" t="s">
        <v>1503</v>
      </c>
      <c r="D616" s="300" t="s">
        <v>763</v>
      </c>
      <c r="E616" s="300" t="s">
        <v>759</v>
      </c>
      <c r="F616" s="301" t="s">
        <v>766</v>
      </c>
      <c r="G616" s="309">
        <v>155609492.47499999</v>
      </c>
      <c r="H616" s="309">
        <v>-194474.677</v>
      </c>
      <c r="I616" s="309">
        <v>173523277.94400001</v>
      </c>
      <c r="J616" s="309">
        <v>106811100.469</v>
      </c>
      <c r="K616" s="309">
        <v>66712177.475000001</v>
      </c>
      <c r="L616" s="309">
        <v>153817374.67699999</v>
      </c>
      <c r="M616" s="309">
        <v>26518688.008000001</v>
      </c>
      <c r="N616" s="309">
        <v>422553304.815</v>
      </c>
      <c r="O616" s="309">
        <v>89682527.899000004</v>
      </c>
      <c r="P616" s="309">
        <v>332870776.91600001</v>
      </c>
      <c r="Q616" s="303"/>
    </row>
    <row r="617" spans="1:17" s="304" customFormat="1" x14ac:dyDescent="0.25">
      <c r="A617" s="300">
        <v>610</v>
      </c>
      <c r="B617" s="300">
        <v>890938020</v>
      </c>
      <c r="C617" s="300" t="s">
        <v>1504</v>
      </c>
      <c r="D617" s="300" t="s">
        <v>763</v>
      </c>
      <c r="E617" s="300" t="s">
        <v>1140</v>
      </c>
      <c r="F617" s="301" t="s">
        <v>764</v>
      </c>
      <c r="G617" s="302">
        <v>154654444</v>
      </c>
      <c r="H617" s="302">
        <v>1601287</v>
      </c>
      <c r="I617" s="302">
        <v>51846347</v>
      </c>
      <c r="J617" s="302">
        <v>37018383</v>
      </c>
      <c r="K617" s="302">
        <v>14827964</v>
      </c>
      <c r="L617" s="302">
        <v>197826713</v>
      </c>
      <c r="M617" s="302">
        <v>1716936</v>
      </c>
      <c r="N617" s="302">
        <v>58412498</v>
      </c>
      <c r="O617" s="302">
        <v>43721013</v>
      </c>
      <c r="P617" s="302">
        <v>14691485</v>
      </c>
      <c r="Q617" s="303"/>
    </row>
    <row r="618" spans="1:17" s="304" customFormat="1" x14ac:dyDescent="0.25">
      <c r="A618" s="300">
        <v>611</v>
      </c>
      <c r="B618" s="300">
        <v>891409291</v>
      </c>
      <c r="C618" s="300" t="s">
        <v>1505</v>
      </c>
      <c r="D618" s="300" t="s">
        <v>763</v>
      </c>
      <c r="E618" s="300" t="s">
        <v>863</v>
      </c>
      <c r="F618" s="301" t="s">
        <v>764</v>
      </c>
      <c r="G618" s="302">
        <v>154160740</v>
      </c>
      <c r="H618" s="302">
        <v>5648748</v>
      </c>
      <c r="I618" s="302">
        <v>64290990</v>
      </c>
      <c r="J618" s="302">
        <v>36615557</v>
      </c>
      <c r="K618" s="302">
        <v>27675433</v>
      </c>
      <c r="L618" s="302">
        <v>140233858</v>
      </c>
      <c r="M618" s="302">
        <v>5104922</v>
      </c>
      <c r="N618" s="302">
        <v>58057956</v>
      </c>
      <c r="O618" s="302">
        <v>34801427</v>
      </c>
      <c r="P618" s="302">
        <v>23256529</v>
      </c>
      <c r="Q618" s="303"/>
    </row>
    <row r="619" spans="1:17" s="304" customFormat="1" x14ac:dyDescent="0.25">
      <c r="A619" s="300">
        <v>612</v>
      </c>
      <c r="B619" s="300">
        <v>890101279</v>
      </c>
      <c r="C619" s="300" t="s">
        <v>1506</v>
      </c>
      <c r="D619" s="300" t="s">
        <v>768</v>
      </c>
      <c r="E619" s="300" t="s">
        <v>776</v>
      </c>
      <c r="F619" s="301" t="s">
        <v>764</v>
      </c>
      <c r="G619" s="302">
        <v>153981248</v>
      </c>
      <c r="H619" s="302">
        <v>1255502</v>
      </c>
      <c r="I619" s="302">
        <v>165181815</v>
      </c>
      <c r="J619" s="302">
        <v>117496432</v>
      </c>
      <c r="K619" s="302">
        <v>47685383</v>
      </c>
      <c r="L619" s="302">
        <v>181525744</v>
      </c>
      <c r="M619" s="302">
        <v>1883716</v>
      </c>
      <c r="N619" s="302">
        <v>150030662</v>
      </c>
      <c r="O619" s="302">
        <v>104028604</v>
      </c>
      <c r="P619" s="302">
        <v>46002058</v>
      </c>
      <c r="Q619" s="303"/>
    </row>
    <row r="620" spans="1:17" s="304" customFormat="1" x14ac:dyDescent="0.25">
      <c r="A620" s="300">
        <v>613</v>
      </c>
      <c r="B620" s="300">
        <v>860078024</v>
      </c>
      <c r="C620" s="300" t="s">
        <v>1507</v>
      </c>
      <c r="D620" s="300" t="s">
        <v>758</v>
      </c>
      <c r="E620" s="300" t="s">
        <v>880</v>
      </c>
      <c r="F620" s="301" t="s">
        <v>764</v>
      </c>
      <c r="G620" s="302">
        <v>153366450</v>
      </c>
      <c r="H620" s="302">
        <v>2104427</v>
      </c>
      <c r="I620" s="302">
        <v>61570451</v>
      </c>
      <c r="J620" s="302">
        <v>37807963</v>
      </c>
      <c r="K620" s="302">
        <v>23762488</v>
      </c>
      <c r="L620" s="302">
        <v>125833763</v>
      </c>
      <c r="M620" s="302">
        <v>1855170</v>
      </c>
      <c r="N620" s="302">
        <v>57060763</v>
      </c>
      <c r="O620" s="302">
        <v>35402702</v>
      </c>
      <c r="P620" s="302">
        <v>21658061</v>
      </c>
      <c r="Q620" s="303"/>
    </row>
    <row r="621" spans="1:17" s="304" customFormat="1" x14ac:dyDescent="0.25">
      <c r="A621" s="300">
        <v>614</v>
      </c>
      <c r="B621" s="300">
        <v>860032450</v>
      </c>
      <c r="C621" s="300" t="s">
        <v>1508</v>
      </c>
      <c r="D621" s="300" t="s">
        <v>758</v>
      </c>
      <c r="E621" s="300" t="s">
        <v>957</v>
      </c>
      <c r="F621" s="301" t="s">
        <v>958</v>
      </c>
      <c r="G621" s="302">
        <v>153167277</v>
      </c>
      <c r="H621" s="302">
        <v>2637495</v>
      </c>
      <c r="I621" s="302">
        <v>59047984</v>
      </c>
      <c r="J621" s="302">
        <v>18012244</v>
      </c>
      <c r="K621" s="302">
        <v>41035740</v>
      </c>
      <c r="L621" s="302">
        <v>132750204</v>
      </c>
      <c r="M621" s="302">
        <v>1371340</v>
      </c>
      <c r="N621" s="302">
        <v>55837572</v>
      </c>
      <c r="O621" s="302">
        <v>17439327</v>
      </c>
      <c r="P621" s="302">
        <v>38398245</v>
      </c>
      <c r="Q621" s="303"/>
    </row>
    <row r="622" spans="1:17" s="304" customFormat="1" x14ac:dyDescent="0.25">
      <c r="A622" s="300">
        <v>615</v>
      </c>
      <c r="B622" s="300">
        <v>890319047</v>
      </c>
      <c r="C622" s="300" t="s">
        <v>1509</v>
      </c>
      <c r="D622" s="300" t="s">
        <v>808</v>
      </c>
      <c r="E622" s="300" t="s">
        <v>759</v>
      </c>
      <c r="F622" s="301" t="s">
        <v>779</v>
      </c>
      <c r="G622" s="302">
        <v>153126436</v>
      </c>
      <c r="H622" s="302">
        <v>-4702317</v>
      </c>
      <c r="I622" s="302">
        <v>676245400</v>
      </c>
      <c r="J622" s="302">
        <v>324075165</v>
      </c>
      <c r="K622" s="302">
        <v>352170235</v>
      </c>
      <c r="L622" s="302">
        <v>205670504</v>
      </c>
      <c r="M622" s="302">
        <v>44158199</v>
      </c>
      <c r="N622" s="302">
        <v>644766487</v>
      </c>
      <c r="O622" s="302">
        <v>290674609</v>
      </c>
      <c r="P622" s="302">
        <v>354091881</v>
      </c>
      <c r="Q622" s="303"/>
    </row>
    <row r="623" spans="1:17" s="304" customFormat="1" x14ac:dyDescent="0.25">
      <c r="A623" s="300">
        <v>616</v>
      </c>
      <c r="B623" s="300">
        <v>890204134</v>
      </c>
      <c r="C623" s="300" t="s">
        <v>1510</v>
      </c>
      <c r="D623" s="300" t="s">
        <v>891</v>
      </c>
      <c r="E623" s="300" t="s">
        <v>776</v>
      </c>
      <c r="F623" s="301" t="s">
        <v>764</v>
      </c>
      <c r="G623" s="302">
        <v>152824205</v>
      </c>
      <c r="H623" s="302">
        <v>1716112</v>
      </c>
      <c r="I623" s="302">
        <v>56919015</v>
      </c>
      <c r="J623" s="302">
        <v>25517121</v>
      </c>
      <c r="K623" s="302">
        <v>31401894</v>
      </c>
      <c r="L623" s="302">
        <v>157063999</v>
      </c>
      <c r="M623" s="302">
        <v>2209345</v>
      </c>
      <c r="N623" s="302">
        <v>51508459</v>
      </c>
      <c r="O623" s="302">
        <v>28845931</v>
      </c>
      <c r="P623" s="302">
        <v>22662528</v>
      </c>
      <c r="Q623" s="303"/>
    </row>
    <row r="624" spans="1:17" s="304" customFormat="1" x14ac:dyDescent="0.25">
      <c r="A624" s="300">
        <v>617</v>
      </c>
      <c r="B624" s="300">
        <v>800100610</v>
      </c>
      <c r="C624" s="300" t="s">
        <v>1511</v>
      </c>
      <c r="D624" s="300" t="s">
        <v>758</v>
      </c>
      <c r="E624" s="300" t="s">
        <v>863</v>
      </c>
      <c r="F624" s="301" t="s">
        <v>764</v>
      </c>
      <c r="G624" s="302">
        <v>152594405</v>
      </c>
      <c r="H624" s="302">
        <v>1979034</v>
      </c>
      <c r="I624" s="302">
        <v>63084293</v>
      </c>
      <c r="J624" s="302">
        <v>47927868</v>
      </c>
      <c r="K624" s="302">
        <v>15156425</v>
      </c>
      <c r="L624" s="302">
        <v>135558135</v>
      </c>
      <c r="M624" s="302">
        <v>3051755</v>
      </c>
      <c r="N624" s="302">
        <v>61092566</v>
      </c>
      <c r="O624" s="302">
        <v>44769597</v>
      </c>
      <c r="P624" s="302">
        <v>16322969</v>
      </c>
      <c r="Q624" s="303"/>
    </row>
    <row r="625" spans="1:17" s="304" customFormat="1" x14ac:dyDescent="0.25">
      <c r="A625" s="300">
        <v>618</v>
      </c>
      <c r="B625" s="300">
        <v>860076820</v>
      </c>
      <c r="C625" s="300" t="s">
        <v>1512</v>
      </c>
      <c r="D625" s="300" t="s">
        <v>758</v>
      </c>
      <c r="E625" s="300" t="s">
        <v>957</v>
      </c>
      <c r="F625" s="301" t="s">
        <v>958</v>
      </c>
      <c r="G625" s="302">
        <v>152235752</v>
      </c>
      <c r="H625" s="302">
        <v>2576264</v>
      </c>
      <c r="I625" s="302">
        <v>72300054</v>
      </c>
      <c r="J625" s="302">
        <v>19337984</v>
      </c>
      <c r="K625" s="302">
        <v>52962070</v>
      </c>
      <c r="L625" s="302">
        <v>135557659</v>
      </c>
      <c r="M625" s="302">
        <v>1218259</v>
      </c>
      <c r="N625" s="302">
        <v>69432937</v>
      </c>
      <c r="O625" s="302">
        <v>21296867</v>
      </c>
      <c r="P625" s="302">
        <v>48136070</v>
      </c>
      <c r="Q625" s="303"/>
    </row>
    <row r="626" spans="1:17" s="304" customFormat="1" x14ac:dyDescent="0.25">
      <c r="A626" s="300">
        <v>619</v>
      </c>
      <c r="B626" s="300">
        <v>804009752</v>
      </c>
      <c r="C626" s="300" t="s">
        <v>1513</v>
      </c>
      <c r="D626" s="300" t="s">
        <v>891</v>
      </c>
      <c r="E626" s="300" t="s">
        <v>759</v>
      </c>
      <c r="F626" s="301" t="s">
        <v>766</v>
      </c>
      <c r="G626" s="302">
        <v>151309048.48677999</v>
      </c>
      <c r="H626" s="302">
        <v>7020770</v>
      </c>
      <c r="I626" s="302">
        <v>842653556.37696993</v>
      </c>
      <c r="J626" s="302">
        <v>578865374.85365999</v>
      </c>
      <c r="K626" s="302">
        <v>263788181.52331001</v>
      </c>
      <c r="L626" s="302">
        <v>139225683.48605999</v>
      </c>
      <c r="M626" s="302">
        <v>6102576.5</v>
      </c>
      <c r="N626" s="302">
        <v>801858303.86206996</v>
      </c>
      <c r="O626" s="302">
        <v>582724305.04331005</v>
      </c>
      <c r="P626" s="302">
        <v>219133998.81876001</v>
      </c>
      <c r="Q626" s="303"/>
    </row>
    <row r="627" spans="1:17" s="304" customFormat="1" x14ac:dyDescent="0.25">
      <c r="A627" s="300">
        <v>620</v>
      </c>
      <c r="B627" s="300">
        <v>900108579</v>
      </c>
      <c r="C627" s="300" t="s">
        <v>1514</v>
      </c>
      <c r="D627" s="300" t="s">
        <v>758</v>
      </c>
      <c r="E627" s="300" t="s">
        <v>880</v>
      </c>
      <c r="F627" s="300" t="s">
        <v>764</v>
      </c>
      <c r="G627" s="302">
        <v>150912949</v>
      </c>
      <c r="H627" s="302">
        <v>1222669</v>
      </c>
      <c r="I627" s="302">
        <v>127543047</v>
      </c>
      <c r="J627" s="302">
        <v>120065840</v>
      </c>
      <c r="K627" s="302">
        <v>7477207</v>
      </c>
      <c r="L627" s="302">
        <v>164693421</v>
      </c>
      <c r="M627" s="302">
        <v>1319897</v>
      </c>
      <c r="N627" s="302">
        <v>109883961</v>
      </c>
      <c r="O627" s="302">
        <v>103629423</v>
      </c>
      <c r="P627" s="302">
        <v>6254538</v>
      </c>
      <c r="Q627" s="303"/>
    </row>
    <row r="628" spans="1:17" s="304" customFormat="1" x14ac:dyDescent="0.25">
      <c r="A628" s="300">
        <v>621</v>
      </c>
      <c r="B628" s="300">
        <v>830050346</v>
      </c>
      <c r="C628" s="300" t="s">
        <v>1515</v>
      </c>
      <c r="D628" s="300" t="s">
        <v>758</v>
      </c>
      <c r="E628" s="300" t="s">
        <v>860</v>
      </c>
      <c r="F628" s="301" t="s">
        <v>779</v>
      </c>
      <c r="G628" s="302">
        <v>150835805</v>
      </c>
      <c r="H628" s="302">
        <v>5132667</v>
      </c>
      <c r="I628" s="302">
        <v>92490019</v>
      </c>
      <c r="J628" s="302">
        <v>50477068</v>
      </c>
      <c r="K628" s="302">
        <v>42012951</v>
      </c>
      <c r="L628" s="302">
        <v>135252103</v>
      </c>
      <c r="M628" s="302">
        <v>5463190</v>
      </c>
      <c r="N628" s="302">
        <v>91234444</v>
      </c>
      <c r="O628" s="302">
        <v>50792878</v>
      </c>
      <c r="P628" s="302">
        <v>40441566</v>
      </c>
      <c r="Q628" s="303"/>
    </row>
    <row r="629" spans="1:17" s="304" customFormat="1" x14ac:dyDescent="0.25">
      <c r="A629" s="300">
        <v>622</v>
      </c>
      <c r="B629" s="300">
        <v>800169352</v>
      </c>
      <c r="C629" s="300" t="s">
        <v>1516</v>
      </c>
      <c r="D629" s="300" t="s">
        <v>763</v>
      </c>
      <c r="E629" s="300" t="s">
        <v>933</v>
      </c>
      <c r="F629" s="300" t="s">
        <v>779</v>
      </c>
      <c r="G629" s="302">
        <v>150674434</v>
      </c>
      <c r="H629" s="302">
        <v>1381505</v>
      </c>
      <c r="I629" s="302">
        <v>113828138</v>
      </c>
      <c r="J629" s="302">
        <v>97680507</v>
      </c>
      <c r="K629" s="302">
        <v>16147631</v>
      </c>
      <c r="L629" s="302">
        <v>147419973</v>
      </c>
      <c r="M629" s="302">
        <v>2712531</v>
      </c>
      <c r="N629" s="302">
        <v>111353750</v>
      </c>
      <c r="O629" s="302">
        <v>94032948</v>
      </c>
      <c r="P629" s="302">
        <v>17320802</v>
      </c>
      <c r="Q629" s="303"/>
    </row>
    <row r="630" spans="1:17" s="304" customFormat="1" x14ac:dyDescent="0.25">
      <c r="A630" s="300">
        <v>623</v>
      </c>
      <c r="B630" s="300">
        <v>830507278</v>
      </c>
      <c r="C630" s="300" t="s">
        <v>1517</v>
      </c>
      <c r="D630" s="300" t="s">
        <v>758</v>
      </c>
      <c r="E630" s="300" t="s">
        <v>853</v>
      </c>
      <c r="F630" s="301" t="s">
        <v>779</v>
      </c>
      <c r="G630" s="302">
        <v>150323893</v>
      </c>
      <c r="H630" s="302">
        <v>2173325</v>
      </c>
      <c r="I630" s="302">
        <v>74582065</v>
      </c>
      <c r="J630" s="302">
        <v>49615276</v>
      </c>
      <c r="K630" s="302">
        <v>24966789</v>
      </c>
      <c r="L630" s="302">
        <v>160219349</v>
      </c>
      <c r="M630" s="302">
        <v>3755349</v>
      </c>
      <c r="N630" s="302">
        <v>71100563</v>
      </c>
      <c r="O630" s="302">
        <v>48692341</v>
      </c>
      <c r="P630" s="302">
        <v>22408222</v>
      </c>
      <c r="Q630" s="303"/>
    </row>
    <row r="631" spans="1:17" s="304" customFormat="1" x14ac:dyDescent="0.25">
      <c r="A631" s="300">
        <v>624</v>
      </c>
      <c r="B631" s="300">
        <v>900298861</v>
      </c>
      <c r="C631" s="300" t="s">
        <v>1518</v>
      </c>
      <c r="D631" s="300" t="s">
        <v>763</v>
      </c>
      <c r="E631" s="300" t="s">
        <v>1329</v>
      </c>
      <c r="F631" s="301" t="s">
        <v>779</v>
      </c>
      <c r="G631" s="302">
        <v>149844817</v>
      </c>
      <c r="H631" s="302">
        <v>-41503</v>
      </c>
      <c r="I631" s="302">
        <v>21362209</v>
      </c>
      <c r="J631" s="302">
        <v>15887514</v>
      </c>
      <c r="K631" s="302">
        <v>5474695</v>
      </c>
      <c r="L631" s="302">
        <v>141068759</v>
      </c>
      <c r="M631" s="302">
        <v>241716</v>
      </c>
      <c r="N631" s="302">
        <v>24027889</v>
      </c>
      <c r="O631" s="302">
        <v>18511691</v>
      </c>
      <c r="P631" s="302">
        <v>5516198</v>
      </c>
      <c r="Q631" s="303"/>
    </row>
    <row r="632" spans="1:17" s="304" customFormat="1" x14ac:dyDescent="0.25">
      <c r="A632" s="300">
        <v>625</v>
      </c>
      <c r="B632" s="300">
        <v>805009691</v>
      </c>
      <c r="C632" s="300" t="s">
        <v>1519</v>
      </c>
      <c r="D632" s="300" t="s">
        <v>808</v>
      </c>
      <c r="E632" s="300" t="s">
        <v>995</v>
      </c>
      <c r="F632" s="301" t="s">
        <v>779</v>
      </c>
      <c r="G632" s="302">
        <v>149709624</v>
      </c>
      <c r="H632" s="302">
        <v>7047854</v>
      </c>
      <c r="I632" s="302">
        <v>98118088</v>
      </c>
      <c r="J632" s="302">
        <v>32206645</v>
      </c>
      <c r="K632" s="302">
        <v>65911443</v>
      </c>
      <c r="L632" s="302">
        <v>151305993</v>
      </c>
      <c r="M632" s="302">
        <v>6025812</v>
      </c>
      <c r="N632" s="302">
        <v>90412525</v>
      </c>
      <c r="O632" s="302">
        <v>28896178</v>
      </c>
      <c r="P632" s="302">
        <v>61516347</v>
      </c>
      <c r="Q632" s="303"/>
    </row>
    <row r="633" spans="1:17" s="304" customFormat="1" x14ac:dyDescent="0.25">
      <c r="A633" s="300">
        <v>626</v>
      </c>
      <c r="B633" s="300">
        <v>805021782</v>
      </c>
      <c r="C633" s="300" t="s">
        <v>1520</v>
      </c>
      <c r="D633" s="300" t="s">
        <v>808</v>
      </c>
      <c r="E633" s="300" t="s">
        <v>786</v>
      </c>
      <c r="F633" s="301" t="s">
        <v>764</v>
      </c>
      <c r="G633" s="302">
        <v>149543384</v>
      </c>
      <c r="H633" s="302">
        <v>1857831</v>
      </c>
      <c r="I633" s="302">
        <v>19057891</v>
      </c>
      <c r="J633" s="302">
        <v>8326805</v>
      </c>
      <c r="K633" s="302">
        <v>10731086</v>
      </c>
      <c r="L633" s="302">
        <v>147649808</v>
      </c>
      <c r="M633" s="302">
        <v>1587372</v>
      </c>
      <c r="N633" s="302">
        <v>20082111</v>
      </c>
      <c r="O633" s="302">
        <v>9747100</v>
      </c>
      <c r="P633" s="302">
        <v>10335011</v>
      </c>
      <c r="Q633" s="303"/>
    </row>
    <row r="634" spans="1:17" s="304" customFormat="1" x14ac:dyDescent="0.25">
      <c r="A634" s="300">
        <v>627</v>
      </c>
      <c r="B634" s="300">
        <v>891100881</v>
      </c>
      <c r="C634" s="300" t="s">
        <v>1521</v>
      </c>
      <c r="D634" s="300" t="s">
        <v>758</v>
      </c>
      <c r="E634" s="300" t="s">
        <v>876</v>
      </c>
      <c r="F634" s="311" t="s">
        <v>877</v>
      </c>
      <c r="G634" s="302">
        <v>149524345</v>
      </c>
      <c r="H634" s="302">
        <v>8733296</v>
      </c>
      <c r="I634" s="302">
        <v>105688107</v>
      </c>
      <c r="J634" s="302">
        <v>29321151</v>
      </c>
      <c r="K634" s="302">
        <v>76366956</v>
      </c>
      <c r="L634" s="302">
        <v>112341075</v>
      </c>
      <c r="M634" s="302">
        <v>2148003</v>
      </c>
      <c r="N634" s="302">
        <v>62375456</v>
      </c>
      <c r="O634" s="302">
        <v>31639018</v>
      </c>
      <c r="P634" s="302">
        <v>30736438</v>
      </c>
      <c r="Q634" s="303"/>
    </row>
    <row r="635" spans="1:17" s="304" customFormat="1" x14ac:dyDescent="0.25">
      <c r="A635" s="300">
        <v>628</v>
      </c>
      <c r="B635" s="300">
        <v>800047031</v>
      </c>
      <c r="C635" s="300" t="s">
        <v>1522</v>
      </c>
      <c r="D635" s="300" t="s">
        <v>763</v>
      </c>
      <c r="E635" s="300" t="s">
        <v>759</v>
      </c>
      <c r="F635" s="301" t="s">
        <v>779</v>
      </c>
      <c r="G635" s="302">
        <v>148290350</v>
      </c>
      <c r="H635" s="302">
        <v>4631290</v>
      </c>
      <c r="I635" s="302">
        <v>385725210</v>
      </c>
      <c r="J635" s="302">
        <v>67084810</v>
      </c>
      <c r="K635" s="302">
        <v>318640400</v>
      </c>
      <c r="L635" s="302">
        <v>124761593</v>
      </c>
      <c r="M635" s="302">
        <v>-2705429</v>
      </c>
      <c r="N635" s="302">
        <v>295051558</v>
      </c>
      <c r="O635" s="302">
        <v>20006148</v>
      </c>
      <c r="P635" s="302">
        <v>275045409</v>
      </c>
      <c r="Q635" s="303"/>
    </row>
    <row r="636" spans="1:17" s="304" customFormat="1" x14ac:dyDescent="0.25">
      <c r="A636" s="300">
        <v>629</v>
      </c>
      <c r="B636" s="300">
        <v>811018771</v>
      </c>
      <c r="C636" s="300" t="s">
        <v>1523</v>
      </c>
      <c r="D636" s="300" t="s">
        <v>763</v>
      </c>
      <c r="E636" s="300" t="s">
        <v>848</v>
      </c>
      <c r="F636" s="301" t="s">
        <v>764</v>
      </c>
      <c r="G636" s="302">
        <v>147993593</v>
      </c>
      <c r="H636" s="302">
        <v>355596</v>
      </c>
      <c r="I636" s="302">
        <v>66770991</v>
      </c>
      <c r="J636" s="302">
        <v>60075390</v>
      </c>
      <c r="K636" s="302">
        <v>6695601</v>
      </c>
      <c r="L636" s="302">
        <v>75696431</v>
      </c>
      <c r="M636" s="302">
        <v>62153</v>
      </c>
      <c r="N636" s="302">
        <v>37931265</v>
      </c>
      <c r="O636" s="302">
        <v>29959681</v>
      </c>
      <c r="P636" s="302">
        <v>7971584</v>
      </c>
      <c r="Q636" s="303"/>
    </row>
    <row r="637" spans="1:17" s="304" customFormat="1" x14ac:dyDescent="0.25">
      <c r="A637" s="300">
        <v>630</v>
      </c>
      <c r="B637" s="300">
        <v>830031687</v>
      </c>
      <c r="C637" s="300" t="s">
        <v>1524</v>
      </c>
      <c r="D637" s="300" t="s">
        <v>758</v>
      </c>
      <c r="E637" s="300" t="s">
        <v>1245</v>
      </c>
      <c r="F637" s="301" t="s">
        <v>764</v>
      </c>
      <c r="G637" s="302">
        <v>147542506</v>
      </c>
      <c r="H637" s="302">
        <v>240957</v>
      </c>
      <c r="I637" s="302">
        <v>52695672</v>
      </c>
      <c r="J637" s="302">
        <v>45959323</v>
      </c>
      <c r="K637" s="302">
        <v>6736349</v>
      </c>
      <c r="L637" s="302">
        <v>116752984</v>
      </c>
      <c r="M637" s="302">
        <v>1835343</v>
      </c>
      <c r="N637" s="302">
        <v>46624634</v>
      </c>
      <c r="O637" s="302">
        <v>40129240</v>
      </c>
      <c r="P637" s="302">
        <v>6495394</v>
      </c>
      <c r="Q637" s="303"/>
    </row>
    <row r="638" spans="1:17" s="304" customFormat="1" x14ac:dyDescent="0.25">
      <c r="A638" s="300">
        <v>631</v>
      </c>
      <c r="B638" s="300">
        <v>860006160</v>
      </c>
      <c r="C638" s="300" t="s">
        <v>1525</v>
      </c>
      <c r="D638" s="300" t="s">
        <v>758</v>
      </c>
      <c r="E638" s="300" t="s">
        <v>1078</v>
      </c>
      <c r="F638" s="300" t="s">
        <v>779</v>
      </c>
      <c r="G638" s="302">
        <v>147371651</v>
      </c>
      <c r="H638" s="302">
        <v>3445035</v>
      </c>
      <c r="I638" s="302">
        <v>196608224</v>
      </c>
      <c r="J638" s="302">
        <v>93847155</v>
      </c>
      <c r="K638" s="302">
        <v>102761069</v>
      </c>
      <c r="L638" s="302">
        <v>153614227</v>
      </c>
      <c r="M638" s="302">
        <v>6178528</v>
      </c>
      <c r="N638" s="302">
        <v>160644272</v>
      </c>
      <c r="O638" s="302">
        <v>77628122</v>
      </c>
      <c r="P638" s="302">
        <v>83016150</v>
      </c>
      <c r="Q638" s="303"/>
    </row>
    <row r="639" spans="1:17" s="304" customFormat="1" x14ac:dyDescent="0.25">
      <c r="A639" s="300">
        <v>632</v>
      </c>
      <c r="B639" s="300">
        <v>860006282</v>
      </c>
      <c r="C639" s="300" t="s">
        <v>1526</v>
      </c>
      <c r="D639" s="300" t="s">
        <v>758</v>
      </c>
      <c r="E639" s="300" t="s">
        <v>876</v>
      </c>
      <c r="F639" s="311" t="s">
        <v>877</v>
      </c>
      <c r="G639" s="302">
        <v>147338750</v>
      </c>
      <c r="H639" s="302">
        <v>6561783</v>
      </c>
      <c r="I639" s="302">
        <v>152983600</v>
      </c>
      <c r="J639" s="302">
        <v>69125117</v>
      </c>
      <c r="K639" s="302">
        <v>83858483</v>
      </c>
      <c r="L639" s="302">
        <v>101950350</v>
      </c>
      <c r="M639" s="302">
        <v>3234855</v>
      </c>
      <c r="N639" s="302">
        <v>137708984</v>
      </c>
      <c r="O639" s="302">
        <v>60146338</v>
      </c>
      <c r="P639" s="302">
        <v>77562646</v>
      </c>
      <c r="Q639" s="303"/>
    </row>
    <row r="640" spans="1:17" s="304" customFormat="1" x14ac:dyDescent="0.25">
      <c r="A640" s="300">
        <v>633</v>
      </c>
      <c r="B640" s="300">
        <v>890204797</v>
      </c>
      <c r="C640" s="300" t="s">
        <v>1527</v>
      </c>
      <c r="D640" s="300" t="s">
        <v>891</v>
      </c>
      <c r="E640" s="300" t="s">
        <v>1190</v>
      </c>
      <c r="F640" s="301" t="s">
        <v>764</v>
      </c>
      <c r="G640" s="302">
        <v>146930113</v>
      </c>
      <c r="H640" s="302">
        <v>3055559</v>
      </c>
      <c r="I640" s="302">
        <v>130997145</v>
      </c>
      <c r="J640" s="302">
        <v>59016194</v>
      </c>
      <c r="K640" s="302">
        <v>71980951</v>
      </c>
      <c r="L640" s="302">
        <v>136687984</v>
      </c>
      <c r="M640" s="302">
        <v>3519603</v>
      </c>
      <c r="N640" s="302">
        <v>143576022</v>
      </c>
      <c r="O640" s="302">
        <v>85598935</v>
      </c>
      <c r="P640" s="302">
        <v>57977087</v>
      </c>
      <c r="Q640" s="303"/>
    </row>
    <row r="641" spans="1:17" s="304" customFormat="1" x14ac:dyDescent="0.25">
      <c r="A641" s="300">
        <v>634</v>
      </c>
      <c r="B641" s="300">
        <v>830037774</v>
      </c>
      <c r="C641" s="300" t="s">
        <v>1528</v>
      </c>
      <c r="D641" s="300" t="s">
        <v>758</v>
      </c>
      <c r="E641" s="300" t="s">
        <v>788</v>
      </c>
      <c r="F641" s="300" t="s">
        <v>760</v>
      </c>
      <c r="G641" s="302">
        <v>146217996</v>
      </c>
      <c r="H641" s="302">
        <v>9332396</v>
      </c>
      <c r="I641" s="302">
        <v>260822142</v>
      </c>
      <c r="J641" s="302">
        <v>112940113</v>
      </c>
      <c r="K641" s="302">
        <v>147882029</v>
      </c>
      <c r="L641" s="302">
        <v>145063518</v>
      </c>
      <c r="M641" s="302">
        <v>10958014</v>
      </c>
      <c r="N641" s="302">
        <v>284090924</v>
      </c>
      <c r="O641" s="302">
        <v>141079168</v>
      </c>
      <c r="P641" s="302">
        <v>143011756</v>
      </c>
      <c r="Q641" s="303"/>
    </row>
    <row r="642" spans="1:17" s="304" customFormat="1" x14ac:dyDescent="0.25">
      <c r="A642" s="300">
        <v>635</v>
      </c>
      <c r="B642" s="300">
        <v>860025461</v>
      </c>
      <c r="C642" s="300" t="s">
        <v>1529</v>
      </c>
      <c r="D642" s="300" t="s">
        <v>758</v>
      </c>
      <c r="E642" s="300" t="s">
        <v>1215</v>
      </c>
      <c r="F642" s="301" t="s">
        <v>766</v>
      </c>
      <c r="G642" s="302">
        <v>145326436</v>
      </c>
      <c r="H642" s="302">
        <v>-1822138</v>
      </c>
      <c r="I642" s="302">
        <v>82094244</v>
      </c>
      <c r="J642" s="302">
        <v>47814045</v>
      </c>
      <c r="K642" s="302">
        <v>34280199</v>
      </c>
      <c r="L642" s="302">
        <v>125869597</v>
      </c>
      <c r="M642" s="302">
        <v>1599198</v>
      </c>
      <c r="N642" s="302">
        <v>94893811</v>
      </c>
      <c r="O642" s="302">
        <v>41666625</v>
      </c>
      <c r="P642" s="302">
        <v>53227186</v>
      </c>
      <c r="Q642" s="303"/>
    </row>
    <row r="643" spans="1:17" s="304" customFormat="1" x14ac:dyDescent="0.25">
      <c r="A643" s="300">
        <v>636</v>
      </c>
      <c r="B643" s="300">
        <v>800142612</v>
      </c>
      <c r="C643" s="300" t="s">
        <v>1530</v>
      </c>
      <c r="D643" s="300" t="s">
        <v>758</v>
      </c>
      <c r="E643" s="300" t="s">
        <v>1531</v>
      </c>
      <c r="F643" s="301" t="s">
        <v>766</v>
      </c>
      <c r="G643" s="302">
        <v>145322725</v>
      </c>
      <c r="H643" s="302">
        <v>1686920</v>
      </c>
      <c r="I643" s="302">
        <v>31484810</v>
      </c>
      <c r="J643" s="302">
        <v>20311842</v>
      </c>
      <c r="K643" s="302">
        <v>11172968</v>
      </c>
      <c r="L643" s="302">
        <v>139226560</v>
      </c>
      <c r="M643" s="302">
        <v>971295</v>
      </c>
      <c r="N643" s="302">
        <v>30436292</v>
      </c>
      <c r="O643" s="302">
        <v>20893920</v>
      </c>
      <c r="P643" s="302">
        <v>9542372</v>
      </c>
      <c r="Q643" s="303"/>
    </row>
    <row r="644" spans="1:17" s="304" customFormat="1" x14ac:dyDescent="0.25">
      <c r="A644" s="300">
        <v>637</v>
      </c>
      <c r="B644" s="300">
        <v>890922549</v>
      </c>
      <c r="C644" s="300" t="s">
        <v>1532</v>
      </c>
      <c r="D644" s="300" t="s">
        <v>763</v>
      </c>
      <c r="E644" s="300" t="s">
        <v>860</v>
      </c>
      <c r="F644" s="301" t="s">
        <v>779</v>
      </c>
      <c r="G644" s="302">
        <v>145012019</v>
      </c>
      <c r="H644" s="302">
        <v>1959260</v>
      </c>
      <c r="I644" s="302">
        <v>102773931</v>
      </c>
      <c r="J644" s="302">
        <v>65414684</v>
      </c>
      <c r="K644" s="302">
        <v>37359247</v>
      </c>
      <c r="L644" s="302">
        <v>135590118</v>
      </c>
      <c r="M644" s="302">
        <v>1131895</v>
      </c>
      <c r="N644" s="302">
        <v>97093377</v>
      </c>
      <c r="O644" s="302">
        <v>59179068</v>
      </c>
      <c r="P644" s="302">
        <v>37914309</v>
      </c>
      <c r="Q644" s="303"/>
    </row>
    <row r="645" spans="1:17" s="304" customFormat="1" x14ac:dyDescent="0.25">
      <c r="A645" s="300">
        <v>638</v>
      </c>
      <c r="B645" s="300">
        <v>890209612</v>
      </c>
      <c r="C645" s="300" t="s">
        <v>1533</v>
      </c>
      <c r="D645" s="300" t="s">
        <v>891</v>
      </c>
      <c r="E645" s="300" t="s">
        <v>1534</v>
      </c>
      <c r="F645" s="301" t="s">
        <v>779</v>
      </c>
      <c r="G645" s="302">
        <v>144976078</v>
      </c>
      <c r="H645" s="302">
        <v>3613284</v>
      </c>
      <c r="I645" s="302">
        <v>78689894</v>
      </c>
      <c r="J645" s="302">
        <v>34015841</v>
      </c>
      <c r="K645" s="302">
        <v>44674053</v>
      </c>
      <c r="L645" s="302">
        <v>145601464</v>
      </c>
      <c r="M645" s="302">
        <v>-389055</v>
      </c>
      <c r="N645" s="302">
        <v>88025290</v>
      </c>
      <c r="O645" s="302">
        <v>47674147</v>
      </c>
      <c r="P645" s="302">
        <v>40351143</v>
      </c>
      <c r="Q645" s="303"/>
    </row>
    <row r="646" spans="1:17" s="304" customFormat="1" x14ac:dyDescent="0.25">
      <c r="A646" s="300">
        <v>639</v>
      </c>
      <c r="B646" s="300">
        <v>890301291</v>
      </c>
      <c r="C646" s="300" t="s">
        <v>1535</v>
      </c>
      <c r="D646" s="300" t="s">
        <v>758</v>
      </c>
      <c r="E646" s="300" t="s">
        <v>863</v>
      </c>
      <c r="F646" s="301" t="s">
        <v>764</v>
      </c>
      <c r="G646" s="302">
        <v>144776751</v>
      </c>
      <c r="H646" s="302">
        <v>6069953</v>
      </c>
      <c r="I646" s="302">
        <v>91390416</v>
      </c>
      <c r="J646" s="302">
        <v>37933557</v>
      </c>
      <c r="K646" s="302">
        <v>53456859</v>
      </c>
      <c r="L646" s="302">
        <v>124226285</v>
      </c>
      <c r="M646" s="302">
        <v>8740761</v>
      </c>
      <c r="N646" s="302">
        <v>80110964</v>
      </c>
      <c r="O646" s="302">
        <v>32096618</v>
      </c>
      <c r="P646" s="302">
        <v>48014346</v>
      </c>
      <c r="Q646" s="303"/>
    </row>
    <row r="647" spans="1:17" s="304" customFormat="1" x14ac:dyDescent="0.25">
      <c r="A647" s="300">
        <v>640</v>
      </c>
      <c r="B647" s="300">
        <v>900104080</v>
      </c>
      <c r="C647" s="300" t="s">
        <v>1536</v>
      </c>
      <c r="D647" s="300" t="s">
        <v>758</v>
      </c>
      <c r="E647" s="300" t="s">
        <v>832</v>
      </c>
      <c r="F647" s="301" t="s">
        <v>766</v>
      </c>
      <c r="G647" s="302">
        <v>144743166</v>
      </c>
      <c r="H647" s="302">
        <v>145969290</v>
      </c>
      <c r="I647" s="302">
        <v>3912030038</v>
      </c>
      <c r="J647" s="302">
        <v>37486997</v>
      </c>
      <c r="K647" s="302">
        <v>3874543041</v>
      </c>
      <c r="L647" s="302">
        <v>126884021</v>
      </c>
      <c r="M647" s="302">
        <v>124203130</v>
      </c>
      <c r="N647" s="302">
        <v>3664316579</v>
      </c>
      <c r="O647" s="302">
        <v>16132568</v>
      </c>
      <c r="P647" s="302">
        <v>3648184011</v>
      </c>
      <c r="Q647" s="303"/>
    </row>
    <row r="648" spans="1:17" s="304" customFormat="1" x14ac:dyDescent="0.25">
      <c r="A648" s="300">
        <v>641</v>
      </c>
      <c r="B648" s="300">
        <v>800239064</v>
      </c>
      <c r="C648" s="300" t="s">
        <v>1537</v>
      </c>
      <c r="D648" s="300" t="s">
        <v>763</v>
      </c>
      <c r="E648" s="300" t="s">
        <v>1133</v>
      </c>
      <c r="F648" s="301" t="s">
        <v>764</v>
      </c>
      <c r="G648" s="302">
        <v>144668503</v>
      </c>
      <c r="H648" s="302">
        <v>2076363</v>
      </c>
      <c r="I648" s="302">
        <v>97887005</v>
      </c>
      <c r="J648" s="302">
        <v>67829728</v>
      </c>
      <c r="K648" s="302">
        <v>30057277</v>
      </c>
      <c r="L648" s="302">
        <v>132693275</v>
      </c>
      <c r="M648" s="302">
        <v>709179</v>
      </c>
      <c r="N648" s="302">
        <v>87401923</v>
      </c>
      <c r="O648" s="302">
        <v>66554531</v>
      </c>
      <c r="P648" s="302">
        <v>20847392</v>
      </c>
      <c r="Q648" s="303"/>
    </row>
    <row r="649" spans="1:17" s="304" customFormat="1" x14ac:dyDescent="0.25">
      <c r="A649" s="300">
        <v>642</v>
      </c>
      <c r="B649" s="300">
        <v>890800148</v>
      </c>
      <c r="C649" s="300" t="s">
        <v>1538</v>
      </c>
      <c r="D649" s="300" t="s">
        <v>763</v>
      </c>
      <c r="E649" s="300" t="s">
        <v>894</v>
      </c>
      <c r="F649" s="301" t="s">
        <v>779</v>
      </c>
      <c r="G649" s="302">
        <v>144268549</v>
      </c>
      <c r="H649" s="302">
        <v>17740403</v>
      </c>
      <c r="I649" s="302">
        <v>178693670</v>
      </c>
      <c r="J649" s="302">
        <v>80428384</v>
      </c>
      <c r="K649" s="302">
        <v>98265286</v>
      </c>
      <c r="L649" s="302">
        <v>134659833</v>
      </c>
      <c r="M649" s="302">
        <v>4310808</v>
      </c>
      <c r="N649" s="302">
        <v>155496805</v>
      </c>
      <c r="O649" s="302">
        <v>32803924</v>
      </c>
      <c r="P649" s="302">
        <v>122692881</v>
      </c>
      <c r="Q649" s="303"/>
    </row>
    <row r="650" spans="1:17" s="304" customFormat="1" x14ac:dyDescent="0.25">
      <c r="A650" s="300">
        <v>643</v>
      </c>
      <c r="B650" s="300">
        <v>860002067</v>
      </c>
      <c r="C650" s="300" t="s">
        <v>1539</v>
      </c>
      <c r="D650" s="300" t="s">
        <v>758</v>
      </c>
      <c r="E650" s="300" t="s">
        <v>1540</v>
      </c>
      <c r="F650" s="300" t="s">
        <v>779</v>
      </c>
      <c r="G650" s="302">
        <v>144166154</v>
      </c>
      <c r="H650" s="302">
        <v>-1223470</v>
      </c>
      <c r="I650" s="302">
        <v>142528977</v>
      </c>
      <c r="J650" s="302">
        <v>47969042</v>
      </c>
      <c r="K650" s="302">
        <v>94559935</v>
      </c>
      <c r="L650" s="302">
        <v>138935749</v>
      </c>
      <c r="M650" s="302">
        <v>1969560</v>
      </c>
      <c r="N650" s="302">
        <v>136806041</v>
      </c>
      <c r="O650" s="302">
        <v>44008647</v>
      </c>
      <c r="P650" s="302">
        <v>92797394</v>
      </c>
      <c r="Q650" s="303"/>
    </row>
    <row r="651" spans="1:17" s="304" customFormat="1" x14ac:dyDescent="0.25">
      <c r="A651" s="300">
        <v>644</v>
      </c>
      <c r="B651" s="300">
        <v>860000135</v>
      </c>
      <c r="C651" s="300" t="s">
        <v>1541</v>
      </c>
      <c r="D651" s="300" t="s">
        <v>758</v>
      </c>
      <c r="E651" s="300" t="s">
        <v>868</v>
      </c>
      <c r="F651" s="301" t="s">
        <v>779</v>
      </c>
      <c r="G651" s="302">
        <v>143997354</v>
      </c>
      <c r="H651" s="302">
        <v>2130855</v>
      </c>
      <c r="I651" s="302">
        <v>90824714</v>
      </c>
      <c r="J651" s="302">
        <v>65152299</v>
      </c>
      <c r="K651" s="302">
        <v>25672415</v>
      </c>
      <c r="L651" s="302">
        <v>146112874</v>
      </c>
      <c r="M651" s="302">
        <v>2261122</v>
      </c>
      <c r="N651" s="302">
        <v>88112327</v>
      </c>
      <c r="O651" s="302">
        <v>63023801</v>
      </c>
      <c r="P651" s="302">
        <v>25088526</v>
      </c>
      <c r="Q651" s="303"/>
    </row>
    <row r="652" spans="1:17" s="304" customFormat="1" x14ac:dyDescent="0.25">
      <c r="A652" s="300">
        <v>645</v>
      </c>
      <c r="B652" s="300">
        <v>890908649</v>
      </c>
      <c r="C652" s="300" t="s">
        <v>1542</v>
      </c>
      <c r="D652" s="300" t="s">
        <v>763</v>
      </c>
      <c r="E652" s="300" t="s">
        <v>1090</v>
      </c>
      <c r="F652" s="301" t="s">
        <v>779</v>
      </c>
      <c r="G652" s="302">
        <v>143975074</v>
      </c>
      <c r="H652" s="302">
        <v>6395336</v>
      </c>
      <c r="I652" s="302">
        <v>131019451</v>
      </c>
      <c r="J652" s="302">
        <v>53625318</v>
      </c>
      <c r="K652" s="302">
        <v>77394133</v>
      </c>
      <c r="L652" s="302">
        <v>142321138</v>
      </c>
      <c r="M652" s="302">
        <v>5702175</v>
      </c>
      <c r="N652" s="302">
        <v>136057181</v>
      </c>
      <c r="O652" s="302">
        <v>62267705</v>
      </c>
      <c r="P652" s="302">
        <v>73789476</v>
      </c>
      <c r="Q652" s="303"/>
    </row>
    <row r="653" spans="1:17" s="304" customFormat="1" x14ac:dyDescent="0.25">
      <c r="A653" s="300">
        <v>646</v>
      </c>
      <c r="B653" s="300">
        <v>815002936</v>
      </c>
      <c r="C653" s="300" t="s">
        <v>1543</v>
      </c>
      <c r="D653" s="300" t="s">
        <v>763</v>
      </c>
      <c r="E653" s="300" t="s">
        <v>1005</v>
      </c>
      <c r="F653" s="301" t="s">
        <v>779</v>
      </c>
      <c r="G653" s="302">
        <v>143735055</v>
      </c>
      <c r="H653" s="302">
        <v>33363690</v>
      </c>
      <c r="I653" s="302">
        <v>257640455</v>
      </c>
      <c r="J653" s="302">
        <v>37746151</v>
      </c>
      <c r="K653" s="302">
        <v>219894304</v>
      </c>
      <c r="L653" s="302">
        <v>138807606</v>
      </c>
      <c r="M653" s="302">
        <v>20008092</v>
      </c>
      <c r="N653" s="302">
        <v>226972343</v>
      </c>
      <c r="O653" s="302">
        <v>26663866</v>
      </c>
      <c r="P653" s="302">
        <v>200308477</v>
      </c>
      <c r="Q653" s="303"/>
    </row>
    <row r="654" spans="1:17" s="304" customFormat="1" x14ac:dyDescent="0.25">
      <c r="A654" s="300">
        <v>647</v>
      </c>
      <c r="B654" s="300">
        <v>890941252</v>
      </c>
      <c r="C654" s="300" t="s">
        <v>1544</v>
      </c>
      <c r="D654" s="300" t="s">
        <v>763</v>
      </c>
      <c r="E654" s="300" t="s">
        <v>884</v>
      </c>
      <c r="F654" s="301" t="s">
        <v>764</v>
      </c>
      <c r="G654" s="302">
        <v>143378583</v>
      </c>
      <c r="H654" s="302">
        <v>1923673</v>
      </c>
      <c r="I654" s="302">
        <v>26578584</v>
      </c>
      <c r="J654" s="302">
        <v>8088569</v>
      </c>
      <c r="K654" s="302">
        <v>18490015</v>
      </c>
      <c r="L654" s="302">
        <v>138033676</v>
      </c>
      <c r="M654" s="302">
        <v>1712837</v>
      </c>
      <c r="N654" s="302">
        <v>28296788</v>
      </c>
      <c r="O654" s="302">
        <v>15941281</v>
      </c>
      <c r="P654" s="302">
        <v>12355507</v>
      </c>
      <c r="Q654" s="303"/>
    </row>
    <row r="655" spans="1:17" s="304" customFormat="1" x14ac:dyDescent="0.25">
      <c r="A655" s="300">
        <v>648</v>
      </c>
      <c r="B655" s="300">
        <v>800218155</v>
      </c>
      <c r="C655" s="300" t="s">
        <v>1545</v>
      </c>
      <c r="D655" s="300" t="s">
        <v>768</v>
      </c>
      <c r="E655" s="300" t="s">
        <v>880</v>
      </c>
      <c r="F655" s="301" t="s">
        <v>764</v>
      </c>
      <c r="G655" s="302">
        <v>143130230</v>
      </c>
      <c r="H655" s="302">
        <v>262685</v>
      </c>
      <c r="I655" s="302">
        <v>60245586</v>
      </c>
      <c r="J655" s="302">
        <v>40401835</v>
      </c>
      <c r="K655" s="302">
        <v>19843751</v>
      </c>
      <c r="L655" s="302">
        <v>144271854</v>
      </c>
      <c r="M655" s="302">
        <v>365639</v>
      </c>
      <c r="N655" s="302">
        <v>56814964</v>
      </c>
      <c r="O655" s="302">
        <v>38233897</v>
      </c>
      <c r="P655" s="302">
        <v>18581067</v>
      </c>
      <c r="Q655" s="303"/>
    </row>
    <row r="656" spans="1:17" s="304" customFormat="1" x14ac:dyDescent="0.25">
      <c r="A656" s="300">
        <v>649</v>
      </c>
      <c r="B656" s="300">
        <v>900150942</v>
      </c>
      <c r="C656" s="300" t="s">
        <v>1546</v>
      </c>
      <c r="D656" s="300" t="s">
        <v>808</v>
      </c>
      <c r="E656" s="300" t="s">
        <v>951</v>
      </c>
      <c r="F656" s="301" t="s">
        <v>779</v>
      </c>
      <c r="G656" s="302">
        <v>143019588</v>
      </c>
      <c r="H656" s="302">
        <v>12449186</v>
      </c>
      <c r="I656" s="302">
        <v>168785805</v>
      </c>
      <c r="J656" s="302">
        <v>80897149</v>
      </c>
      <c r="K656" s="302">
        <v>87888656</v>
      </c>
      <c r="L656" s="302">
        <v>167718724</v>
      </c>
      <c r="M656" s="302">
        <v>23867990</v>
      </c>
      <c r="N656" s="302">
        <v>156549876</v>
      </c>
      <c r="O656" s="302">
        <v>82752285</v>
      </c>
      <c r="P656" s="302">
        <v>73797591</v>
      </c>
      <c r="Q656" s="303"/>
    </row>
    <row r="657" spans="1:17" s="304" customFormat="1" x14ac:dyDescent="0.25">
      <c r="A657" s="300">
        <v>650</v>
      </c>
      <c r="B657" s="300">
        <v>860506688</v>
      </c>
      <c r="C657" s="300" t="s">
        <v>1547</v>
      </c>
      <c r="D657" s="300" t="s">
        <v>758</v>
      </c>
      <c r="E657" s="300" t="s">
        <v>876</v>
      </c>
      <c r="F657" s="311" t="s">
        <v>877</v>
      </c>
      <c r="G657" s="302">
        <v>142546614</v>
      </c>
      <c r="H657" s="302">
        <v>15808203</v>
      </c>
      <c r="I657" s="302">
        <v>256691877</v>
      </c>
      <c r="J657" s="302">
        <v>127472571</v>
      </c>
      <c r="K657" s="302">
        <v>129219306</v>
      </c>
      <c r="L657" s="302">
        <v>99535878</v>
      </c>
      <c r="M657" s="302">
        <v>306924</v>
      </c>
      <c r="N657" s="302">
        <v>246758025</v>
      </c>
      <c r="O657" s="302">
        <v>132524472</v>
      </c>
      <c r="P657" s="302">
        <v>114233553</v>
      </c>
      <c r="Q657" s="303"/>
    </row>
    <row r="658" spans="1:17" s="304" customFormat="1" x14ac:dyDescent="0.25">
      <c r="A658" s="300">
        <v>651</v>
      </c>
      <c r="B658" s="300">
        <v>830112317</v>
      </c>
      <c r="C658" s="300" t="s">
        <v>1548</v>
      </c>
      <c r="D658" s="300" t="s">
        <v>758</v>
      </c>
      <c r="E658" s="300" t="s">
        <v>759</v>
      </c>
      <c r="F658" s="301" t="s">
        <v>779</v>
      </c>
      <c r="G658" s="302">
        <v>142376520</v>
      </c>
      <c r="H658" s="302">
        <v>4509490</v>
      </c>
      <c r="I658" s="302">
        <v>104723800</v>
      </c>
      <c r="J658" s="302">
        <v>50325590</v>
      </c>
      <c r="K658" s="302">
        <v>54398210</v>
      </c>
      <c r="L658" s="302">
        <v>119566208</v>
      </c>
      <c r="M658" s="302">
        <v>1372004</v>
      </c>
      <c r="N658" s="302">
        <v>99993573</v>
      </c>
      <c r="O658" s="302">
        <v>49890936</v>
      </c>
      <c r="P658" s="302">
        <v>50102634</v>
      </c>
      <c r="Q658" s="303"/>
    </row>
    <row r="659" spans="1:17" s="304" customFormat="1" x14ac:dyDescent="0.25">
      <c r="A659" s="300">
        <v>652</v>
      </c>
      <c r="B659" s="300">
        <v>860000762</v>
      </c>
      <c r="C659" s="300" t="s">
        <v>1549</v>
      </c>
      <c r="D659" s="300" t="s">
        <v>758</v>
      </c>
      <c r="E659" s="300" t="s">
        <v>1081</v>
      </c>
      <c r="F659" s="301" t="s">
        <v>779</v>
      </c>
      <c r="G659" s="302">
        <v>142296694</v>
      </c>
      <c r="H659" s="302">
        <v>7799844</v>
      </c>
      <c r="I659" s="302">
        <v>385848927</v>
      </c>
      <c r="J659" s="302">
        <v>107039436</v>
      </c>
      <c r="K659" s="302">
        <v>278809491</v>
      </c>
      <c r="L659" s="302">
        <v>132595464</v>
      </c>
      <c r="M659" s="302">
        <v>4424031</v>
      </c>
      <c r="N659" s="302">
        <v>371894878</v>
      </c>
      <c r="O659" s="302">
        <v>117486186</v>
      </c>
      <c r="P659" s="302">
        <v>254408692</v>
      </c>
      <c r="Q659" s="303"/>
    </row>
    <row r="660" spans="1:17" s="304" customFormat="1" x14ac:dyDescent="0.25">
      <c r="A660" s="300">
        <v>653</v>
      </c>
      <c r="B660" s="300">
        <v>830095617</v>
      </c>
      <c r="C660" s="300" t="s">
        <v>1550</v>
      </c>
      <c r="D660" s="300" t="s">
        <v>758</v>
      </c>
      <c r="E660" s="300" t="s">
        <v>773</v>
      </c>
      <c r="F660" s="300" t="s">
        <v>764</v>
      </c>
      <c r="G660" s="302">
        <v>141713706</v>
      </c>
      <c r="H660" s="302">
        <v>668329</v>
      </c>
      <c r="I660" s="302">
        <v>64936821</v>
      </c>
      <c r="J660" s="302">
        <v>45316572</v>
      </c>
      <c r="K660" s="302">
        <v>19620249</v>
      </c>
      <c r="L660" s="302">
        <v>145277584</v>
      </c>
      <c r="M660" s="302">
        <v>399183</v>
      </c>
      <c r="N660" s="302">
        <v>53684930</v>
      </c>
      <c r="O660" s="302">
        <v>37510136</v>
      </c>
      <c r="P660" s="302">
        <v>16174794</v>
      </c>
      <c r="Q660" s="303"/>
    </row>
    <row r="661" spans="1:17" s="304" customFormat="1" x14ac:dyDescent="0.25">
      <c r="A661" s="300">
        <v>654</v>
      </c>
      <c r="B661" s="300">
        <v>890109640</v>
      </c>
      <c r="C661" s="300" t="s">
        <v>1551</v>
      </c>
      <c r="D661" s="300" t="s">
        <v>768</v>
      </c>
      <c r="E661" s="300" t="s">
        <v>863</v>
      </c>
      <c r="F661" s="300" t="s">
        <v>764</v>
      </c>
      <c r="G661" s="302">
        <v>141416341</v>
      </c>
      <c r="H661" s="302">
        <v>5994876</v>
      </c>
      <c r="I661" s="302">
        <v>470304137</v>
      </c>
      <c r="J661" s="302">
        <v>183048558</v>
      </c>
      <c r="K661" s="302">
        <v>287255579</v>
      </c>
      <c r="L661" s="302">
        <v>131855419</v>
      </c>
      <c r="M661" s="302">
        <v>5844592</v>
      </c>
      <c r="N661" s="302">
        <v>358471534</v>
      </c>
      <c r="O661" s="302">
        <v>157942334</v>
      </c>
      <c r="P661" s="302">
        <v>200529200</v>
      </c>
      <c r="Q661" s="303"/>
    </row>
    <row r="662" spans="1:17" s="304" customFormat="1" x14ac:dyDescent="0.25">
      <c r="A662" s="300">
        <v>655</v>
      </c>
      <c r="B662" s="300">
        <v>830010181</v>
      </c>
      <c r="C662" s="300" t="s">
        <v>1552</v>
      </c>
      <c r="D662" s="300" t="s">
        <v>758</v>
      </c>
      <c r="E662" s="300" t="s">
        <v>814</v>
      </c>
      <c r="F662" s="301" t="s">
        <v>764</v>
      </c>
      <c r="G662" s="302">
        <v>141286841</v>
      </c>
      <c r="H662" s="302">
        <v>-5125433</v>
      </c>
      <c r="I662" s="302">
        <v>67127341</v>
      </c>
      <c r="J662" s="302">
        <v>44137117</v>
      </c>
      <c r="K662" s="302">
        <v>22990224</v>
      </c>
      <c r="L662" s="302">
        <v>158861033</v>
      </c>
      <c r="M662" s="302">
        <v>1140391</v>
      </c>
      <c r="N662" s="302">
        <v>70132234</v>
      </c>
      <c r="O662" s="302">
        <v>42016578</v>
      </c>
      <c r="P662" s="302">
        <v>28115656</v>
      </c>
      <c r="Q662" s="303"/>
    </row>
    <row r="663" spans="1:17" s="304" customFormat="1" x14ac:dyDescent="0.25">
      <c r="A663" s="300">
        <v>656</v>
      </c>
      <c r="B663" s="300">
        <v>860507710</v>
      </c>
      <c r="C663" s="300" t="s">
        <v>1553</v>
      </c>
      <c r="D663" s="300" t="s">
        <v>758</v>
      </c>
      <c r="E663" s="300" t="s">
        <v>880</v>
      </c>
      <c r="F663" s="301" t="s">
        <v>764</v>
      </c>
      <c r="G663" s="302">
        <v>141272429</v>
      </c>
      <c r="H663" s="302">
        <v>563939</v>
      </c>
      <c r="I663" s="302">
        <v>56534955</v>
      </c>
      <c r="J663" s="302">
        <v>45807171</v>
      </c>
      <c r="K663" s="302">
        <v>10727784</v>
      </c>
      <c r="L663" s="302">
        <v>134896721</v>
      </c>
      <c r="M663" s="302">
        <v>707847</v>
      </c>
      <c r="N663" s="302">
        <v>49889264</v>
      </c>
      <c r="O663" s="302">
        <v>39999088</v>
      </c>
      <c r="P663" s="302">
        <v>9890176</v>
      </c>
      <c r="Q663" s="303"/>
    </row>
    <row r="664" spans="1:17" s="304" customFormat="1" x14ac:dyDescent="0.25">
      <c r="A664" s="300">
        <v>657</v>
      </c>
      <c r="B664" s="300">
        <v>800029447</v>
      </c>
      <c r="C664" s="300" t="s">
        <v>1554</v>
      </c>
      <c r="D664" s="300" t="s">
        <v>758</v>
      </c>
      <c r="E664" s="300" t="s">
        <v>1171</v>
      </c>
      <c r="F664" s="301" t="s">
        <v>779</v>
      </c>
      <c r="G664" s="302">
        <v>141235128</v>
      </c>
      <c r="H664" s="302">
        <v>5773906</v>
      </c>
      <c r="I664" s="302">
        <v>94818137</v>
      </c>
      <c r="J664" s="302">
        <v>81821658</v>
      </c>
      <c r="K664" s="302">
        <v>12996479</v>
      </c>
      <c r="L664" s="302">
        <v>60105928</v>
      </c>
      <c r="M664" s="302">
        <v>274433</v>
      </c>
      <c r="N664" s="302">
        <v>54102889</v>
      </c>
      <c r="O664" s="302">
        <v>44034268</v>
      </c>
      <c r="P664" s="302">
        <v>10068621</v>
      </c>
      <c r="Q664" s="303"/>
    </row>
    <row r="665" spans="1:17" s="304" customFormat="1" x14ac:dyDescent="0.25">
      <c r="A665" s="300">
        <v>658</v>
      </c>
      <c r="B665" s="300">
        <v>890925108</v>
      </c>
      <c r="C665" s="300" t="s">
        <v>1555</v>
      </c>
      <c r="D665" s="300" t="s">
        <v>763</v>
      </c>
      <c r="E665" s="300" t="s">
        <v>1369</v>
      </c>
      <c r="F665" s="301" t="s">
        <v>779</v>
      </c>
      <c r="G665" s="302">
        <v>141174489</v>
      </c>
      <c r="H665" s="302">
        <v>15477272</v>
      </c>
      <c r="I665" s="302">
        <v>192726062</v>
      </c>
      <c r="J665" s="302">
        <v>21906258</v>
      </c>
      <c r="K665" s="302">
        <v>170819804</v>
      </c>
      <c r="L665" s="302">
        <v>137635057</v>
      </c>
      <c r="M665" s="302">
        <v>13642237</v>
      </c>
      <c r="N665" s="302">
        <v>175790348</v>
      </c>
      <c r="O665" s="302">
        <v>21262763</v>
      </c>
      <c r="P665" s="302">
        <v>154527585</v>
      </c>
      <c r="Q665" s="303"/>
    </row>
    <row r="666" spans="1:17" s="304" customFormat="1" x14ac:dyDescent="0.25">
      <c r="A666" s="300">
        <v>659</v>
      </c>
      <c r="B666" s="300">
        <v>890300625</v>
      </c>
      <c r="C666" s="300" t="s">
        <v>1556</v>
      </c>
      <c r="D666" s="300" t="s">
        <v>808</v>
      </c>
      <c r="E666" s="300" t="s">
        <v>759</v>
      </c>
      <c r="F666" s="301" t="s">
        <v>766</v>
      </c>
      <c r="G666" s="302">
        <v>140991951.00799999</v>
      </c>
      <c r="H666" s="302">
        <v>18254563.539000001</v>
      </c>
      <c r="I666" s="302">
        <v>2419299543.3520002</v>
      </c>
      <c r="J666" s="302">
        <v>1729016750.168</v>
      </c>
      <c r="K666" s="302">
        <v>690282793.18400002</v>
      </c>
      <c r="L666" s="302">
        <v>148552919.958</v>
      </c>
      <c r="M666" s="302">
        <v>22020559.892000001</v>
      </c>
      <c r="N666" s="302">
        <v>2227667323.763</v>
      </c>
      <c r="O666" s="302">
        <v>1617018949.5220001</v>
      </c>
      <c r="P666" s="302">
        <v>610648374.24100006</v>
      </c>
      <c r="Q666" s="303"/>
    </row>
    <row r="667" spans="1:17" s="304" customFormat="1" x14ac:dyDescent="0.25">
      <c r="A667" s="300">
        <v>660</v>
      </c>
      <c r="B667" s="300">
        <v>890900082</v>
      </c>
      <c r="C667" s="300" t="s">
        <v>1557</v>
      </c>
      <c r="D667" s="300" t="s">
        <v>758</v>
      </c>
      <c r="E667" s="300" t="s">
        <v>776</v>
      </c>
      <c r="F667" s="301" t="s">
        <v>764</v>
      </c>
      <c r="G667" s="302">
        <v>140955557</v>
      </c>
      <c r="H667" s="302">
        <v>10530997</v>
      </c>
      <c r="I667" s="302">
        <v>210531440</v>
      </c>
      <c r="J667" s="302">
        <v>99401088</v>
      </c>
      <c r="K667" s="302">
        <v>111130352</v>
      </c>
      <c r="L667" s="302">
        <v>137728790</v>
      </c>
      <c r="M667" s="302">
        <v>12889261</v>
      </c>
      <c r="N667" s="302">
        <v>190814731</v>
      </c>
      <c r="O667" s="302">
        <v>95282700</v>
      </c>
      <c r="P667" s="302">
        <v>95532031</v>
      </c>
      <c r="Q667" s="303"/>
    </row>
    <row r="668" spans="1:17" s="304" customFormat="1" x14ac:dyDescent="0.25">
      <c r="A668" s="300">
        <v>661</v>
      </c>
      <c r="B668" s="300">
        <v>890300794</v>
      </c>
      <c r="C668" s="300" t="s">
        <v>1558</v>
      </c>
      <c r="D668" s="300" t="s">
        <v>808</v>
      </c>
      <c r="E668" s="300" t="s">
        <v>1078</v>
      </c>
      <c r="F668" s="301" t="s">
        <v>779</v>
      </c>
      <c r="G668" s="302">
        <v>140915349</v>
      </c>
      <c r="H668" s="302">
        <v>3688535</v>
      </c>
      <c r="I668" s="302">
        <v>133200686</v>
      </c>
      <c r="J668" s="302">
        <v>56093007</v>
      </c>
      <c r="K668" s="302">
        <v>77107679</v>
      </c>
      <c r="L668" s="302">
        <v>129998856</v>
      </c>
      <c r="M668" s="302">
        <v>5199446</v>
      </c>
      <c r="N668" s="302">
        <v>125997042</v>
      </c>
      <c r="O668" s="302">
        <v>50507898</v>
      </c>
      <c r="P668" s="302">
        <v>75489144</v>
      </c>
      <c r="Q668" s="303"/>
    </row>
    <row r="669" spans="1:17" s="304" customFormat="1" x14ac:dyDescent="0.25">
      <c r="A669" s="300">
        <v>662</v>
      </c>
      <c r="B669" s="300">
        <v>890905627</v>
      </c>
      <c r="C669" s="300" t="s">
        <v>1559</v>
      </c>
      <c r="D669" s="300" t="s">
        <v>763</v>
      </c>
      <c r="E669" s="300" t="s">
        <v>880</v>
      </c>
      <c r="F669" s="301" t="s">
        <v>764</v>
      </c>
      <c r="G669" s="302">
        <v>140789695</v>
      </c>
      <c r="H669" s="302">
        <v>793768</v>
      </c>
      <c r="I669" s="302">
        <v>63105755</v>
      </c>
      <c r="J669" s="302">
        <v>43635774</v>
      </c>
      <c r="K669" s="302">
        <v>19469981</v>
      </c>
      <c r="L669" s="302">
        <v>128920307</v>
      </c>
      <c r="M669" s="302">
        <v>632174</v>
      </c>
      <c r="N669" s="302">
        <v>60980507</v>
      </c>
      <c r="O669" s="302">
        <v>42315116</v>
      </c>
      <c r="P669" s="302">
        <v>18665391</v>
      </c>
      <c r="Q669" s="303"/>
    </row>
    <row r="670" spans="1:17" s="304" customFormat="1" x14ac:dyDescent="0.25">
      <c r="A670" s="300">
        <v>663</v>
      </c>
      <c r="B670" s="308">
        <v>890480023</v>
      </c>
      <c r="C670" s="300" t="s">
        <v>1560</v>
      </c>
      <c r="D670" s="300" t="s">
        <v>768</v>
      </c>
      <c r="E670" s="300" t="s">
        <v>759</v>
      </c>
      <c r="F670" s="301" t="s">
        <v>766</v>
      </c>
      <c r="G670" s="309">
        <v>140780221</v>
      </c>
      <c r="H670" s="309">
        <v>19193261</v>
      </c>
      <c r="I670" s="309">
        <v>237368755</v>
      </c>
      <c r="J670" s="309">
        <v>43074631</v>
      </c>
      <c r="K670" s="309">
        <v>194294124</v>
      </c>
      <c r="L670" s="309">
        <v>110104695</v>
      </c>
      <c r="M670" s="309">
        <v>13721644</v>
      </c>
      <c r="N670" s="309">
        <v>192301430</v>
      </c>
      <c r="O670" s="309">
        <v>36046597</v>
      </c>
      <c r="P670" s="309">
        <v>156254833</v>
      </c>
      <c r="Q670" s="303"/>
    </row>
    <row r="671" spans="1:17" s="304" customFormat="1" x14ac:dyDescent="0.25">
      <c r="A671" s="300">
        <v>664</v>
      </c>
      <c r="B671" s="300">
        <v>860521637</v>
      </c>
      <c r="C671" s="300" t="s">
        <v>1561</v>
      </c>
      <c r="D671" s="300" t="s">
        <v>758</v>
      </c>
      <c r="E671" s="300" t="s">
        <v>776</v>
      </c>
      <c r="F671" s="301" t="s">
        <v>764</v>
      </c>
      <c r="G671" s="302">
        <v>140300285</v>
      </c>
      <c r="H671" s="302">
        <v>1195866</v>
      </c>
      <c r="I671" s="302">
        <v>72046704</v>
      </c>
      <c r="J671" s="302">
        <v>61368018</v>
      </c>
      <c r="K671" s="302">
        <v>10678686</v>
      </c>
      <c r="L671" s="302">
        <v>137288332</v>
      </c>
      <c r="M671" s="302">
        <v>251695</v>
      </c>
      <c r="N671" s="302">
        <v>61103523</v>
      </c>
      <c r="O671" s="302">
        <v>51544583</v>
      </c>
      <c r="P671" s="302">
        <v>9558940</v>
      </c>
      <c r="Q671" s="303"/>
    </row>
    <row r="672" spans="1:17" s="304" customFormat="1" x14ac:dyDescent="0.25">
      <c r="A672" s="300">
        <v>665</v>
      </c>
      <c r="B672" s="300">
        <v>800250382</v>
      </c>
      <c r="C672" s="300" t="s">
        <v>1562</v>
      </c>
      <c r="D672" s="300" t="s">
        <v>758</v>
      </c>
      <c r="E672" s="300" t="s">
        <v>863</v>
      </c>
      <c r="F672" s="300" t="s">
        <v>764</v>
      </c>
      <c r="G672" s="302">
        <v>140276477</v>
      </c>
      <c r="H672" s="302">
        <v>8261869</v>
      </c>
      <c r="I672" s="302">
        <v>135380774</v>
      </c>
      <c r="J672" s="302">
        <v>64772516</v>
      </c>
      <c r="K672" s="302">
        <v>70608258</v>
      </c>
      <c r="L672" s="302">
        <v>126664407</v>
      </c>
      <c r="M672" s="302">
        <v>13542080</v>
      </c>
      <c r="N672" s="302">
        <v>134352544</v>
      </c>
      <c r="O672" s="302">
        <v>63184071</v>
      </c>
      <c r="P672" s="302">
        <v>71168473</v>
      </c>
      <c r="Q672" s="303"/>
    </row>
    <row r="673" spans="1:17" s="304" customFormat="1" x14ac:dyDescent="0.25">
      <c r="A673" s="300">
        <v>666</v>
      </c>
      <c r="B673" s="300">
        <v>830098375</v>
      </c>
      <c r="C673" s="300" t="s">
        <v>1563</v>
      </c>
      <c r="D673" s="300" t="s">
        <v>758</v>
      </c>
      <c r="E673" s="300" t="s">
        <v>1564</v>
      </c>
      <c r="F673" s="301" t="s">
        <v>958</v>
      </c>
      <c r="G673" s="302">
        <v>140252663</v>
      </c>
      <c r="H673" s="302">
        <v>6665161</v>
      </c>
      <c r="I673" s="302">
        <v>75075265</v>
      </c>
      <c r="J673" s="302">
        <v>52371905</v>
      </c>
      <c r="K673" s="302">
        <v>22703360</v>
      </c>
      <c r="L673" s="302">
        <v>124171152</v>
      </c>
      <c r="M673" s="302">
        <v>-1264756</v>
      </c>
      <c r="N673" s="302">
        <v>74981619</v>
      </c>
      <c r="O673" s="302">
        <v>58512545</v>
      </c>
      <c r="P673" s="302">
        <v>16469074</v>
      </c>
      <c r="Q673" s="303"/>
    </row>
    <row r="674" spans="1:17" s="304" customFormat="1" x14ac:dyDescent="0.25">
      <c r="A674" s="300">
        <v>667</v>
      </c>
      <c r="B674" s="308">
        <v>890200106</v>
      </c>
      <c r="C674" s="300" t="s">
        <v>1565</v>
      </c>
      <c r="D674" s="300" t="s">
        <v>891</v>
      </c>
      <c r="E674" s="300" t="s">
        <v>759</v>
      </c>
      <c r="F674" s="301" t="s">
        <v>766</v>
      </c>
      <c r="G674" s="302">
        <v>139302951.02761999</v>
      </c>
      <c r="H674" s="302">
        <v>5155158</v>
      </c>
      <c r="I674" s="302">
        <v>173664927.5616</v>
      </c>
      <c r="J674" s="302">
        <v>57098640.052490003</v>
      </c>
      <c r="K674" s="302">
        <v>116566287.83178002</v>
      </c>
      <c r="L674" s="302">
        <v>137662691.30082002</v>
      </c>
      <c r="M674" s="302">
        <v>6908494</v>
      </c>
      <c r="N674" s="302">
        <v>166078949</v>
      </c>
      <c r="O674" s="302">
        <v>56135546.304979995</v>
      </c>
      <c r="P674" s="302">
        <v>109943402</v>
      </c>
      <c r="Q674" s="303"/>
    </row>
    <row r="675" spans="1:17" s="304" customFormat="1" x14ac:dyDescent="0.25">
      <c r="A675" s="300">
        <v>668</v>
      </c>
      <c r="B675" s="300">
        <v>802011109</v>
      </c>
      <c r="C675" s="300" t="s">
        <v>1566</v>
      </c>
      <c r="D675" s="300" t="s">
        <v>768</v>
      </c>
      <c r="E675" s="300" t="s">
        <v>1567</v>
      </c>
      <c r="F675" s="301" t="s">
        <v>779</v>
      </c>
      <c r="G675" s="302">
        <v>139001115</v>
      </c>
      <c r="H675" s="302">
        <v>406105</v>
      </c>
      <c r="I675" s="302">
        <v>93843739</v>
      </c>
      <c r="J675" s="302">
        <v>65857291</v>
      </c>
      <c r="K675" s="302">
        <v>27986448</v>
      </c>
      <c r="L675" s="302">
        <v>127251385</v>
      </c>
      <c r="M675" s="302">
        <v>69974</v>
      </c>
      <c r="N675" s="302">
        <v>78342472</v>
      </c>
      <c r="O675" s="302">
        <v>51573342</v>
      </c>
      <c r="P675" s="302">
        <v>26769130</v>
      </c>
      <c r="Q675" s="303"/>
    </row>
    <row r="676" spans="1:17" s="304" customFormat="1" x14ac:dyDescent="0.25">
      <c r="A676" s="300">
        <v>669</v>
      </c>
      <c r="B676" s="300">
        <v>860001584</v>
      </c>
      <c r="C676" s="300" t="s">
        <v>1568</v>
      </c>
      <c r="D676" s="300" t="s">
        <v>758</v>
      </c>
      <c r="E676" s="300" t="s">
        <v>1355</v>
      </c>
      <c r="F676" s="300" t="s">
        <v>764</v>
      </c>
      <c r="G676" s="302">
        <v>138833300</v>
      </c>
      <c r="H676" s="302">
        <v>4052465</v>
      </c>
      <c r="I676" s="302">
        <v>117354940</v>
      </c>
      <c r="J676" s="302">
        <v>51711172</v>
      </c>
      <c r="K676" s="302">
        <v>65643768</v>
      </c>
      <c r="L676" s="302">
        <v>131600376</v>
      </c>
      <c r="M676" s="302">
        <v>3501933</v>
      </c>
      <c r="N676" s="302">
        <v>112971017</v>
      </c>
      <c r="O676" s="302">
        <v>51379713</v>
      </c>
      <c r="P676" s="302">
        <v>61591304</v>
      </c>
      <c r="Q676" s="303"/>
    </row>
    <row r="677" spans="1:17" s="304" customFormat="1" x14ac:dyDescent="0.25">
      <c r="A677" s="300">
        <v>670</v>
      </c>
      <c r="B677" s="300">
        <v>890306372</v>
      </c>
      <c r="C677" s="300" t="s">
        <v>1569</v>
      </c>
      <c r="D677" s="300" t="s">
        <v>808</v>
      </c>
      <c r="E677" s="300" t="s">
        <v>814</v>
      </c>
      <c r="F677" s="301" t="s">
        <v>764</v>
      </c>
      <c r="G677" s="302">
        <v>138082522</v>
      </c>
      <c r="H677" s="302">
        <v>-678283</v>
      </c>
      <c r="I677" s="302">
        <v>104980312</v>
      </c>
      <c r="J677" s="302">
        <v>85628997</v>
      </c>
      <c r="K677" s="302">
        <v>19351315</v>
      </c>
      <c r="L677" s="302">
        <v>111880027</v>
      </c>
      <c r="M677" s="302">
        <v>-481624</v>
      </c>
      <c r="N677" s="302">
        <v>95919083</v>
      </c>
      <c r="O677" s="302">
        <v>75653107</v>
      </c>
      <c r="P677" s="302">
        <v>20265976</v>
      </c>
      <c r="Q677" s="303"/>
    </row>
    <row r="678" spans="1:17" s="304" customFormat="1" x14ac:dyDescent="0.25">
      <c r="A678" s="300">
        <v>671</v>
      </c>
      <c r="B678" s="300">
        <v>890100783</v>
      </c>
      <c r="C678" s="300" t="s">
        <v>1570</v>
      </c>
      <c r="D678" s="300" t="s">
        <v>768</v>
      </c>
      <c r="E678" s="300" t="s">
        <v>1571</v>
      </c>
      <c r="F678" s="301" t="s">
        <v>779</v>
      </c>
      <c r="G678" s="302">
        <v>137870992</v>
      </c>
      <c r="H678" s="302">
        <v>1061681</v>
      </c>
      <c r="I678" s="302">
        <v>123944664</v>
      </c>
      <c r="J678" s="302">
        <v>56028614</v>
      </c>
      <c r="K678" s="302">
        <v>67916050</v>
      </c>
      <c r="L678" s="302">
        <v>128125805</v>
      </c>
      <c r="M678" s="302">
        <v>785820</v>
      </c>
      <c r="N678" s="302">
        <v>88577738</v>
      </c>
      <c r="O678" s="302">
        <v>28709997</v>
      </c>
      <c r="P678" s="302">
        <v>59867741</v>
      </c>
      <c r="Q678" s="303"/>
    </row>
    <row r="679" spans="1:17" s="304" customFormat="1" x14ac:dyDescent="0.25">
      <c r="A679" s="300">
        <v>672</v>
      </c>
      <c r="B679" s="300">
        <v>811018676</v>
      </c>
      <c r="C679" s="300" t="s">
        <v>1572</v>
      </c>
      <c r="D679" s="300" t="s">
        <v>763</v>
      </c>
      <c r="E679" s="300" t="s">
        <v>1190</v>
      </c>
      <c r="F679" s="301" t="s">
        <v>764</v>
      </c>
      <c r="G679" s="302">
        <v>137613001</v>
      </c>
      <c r="H679" s="302">
        <v>1109484</v>
      </c>
      <c r="I679" s="302">
        <v>114009867</v>
      </c>
      <c r="J679" s="302">
        <v>65867061</v>
      </c>
      <c r="K679" s="302">
        <v>48142806</v>
      </c>
      <c r="L679" s="302">
        <v>123480604</v>
      </c>
      <c r="M679" s="302">
        <v>1826595</v>
      </c>
      <c r="N679" s="302">
        <v>97521276</v>
      </c>
      <c r="O679" s="302">
        <v>72748496</v>
      </c>
      <c r="P679" s="302">
        <v>24772780</v>
      </c>
      <c r="Q679" s="303"/>
    </row>
    <row r="680" spans="1:17" s="304" customFormat="1" x14ac:dyDescent="0.25">
      <c r="A680" s="300">
        <v>673</v>
      </c>
      <c r="B680" s="300">
        <v>830016046</v>
      </c>
      <c r="C680" s="300" t="s">
        <v>1573</v>
      </c>
      <c r="D680" s="300" t="s">
        <v>758</v>
      </c>
      <c r="E680" s="300" t="s">
        <v>781</v>
      </c>
      <c r="F680" s="301" t="s">
        <v>766</v>
      </c>
      <c r="G680" s="302">
        <v>137420015</v>
      </c>
      <c r="H680" s="302">
        <v>-6029489</v>
      </c>
      <c r="I680" s="302">
        <v>295679078</v>
      </c>
      <c r="J680" s="302">
        <v>236722500</v>
      </c>
      <c r="K680" s="302">
        <v>58956578</v>
      </c>
      <c r="L680" s="302">
        <v>120847156</v>
      </c>
      <c r="M680" s="302">
        <v>-5654299</v>
      </c>
      <c r="N680" s="302">
        <v>107156095</v>
      </c>
      <c r="O680" s="302">
        <v>76624134</v>
      </c>
      <c r="P680" s="302">
        <v>30531961</v>
      </c>
      <c r="Q680" s="303"/>
    </row>
    <row r="681" spans="1:17" s="304" customFormat="1" x14ac:dyDescent="0.25">
      <c r="A681" s="300">
        <v>674</v>
      </c>
      <c r="B681" s="300">
        <v>817000823</v>
      </c>
      <c r="C681" s="300" t="s">
        <v>1574</v>
      </c>
      <c r="D681" s="300" t="s">
        <v>808</v>
      </c>
      <c r="E681" s="300" t="s">
        <v>1477</v>
      </c>
      <c r="F681" s="301" t="s">
        <v>779</v>
      </c>
      <c r="G681" s="302">
        <v>137183338</v>
      </c>
      <c r="H681" s="302">
        <v>16302672</v>
      </c>
      <c r="I681" s="302">
        <v>89782750</v>
      </c>
      <c r="J681" s="302">
        <v>20945594</v>
      </c>
      <c r="K681" s="302">
        <v>68837156</v>
      </c>
      <c r="L681" s="302">
        <v>111370408</v>
      </c>
      <c r="M681" s="302">
        <v>14089235</v>
      </c>
      <c r="N681" s="302">
        <v>98430876</v>
      </c>
      <c r="O681" s="302">
        <v>45896393</v>
      </c>
      <c r="P681" s="302">
        <v>52534483</v>
      </c>
      <c r="Q681" s="303"/>
    </row>
    <row r="682" spans="1:17" s="304" customFormat="1" x14ac:dyDescent="0.25">
      <c r="A682" s="300">
        <v>675</v>
      </c>
      <c r="B682" s="300">
        <v>806000179</v>
      </c>
      <c r="C682" s="300" t="s">
        <v>1575</v>
      </c>
      <c r="D682" s="300" t="s">
        <v>768</v>
      </c>
      <c r="E682" s="300" t="s">
        <v>1387</v>
      </c>
      <c r="F682" s="300" t="s">
        <v>766</v>
      </c>
      <c r="G682" s="302">
        <v>136845351</v>
      </c>
      <c r="H682" s="302">
        <v>-1559089</v>
      </c>
      <c r="I682" s="302">
        <v>730606722</v>
      </c>
      <c r="J682" s="302">
        <v>522594288</v>
      </c>
      <c r="K682" s="302">
        <v>208012434</v>
      </c>
      <c r="L682" s="302">
        <v>135256948</v>
      </c>
      <c r="M682" s="302">
        <v>16119546</v>
      </c>
      <c r="N682" s="302">
        <v>645276134</v>
      </c>
      <c r="O682" s="302">
        <v>437673245</v>
      </c>
      <c r="P682" s="302">
        <v>207602889</v>
      </c>
      <c r="Q682" s="303"/>
    </row>
    <row r="683" spans="1:17" s="304" customFormat="1" x14ac:dyDescent="0.25">
      <c r="A683" s="300">
        <v>676</v>
      </c>
      <c r="B683" s="300">
        <v>890100026</v>
      </c>
      <c r="C683" s="300" t="s">
        <v>1576</v>
      </c>
      <c r="D683" s="300" t="s">
        <v>768</v>
      </c>
      <c r="E683" s="300" t="s">
        <v>856</v>
      </c>
      <c r="F683" s="301" t="s">
        <v>779</v>
      </c>
      <c r="G683" s="302">
        <v>136782526</v>
      </c>
      <c r="H683" s="302">
        <v>3411842</v>
      </c>
      <c r="I683" s="302">
        <v>117547605</v>
      </c>
      <c r="J683" s="302">
        <v>30211030</v>
      </c>
      <c r="K683" s="302">
        <v>87336575</v>
      </c>
      <c r="L683" s="302">
        <v>122436888</v>
      </c>
      <c r="M683" s="302">
        <v>4674800</v>
      </c>
      <c r="N683" s="302">
        <v>106531629</v>
      </c>
      <c r="O683" s="302">
        <v>25461428</v>
      </c>
      <c r="P683" s="302">
        <v>81070201</v>
      </c>
      <c r="Q683" s="303"/>
    </row>
    <row r="684" spans="1:17" s="304" customFormat="1" x14ac:dyDescent="0.25">
      <c r="A684" s="300">
        <v>677</v>
      </c>
      <c r="B684" s="300">
        <v>800052534</v>
      </c>
      <c r="C684" s="300" t="s">
        <v>1577</v>
      </c>
      <c r="D684" s="300" t="s">
        <v>758</v>
      </c>
      <c r="E684" s="300" t="s">
        <v>863</v>
      </c>
      <c r="F684" s="301" t="s">
        <v>764</v>
      </c>
      <c r="G684" s="302">
        <v>134245292</v>
      </c>
      <c r="H684" s="302">
        <v>1523515</v>
      </c>
      <c r="I684" s="302">
        <v>47234764</v>
      </c>
      <c r="J684" s="302">
        <v>34258255</v>
      </c>
      <c r="K684" s="302">
        <v>12976509</v>
      </c>
      <c r="L684" s="302">
        <v>150386103</v>
      </c>
      <c r="M684" s="302">
        <v>1306059</v>
      </c>
      <c r="N684" s="302">
        <v>48663404</v>
      </c>
      <c r="O684" s="302">
        <v>38111798</v>
      </c>
      <c r="P684" s="302">
        <v>10551606</v>
      </c>
      <c r="Q684" s="303"/>
    </row>
    <row r="685" spans="1:17" s="304" customFormat="1" x14ac:dyDescent="0.25">
      <c r="A685" s="300">
        <v>678</v>
      </c>
      <c r="B685" s="300">
        <v>860067998</v>
      </c>
      <c r="C685" s="300" t="s">
        <v>1578</v>
      </c>
      <c r="D685" s="300" t="s">
        <v>758</v>
      </c>
      <c r="E685" s="300" t="s">
        <v>949</v>
      </c>
      <c r="F685" s="301" t="s">
        <v>764</v>
      </c>
      <c r="G685" s="302">
        <v>134113038</v>
      </c>
      <c r="H685" s="302">
        <v>553948</v>
      </c>
      <c r="I685" s="302">
        <v>53292126</v>
      </c>
      <c r="J685" s="302">
        <v>28400824</v>
      </c>
      <c r="K685" s="302">
        <v>24891302</v>
      </c>
      <c r="L685" s="302">
        <v>146684106</v>
      </c>
      <c r="M685" s="302">
        <v>3827479</v>
      </c>
      <c r="N685" s="302">
        <v>57613330</v>
      </c>
      <c r="O685" s="302">
        <v>31914342</v>
      </c>
      <c r="P685" s="302">
        <v>25698988</v>
      </c>
      <c r="Q685" s="303"/>
    </row>
    <row r="686" spans="1:17" s="304" customFormat="1" x14ac:dyDescent="0.25">
      <c r="A686" s="300">
        <v>679</v>
      </c>
      <c r="B686" s="300">
        <v>890916883</v>
      </c>
      <c r="C686" s="300" t="s">
        <v>1579</v>
      </c>
      <c r="D686" s="300" t="s">
        <v>763</v>
      </c>
      <c r="E686" s="300" t="s">
        <v>1086</v>
      </c>
      <c r="F686" s="301" t="s">
        <v>766</v>
      </c>
      <c r="G686" s="302">
        <v>133992675</v>
      </c>
      <c r="H686" s="302">
        <v>-107628</v>
      </c>
      <c r="I686" s="302">
        <v>23244655</v>
      </c>
      <c r="J686" s="302">
        <v>9473258</v>
      </c>
      <c r="K686" s="302">
        <v>13771397</v>
      </c>
      <c r="L686" s="302">
        <v>149780315</v>
      </c>
      <c r="M686" s="302">
        <v>2725667</v>
      </c>
      <c r="N686" s="302">
        <v>24745450</v>
      </c>
      <c r="O686" s="302">
        <v>10685416</v>
      </c>
      <c r="P686" s="302">
        <v>14060034</v>
      </c>
      <c r="Q686" s="303"/>
    </row>
    <row r="687" spans="1:17" s="304" customFormat="1" x14ac:dyDescent="0.25">
      <c r="A687" s="300">
        <v>680</v>
      </c>
      <c r="B687" s="300">
        <v>822000851</v>
      </c>
      <c r="C687" s="300" t="s">
        <v>1580</v>
      </c>
      <c r="D687" s="300" t="s">
        <v>1149</v>
      </c>
      <c r="E687" s="300" t="s">
        <v>884</v>
      </c>
      <c r="F687" s="301" t="s">
        <v>764</v>
      </c>
      <c r="G687" s="302">
        <v>133753492</v>
      </c>
      <c r="H687" s="302">
        <v>139531</v>
      </c>
      <c r="I687" s="302">
        <v>21229997</v>
      </c>
      <c r="J687" s="302">
        <v>17371030</v>
      </c>
      <c r="K687" s="302">
        <v>3858967</v>
      </c>
      <c r="L687" s="302">
        <v>137152954</v>
      </c>
      <c r="M687" s="302">
        <v>248231</v>
      </c>
      <c r="N687" s="302">
        <v>16355649</v>
      </c>
      <c r="O687" s="302">
        <v>12432651</v>
      </c>
      <c r="P687" s="302">
        <v>3922998</v>
      </c>
      <c r="Q687" s="303"/>
    </row>
    <row r="688" spans="1:17" s="304" customFormat="1" x14ac:dyDescent="0.25">
      <c r="A688" s="300">
        <v>681</v>
      </c>
      <c r="B688" s="300">
        <v>890900285</v>
      </c>
      <c r="C688" s="300" t="s">
        <v>1581</v>
      </c>
      <c r="D688" s="300" t="s">
        <v>763</v>
      </c>
      <c r="E688" s="300" t="s">
        <v>759</v>
      </c>
      <c r="F688" s="301" t="s">
        <v>779</v>
      </c>
      <c r="G688" s="302">
        <v>133499230</v>
      </c>
      <c r="H688" s="302">
        <v>5093360</v>
      </c>
      <c r="I688" s="302">
        <v>223840710</v>
      </c>
      <c r="J688" s="317">
        <v>58348885</v>
      </c>
      <c r="K688" s="302">
        <v>165491820</v>
      </c>
      <c r="L688" s="302">
        <v>129074424</v>
      </c>
      <c r="M688" s="302">
        <v>5002915</v>
      </c>
      <c r="N688" s="302">
        <v>214412737</v>
      </c>
      <c r="O688" s="302">
        <v>55828052</v>
      </c>
      <c r="P688" s="302">
        <v>158584686</v>
      </c>
      <c r="Q688" s="303"/>
    </row>
    <row r="689" spans="1:17" s="304" customFormat="1" x14ac:dyDescent="0.25">
      <c r="A689" s="300">
        <v>682</v>
      </c>
      <c r="B689" s="300">
        <v>890804199</v>
      </c>
      <c r="C689" s="300" t="s">
        <v>1582</v>
      </c>
      <c r="D689" s="300" t="s">
        <v>758</v>
      </c>
      <c r="E689" s="300" t="s">
        <v>916</v>
      </c>
      <c r="F689" s="301" t="s">
        <v>779</v>
      </c>
      <c r="G689" s="302">
        <v>133307958</v>
      </c>
      <c r="H689" s="302">
        <v>-3858571</v>
      </c>
      <c r="I689" s="302">
        <v>104992740</v>
      </c>
      <c r="J689" s="302">
        <v>61281186</v>
      </c>
      <c r="K689" s="302">
        <v>43711554</v>
      </c>
      <c r="L689" s="302">
        <v>138232565</v>
      </c>
      <c r="M689" s="302">
        <v>-4387545</v>
      </c>
      <c r="N689" s="302">
        <v>110096204</v>
      </c>
      <c r="O689" s="302">
        <v>71033329</v>
      </c>
      <c r="P689" s="302">
        <v>39062875</v>
      </c>
      <c r="Q689" s="303"/>
    </row>
    <row r="690" spans="1:17" s="304" customFormat="1" x14ac:dyDescent="0.25">
      <c r="A690" s="300">
        <v>683</v>
      </c>
      <c r="B690" s="300">
        <v>890916575</v>
      </c>
      <c r="C690" s="300" t="s">
        <v>1583</v>
      </c>
      <c r="D690" s="300" t="s">
        <v>763</v>
      </c>
      <c r="E690" s="300" t="s">
        <v>1270</v>
      </c>
      <c r="F690" s="301" t="s">
        <v>764</v>
      </c>
      <c r="G690" s="302">
        <v>133188595</v>
      </c>
      <c r="H690" s="302">
        <v>273929</v>
      </c>
      <c r="I690" s="302">
        <v>133716004</v>
      </c>
      <c r="J690" s="302">
        <v>115637131</v>
      </c>
      <c r="K690" s="302">
        <v>18078873</v>
      </c>
      <c r="L690" s="302">
        <v>113450191</v>
      </c>
      <c r="M690" s="302">
        <v>1889874</v>
      </c>
      <c r="N690" s="302">
        <v>107604812</v>
      </c>
      <c r="O690" s="302">
        <v>89440089</v>
      </c>
      <c r="P690" s="302">
        <v>18164723</v>
      </c>
      <c r="Q690" s="303"/>
    </row>
    <row r="691" spans="1:17" s="304" customFormat="1" x14ac:dyDescent="0.25">
      <c r="A691" s="300">
        <v>684</v>
      </c>
      <c r="B691" s="300">
        <v>830080718</v>
      </c>
      <c r="C691" s="300" t="s">
        <v>1584</v>
      </c>
      <c r="D691" s="300" t="s">
        <v>758</v>
      </c>
      <c r="E691" s="300" t="s">
        <v>759</v>
      </c>
      <c r="F691" s="301" t="s">
        <v>766</v>
      </c>
      <c r="G691" s="302">
        <v>133115060</v>
      </c>
      <c r="H691" s="302">
        <v>119003480</v>
      </c>
      <c r="I691" s="302">
        <v>1653199290</v>
      </c>
      <c r="J691" s="302">
        <v>180086120</v>
      </c>
      <c r="K691" s="302">
        <v>1473113160</v>
      </c>
      <c r="L691" s="302">
        <v>108025965</v>
      </c>
      <c r="M691" s="302">
        <v>89936875</v>
      </c>
      <c r="N691" s="302">
        <v>1446016420</v>
      </c>
      <c r="O691" s="302">
        <v>185314792</v>
      </c>
      <c r="P691" s="302">
        <v>1260701629</v>
      </c>
      <c r="Q691" s="303"/>
    </row>
    <row r="692" spans="1:17" s="304" customFormat="1" x14ac:dyDescent="0.25">
      <c r="A692" s="300">
        <v>685</v>
      </c>
      <c r="B692" s="300">
        <v>830047312</v>
      </c>
      <c r="C692" s="300" t="s">
        <v>1585</v>
      </c>
      <c r="D692" s="300" t="s">
        <v>758</v>
      </c>
      <c r="E692" s="300" t="s">
        <v>1586</v>
      </c>
      <c r="F692" s="301" t="s">
        <v>764</v>
      </c>
      <c r="G692" s="302">
        <v>133106842</v>
      </c>
      <c r="H692" s="302">
        <v>4492213</v>
      </c>
      <c r="I692" s="302">
        <v>133511483</v>
      </c>
      <c r="J692" s="302">
        <v>100224500</v>
      </c>
      <c r="K692" s="302">
        <v>33286983</v>
      </c>
      <c r="L692" s="302">
        <v>104307697</v>
      </c>
      <c r="M692" s="302">
        <v>11084851</v>
      </c>
      <c r="N692" s="302">
        <v>99093884</v>
      </c>
      <c r="O692" s="302">
        <v>65608275</v>
      </c>
      <c r="P692" s="302">
        <v>33485609</v>
      </c>
      <c r="Q692" s="303"/>
    </row>
    <row r="693" spans="1:17" s="304" customFormat="1" x14ac:dyDescent="0.25">
      <c r="A693" s="300">
        <v>686</v>
      </c>
      <c r="B693" s="300">
        <v>800186284</v>
      </c>
      <c r="C693" s="300" t="s">
        <v>1587</v>
      </c>
      <c r="D693" s="300" t="s">
        <v>768</v>
      </c>
      <c r="E693" s="300" t="s">
        <v>1588</v>
      </c>
      <c r="F693" s="301" t="s">
        <v>766</v>
      </c>
      <c r="G693" s="302">
        <v>132798346</v>
      </c>
      <c r="H693" s="302">
        <v>16344198</v>
      </c>
      <c r="I693" s="302">
        <v>165201363</v>
      </c>
      <c r="J693" s="302">
        <v>115772454</v>
      </c>
      <c r="K693" s="302">
        <v>49428909</v>
      </c>
      <c r="L693" s="302">
        <v>58159838</v>
      </c>
      <c r="M693" s="302">
        <v>9913291</v>
      </c>
      <c r="N693" s="302">
        <v>160943576</v>
      </c>
      <c r="O693" s="302">
        <v>127646807</v>
      </c>
      <c r="P693" s="302">
        <v>33296769</v>
      </c>
      <c r="Q693" s="303"/>
    </row>
    <row r="694" spans="1:17" s="304" customFormat="1" x14ac:dyDescent="0.25">
      <c r="A694" s="300">
        <v>687</v>
      </c>
      <c r="B694" s="300">
        <v>900026265</v>
      </c>
      <c r="C694" s="300" t="s">
        <v>1589</v>
      </c>
      <c r="D694" s="300" t="s">
        <v>768</v>
      </c>
      <c r="E694" s="300" t="s">
        <v>1590</v>
      </c>
      <c r="F694" s="301" t="s">
        <v>958</v>
      </c>
      <c r="G694" s="302">
        <v>132727128</v>
      </c>
      <c r="H694" s="302">
        <v>90847</v>
      </c>
      <c r="I694" s="302">
        <v>105345939</v>
      </c>
      <c r="J694" s="302">
        <v>104793339</v>
      </c>
      <c r="K694" s="302">
        <v>552600</v>
      </c>
      <c r="L694" s="302">
        <v>117747544</v>
      </c>
      <c r="M694" s="302">
        <v>10502</v>
      </c>
      <c r="N694" s="302">
        <v>91810068</v>
      </c>
      <c r="O694" s="302">
        <v>91224442</v>
      </c>
      <c r="P694" s="302">
        <v>585626</v>
      </c>
      <c r="Q694" s="303"/>
    </row>
    <row r="695" spans="1:17" s="304" customFormat="1" x14ac:dyDescent="0.25">
      <c r="A695" s="300">
        <v>688</v>
      </c>
      <c r="B695" s="300">
        <v>830022462</v>
      </c>
      <c r="C695" s="300" t="s">
        <v>1591</v>
      </c>
      <c r="D695" s="300" t="s">
        <v>758</v>
      </c>
      <c r="E695" s="300" t="s">
        <v>961</v>
      </c>
      <c r="F695" s="301" t="s">
        <v>779</v>
      </c>
      <c r="G695" s="302">
        <v>132628755</v>
      </c>
      <c r="H695" s="302">
        <v>11629786</v>
      </c>
      <c r="I695" s="302">
        <v>110238108</v>
      </c>
      <c r="J695" s="302">
        <v>46213027</v>
      </c>
      <c r="K695" s="302">
        <v>64025081</v>
      </c>
      <c r="L695" s="302">
        <v>136106765</v>
      </c>
      <c r="M695" s="302">
        <v>5631862</v>
      </c>
      <c r="N695" s="302">
        <v>88940642</v>
      </c>
      <c r="O695" s="302">
        <v>36545347</v>
      </c>
      <c r="P695" s="302">
        <v>52395295</v>
      </c>
      <c r="Q695" s="303"/>
    </row>
    <row r="696" spans="1:17" s="304" customFormat="1" x14ac:dyDescent="0.25">
      <c r="A696" s="300">
        <v>689</v>
      </c>
      <c r="B696" s="300">
        <v>830050228</v>
      </c>
      <c r="C696" s="300" t="s">
        <v>1592</v>
      </c>
      <c r="D696" s="300" t="s">
        <v>758</v>
      </c>
      <c r="E696" s="300" t="s">
        <v>1593</v>
      </c>
      <c r="F696" s="301" t="s">
        <v>766</v>
      </c>
      <c r="G696" s="302">
        <v>132162967</v>
      </c>
      <c r="H696" s="302">
        <v>5218271</v>
      </c>
      <c r="I696" s="302">
        <v>33767096</v>
      </c>
      <c r="J696" s="302">
        <v>17383313</v>
      </c>
      <c r="K696" s="302">
        <v>16383783</v>
      </c>
      <c r="L696" s="302">
        <v>128059472</v>
      </c>
      <c r="M696" s="302">
        <v>6093426</v>
      </c>
      <c r="N696" s="302">
        <v>30087691</v>
      </c>
      <c r="O696" s="302">
        <v>18839835</v>
      </c>
      <c r="P696" s="302">
        <v>11247856</v>
      </c>
      <c r="Q696" s="303"/>
    </row>
    <row r="697" spans="1:17" s="304" customFormat="1" x14ac:dyDescent="0.25">
      <c r="A697" s="300">
        <v>690</v>
      </c>
      <c r="B697" s="300">
        <v>800212840</v>
      </c>
      <c r="C697" s="300" t="s">
        <v>1594</v>
      </c>
      <c r="D697" s="300" t="s">
        <v>758</v>
      </c>
      <c r="E697" s="300" t="s">
        <v>863</v>
      </c>
      <c r="F697" s="300" t="s">
        <v>764</v>
      </c>
      <c r="G697" s="302">
        <v>132149186</v>
      </c>
      <c r="H697" s="302">
        <v>6696457</v>
      </c>
      <c r="I697" s="302">
        <v>227369773</v>
      </c>
      <c r="J697" s="302">
        <v>206210804</v>
      </c>
      <c r="K697" s="302">
        <v>21158969</v>
      </c>
      <c r="L697" s="302">
        <v>125703593</v>
      </c>
      <c r="M697" s="302">
        <v>4382593</v>
      </c>
      <c r="N697" s="302">
        <v>46697076</v>
      </c>
      <c r="O697" s="302">
        <v>29812531</v>
      </c>
      <c r="P697" s="302">
        <v>16884545</v>
      </c>
      <c r="Q697" s="303"/>
    </row>
    <row r="698" spans="1:17" s="304" customFormat="1" x14ac:dyDescent="0.25">
      <c r="A698" s="300">
        <v>691</v>
      </c>
      <c r="B698" s="300">
        <v>890906752</v>
      </c>
      <c r="C698" s="300" t="s">
        <v>1595</v>
      </c>
      <c r="D698" s="300" t="s">
        <v>763</v>
      </c>
      <c r="E698" s="300" t="s">
        <v>1062</v>
      </c>
      <c r="F698" s="301" t="s">
        <v>779</v>
      </c>
      <c r="G698" s="302">
        <v>131423805</v>
      </c>
      <c r="H698" s="302">
        <v>1344055</v>
      </c>
      <c r="I698" s="302">
        <v>189080727</v>
      </c>
      <c r="J698" s="302">
        <v>51550796</v>
      </c>
      <c r="K698" s="302">
        <v>137529931</v>
      </c>
      <c r="L698" s="302">
        <v>179035766</v>
      </c>
      <c r="M698" s="302">
        <v>5817561</v>
      </c>
      <c r="N698" s="302">
        <v>192299079</v>
      </c>
      <c r="O698" s="302">
        <v>52440611</v>
      </c>
      <c r="P698" s="302">
        <v>139858468</v>
      </c>
      <c r="Q698" s="303"/>
    </row>
    <row r="699" spans="1:17" s="304" customFormat="1" x14ac:dyDescent="0.25">
      <c r="A699" s="300">
        <v>692</v>
      </c>
      <c r="B699" s="300">
        <v>800067861</v>
      </c>
      <c r="C699" s="300" t="s">
        <v>1596</v>
      </c>
      <c r="D699" s="300" t="s">
        <v>758</v>
      </c>
      <c r="E699" s="300" t="s">
        <v>1065</v>
      </c>
      <c r="F699" s="301" t="s">
        <v>766</v>
      </c>
      <c r="G699" s="302">
        <v>131203750</v>
      </c>
      <c r="H699" s="302">
        <v>14742664</v>
      </c>
      <c r="I699" s="302">
        <v>314840603</v>
      </c>
      <c r="J699" s="302">
        <v>148574162</v>
      </c>
      <c r="K699" s="302">
        <v>166266441</v>
      </c>
      <c r="L699" s="302">
        <v>111785417</v>
      </c>
      <c r="M699" s="302">
        <v>16647641</v>
      </c>
      <c r="N699" s="302">
        <v>301835550</v>
      </c>
      <c r="O699" s="302">
        <v>139378473</v>
      </c>
      <c r="P699" s="302">
        <v>162457077</v>
      </c>
      <c r="Q699" s="303"/>
    </row>
    <row r="700" spans="1:17" s="304" customFormat="1" x14ac:dyDescent="0.25">
      <c r="A700" s="300">
        <v>693</v>
      </c>
      <c r="B700" s="300">
        <v>800136105</v>
      </c>
      <c r="C700" s="300" t="s">
        <v>1597</v>
      </c>
      <c r="D700" s="300" t="s">
        <v>758</v>
      </c>
      <c r="E700" s="300" t="s">
        <v>1086</v>
      </c>
      <c r="F700" s="301" t="s">
        <v>766</v>
      </c>
      <c r="G700" s="302">
        <v>130063795</v>
      </c>
      <c r="H700" s="302">
        <v>1065349</v>
      </c>
      <c r="I700" s="302">
        <v>17981278</v>
      </c>
      <c r="J700" s="302">
        <v>10615524</v>
      </c>
      <c r="K700" s="302">
        <v>7365754</v>
      </c>
      <c r="L700" s="302">
        <v>108456475</v>
      </c>
      <c r="M700" s="302">
        <v>584010</v>
      </c>
      <c r="N700" s="302">
        <v>16280194</v>
      </c>
      <c r="O700" s="302">
        <v>9361308</v>
      </c>
      <c r="P700" s="302">
        <v>6918886</v>
      </c>
      <c r="Q700" s="303"/>
    </row>
    <row r="701" spans="1:17" s="304" customFormat="1" x14ac:dyDescent="0.25">
      <c r="A701" s="300">
        <v>694</v>
      </c>
      <c r="B701" s="300">
        <v>800199453</v>
      </c>
      <c r="C701" s="300" t="s">
        <v>1598</v>
      </c>
      <c r="D701" s="300" t="s">
        <v>758</v>
      </c>
      <c r="E701" s="300" t="s">
        <v>1086</v>
      </c>
      <c r="F701" s="301" t="s">
        <v>766</v>
      </c>
      <c r="G701" s="302">
        <v>129780994</v>
      </c>
      <c r="H701" s="302">
        <v>1634027</v>
      </c>
      <c r="I701" s="302">
        <v>14962508</v>
      </c>
      <c r="J701" s="302">
        <v>8966698</v>
      </c>
      <c r="K701" s="302">
        <v>5995810</v>
      </c>
      <c r="L701" s="302">
        <v>127894046</v>
      </c>
      <c r="M701" s="302">
        <v>1462691</v>
      </c>
      <c r="N701" s="302">
        <v>16840987</v>
      </c>
      <c r="O701" s="302">
        <v>12379878</v>
      </c>
      <c r="P701" s="302">
        <v>4461109</v>
      </c>
      <c r="Q701" s="303"/>
    </row>
    <row r="702" spans="1:17" s="304" customFormat="1" x14ac:dyDescent="0.25">
      <c r="A702" s="300">
        <v>695</v>
      </c>
      <c r="B702" s="300">
        <v>890205952</v>
      </c>
      <c r="C702" s="300" t="s">
        <v>1599</v>
      </c>
      <c r="D702" s="300" t="s">
        <v>891</v>
      </c>
      <c r="E702" s="300" t="s">
        <v>759</v>
      </c>
      <c r="F702" s="301" t="s">
        <v>766</v>
      </c>
      <c r="G702" s="302">
        <v>129579005.67900001</v>
      </c>
      <c r="H702" s="302">
        <v>18867899.568999998</v>
      </c>
      <c r="I702" s="302">
        <v>247014089.76899999</v>
      </c>
      <c r="J702" s="302">
        <v>67237506.946999997</v>
      </c>
      <c r="K702" s="302">
        <v>179776582.822</v>
      </c>
      <c r="L702" s="302">
        <v>135088731.38600001</v>
      </c>
      <c r="M702" s="302">
        <v>24157447.204999998</v>
      </c>
      <c r="N702" s="302">
        <v>254490427.516</v>
      </c>
      <c r="O702" s="302">
        <v>62599578.119999997</v>
      </c>
      <c r="P702" s="302">
        <v>191890849.396</v>
      </c>
      <c r="Q702" s="303"/>
    </row>
    <row r="703" spans="1:17" s="304" customFormat="1" x14ac:dyDescent="0.25">
      <c r="A703" s="300">
        <v>696</v>
      </c>
      <c r="B703" s="300">
        <v>830060026</v>
      </c>
      <c r="C703" s="300" t="s">
        <v>1600</v>
      </c>
      <c r="D703" s="300" t="s">
        <v>758</v>
      </c>
      <c r="E703" s="300" t="s">
        <v>1086</v>
      </c>
      <c r="F703" s="301" t="s">
        <v>766</v>
      </c>
      <c r="G703" s="302">
        <v>129578504</v>
      </c>
      <c r="H703" s="302">
        <v>2347716</v>
      </c>
      <c r="I703" s="302">
        <v>19144153</v>
      </c>
      <c r="J703" s="302">
        <v>13380992</v>
      </c>
      <c r="K703" s="302">
        <v>5763161</v>
      </c>
      <c r="L703" s="302">
        <v>97282357</v>
      </c>
      <c r="M703" s="302">
        <v>1853641</v>
      </c>
      <c r="N703" s="302">
        <v>16136054</v>
      </c>
      <c r="O703" s="302">
        <v>12720613</v>
      </c>
      <c r="P703" s="302">
        <v>3415441</v>
      </c>
      <c r="Q703" s="303"/>
    </row>
    <row r="704" spans="1:17" s="304" customFormat="1" x14ac:dyDescent="0.25">
      <c r="A704" s="300">
        <v>697</v>
      </c>
      <c r="B704" s="300">
        <v>800175457</v>
      </c>
      <c r="C704" s="300" t="s">
        <v>1601</v>
      </c>
      <c r="D704" s="300" t="s">
        <v>758</v>
      </c>
      <c r="E704" s="300" t="s">
        <v>1155</v>
      </c>
      <c r="F704" s="301" t="s">
        <v>779</v>
      </c>
      <c r="G704" s="302">
        <v>129487143</v>
      </c>
      <c r="H704" s="302">
        <v>3285605</v>
      </c>
      <c r="I704" s="302">
        <v>268860486</v>
      </c>
      <c r="J704" s="302">
        <v>34257943</v>
      </c>
      <c r="K704" s="302">
        <v>234602543</v>
      </c>
      <c r="L704" s="302">
        <v>124598620</v>
      </c>
      <c r="M704" s="302">
        <v>5393631</v>
      </c>
      <c r="N704" s="302">
        <v>271141740</v>
      </c>
      <c r="O704" s="302">
        <v>40296694</v>
      </c>
      <c r="P704" s="302">
        <v>230845046</v>
      </c>
      <c r="Q704" s="303"/>
    </row>
    <row r="705" spans="1:17" s="304" customFormat="1" x14ac:dyDescent="0.25">
      <c r="A705" s="300">
        <v>698</v>
      </c>
      <c r="B705" s="300">
        <v>830052861</v>
      </c>
      <c r="C705" s="300" t="s">
        <v>1602</v>
      </c>
      <c r="D705" s="300" t="s">
        <v>758</v>
      </c>
      <c r="E705" s="300" t="s">
        <v>949</v>
      </c>
      <c r="F705" s="301" t="s">
        <v>764</v>
      </c>
      <c r="G705" s="302">
        <v>129376148</v>
      </c>
      <c r="H705" s="302">
        <v>8213784</v>
      </c>
      <c r="I705" s="302">
        <v>108475184</v>
      </c>
      <c r="J705" s="302">
        <v>74936243</v>
      </c>
      <c r="K705" s="302">
        <v>33538941</v>
      </c>
      <c r="L705" s="302">
        <v>78016623</v>
      </c>
      <c r="M705" s="302">
        <v>3645390</v>
      </c>
      <c r="N705" s="302">
        <v>92248310</v>
      </c>
      <c r="O705" s="302">
        <v>67691176</v>
      </c>
      <c r="P705" s="302">
        <v>24557134</v>
      </c>
      <c r="Q705" s="303"/>
    </row>
    <row r="706" spans="1:17" s="304" customFormat="1" x14ac:dyDescent="0.25">
      <c r="A706" s="300">
        <v>699</v>
      </c>
      <c r="B706" s="300">
        <v>890207037</v>
      </c>
      <c r="C706" s="300" t="s">
        <v>1603</v>
      </c>
      <c r="D706" s="300" t="s">
        <v>891</v>
      </c>
      <c r="E706" s="300" t="s">
        <v>1604</v>
      </c>
      <c r="F706" s="301" t="s">
        <v>958</v>
      </c>
      <c r="G706" s="302">
        <v>128565510</v>
      </c>
      <c r="H706" s="302">
        <v>262820</v>
      </c>
      <c r="I706" s="302">
        <v>366425442</v>
      </c>
      <c r="J706" s="302">
        <v>235177644</v>
      </c>
      <c r="K706" s="302">
        <v>131247798</v>
      </c>
      <c r="L706" s="302">
        <v>114033383</v>
      </c>
      <c r="M706" s="302">
        <v>521274</v>
      </c>
      <c r="N706" s="302">
        <v>289847989</v>
      </c>
      <c r="O706" s="302">
        <v>183901487</v>
      </c>
      <c r="P706" s="302">
        <v>105946502</v>
      </c>
      <c r="Q706" s="303"/>
    </row>
    <row r="707" spans="1:17" s="304" customFormat="1" x14ac:dyDescent="0.25">
      <c r="A707" s="300">
        <v>700</v>
      </c>
      <c r="B707" s="300">
        <v>830083392</v>
      </c>
      <c r="C707" s="300" t="s">
        <v>1605</v>
      </c>
      <c r="D707" s="300" t="s">
        <v>758</v>
      </c>
      <c r="E707" s="300" t="s">
        <v>1472</v>
      </c>
      <c r="F707" s="300" t="s">
        <v>779</v>
      </c>
      <c r="G707" s="302">
        <v>128272488</v>
      </c>
      <c r="H707" s="302">
        <v>177846</v>
      </c>
      <c r="I707" s="302">
        <v>140539080</v>
      </c>
      <c r="J707" s="302">
        <v>96783337</v>
      </c>
      <c r="K707" s="302">
        <v>43755743</v>
      </c>
      <c r="L707" s="302">
        <v>118265863</v>
      </c>
      <c r="M707" s="302">
        <v>822838</v>
      </c>
      <c r="N707" s="302">
        <v>124532322</v>
      </c>
      <c r="O707" s="302">
        <v>84425335</v>
      </c>
      <c r="P707" s="302">
        <v>40106987</v>
      </c>
      <c r="Q707" s="303"/>
    </row>
    <row r="708" spans="1:17" s="304" customFormat="1" x14ac:dyDescent="0.25">
      <c r="A708" s="300">
        <v>701</v>
      </c>
      <c r="B708" s="300">
        <v>890903711</v>
      </c>
      <c r="C708" s="300" t="s">
        <v>1606</v>
      </c>
      <c r="D708" s="300" t="s">
        <v>758</v>
      </c>
      <c r="E708" s="300" t="s">
        <v>853</v>
      </c>
      <c r="F708" s="301" t="s">
        <v>779</v>
      </c>
      <c r="G708" s="302">
        <v>127827277</v>
      </c>
      <c r="H708" s="302">
        <v>2442530</v>
      </c>
      <c r="I708" s="302">
        <v>137571594</v>
      </c>
      <c r="J708" s="302">
        <v>18853620</v>
      </c>
      <c r="K708" s="302">
        <v>118717974</v>
      </c>
      <c r="L708" s="302">
        <v>145155141</v>
      </c>
      <c r="M708" s="302">
        <v>2457330</v>
      </c>
      <c r="N708" s="302">
        <v>138300278</v>
      </c>
      <c r="O708" s="302">
        <v>25368597</v>
      </c>
      <c r="P708" s="302">
        <v>112931681</v>
      </c>
      <c r="Q708" s="303"/>
    </row>
    <row r="709" spans="1:17" s="304" customFormat="1" x14ac:dyDescent="0.25">
      <c r="A709" s="300">
        <v>702</v>
      </c>
      <c r="B709" s="300">
        <v>891500231</v>
      </c>
      <c r="C709" s="300" t="s">
        <v>1607</v>
      </c>
      <c r="D709" s="300" t="s">
        <v>808</v>
      </c>
      <c r="E709" s="300" t="s">
        <v>759</v>
      </c>
      <c r="F709" s="301" t="s">
        <v>779</v>
      </c>
      <c r="G709" s="302">
        <v>127753157.485</v>
      </c>
      <c r="H709" s="302">
        <v>765401.25699999998</v>
      </c>
      <c r="I709" s="302">
        <v>26981044.412</v>
      </c>
      <c r="J709" s="302">
        <v>6431914.5719999997</v>
      </c>
      <c r="K709" s="302">
        <v>20549129.84</v>
      </c>
      <c r="L709" s="302">
        <v>99046233.935000002</v>
      </c>
      <c r="M709" s="302">
        <v>725445.52</v>
      </c>
      <c r="N709" s="302">
        <v>26425681.688999999</v>
      </c>
      <c r="O709" s="302">
        <v>6684072.5839999998</v>
      </c>
      <c r="P709" s="302">
        <v>19741609.105</v>
      </c>
      <c r="Q709" s="303"/>
    </row>
    <row r="710" spans="1:17" s="304" customFormat="1" x14ac:dyDescent="0.25">
      <c r="A710" s="300">
        <v>703</v>
      </c>
      <c r="B710" s="300">
        <v>860068255</v>
      </c>
      <c r="C710" s="300" t="s">
        <v>1608</v>
      </c>
      <c r="D710" s="300" t="s">
        <v>758</v>
      </c>
      <c r="E710" s="300" t="s">
        <v>1065</v>
      </c>
      <c r="F710" s="301" t="s">
        <v>766</v>
      </c>
      <c r="G710" s="302">
        <v>127731420</v>
      </c>
      <c r="H710" s="302">
        <v>380965</v>
      </c>
      <c r="I710" s="302">
        <v>62001013</v>
      </c>
      <c r="J710" s="302">
        <v>43310896</v>
      </c>
      <c r="K710" s="302">
        <v>18690117</v>
      </c>
      <c r="L710" s="302">
        <v>154867865</v>
      </c>
      <c r="M710" s="302">
        <v>442328</v>
      </c>
      <c r="N710" s="302">
        <v>60446372</v>
      </c>
      <c r="O710" s="302">
        <v>42060516</v>
      </c>
      <c r="P710" s="302">
        <v>18385856</v>
      </c>
      <c r="Q710" s="303"/>
    </row>
    <row r="711" spans="1:17" s="304" customFormat="1" x14ac:dyDescent="0.25">
      <c r="A711" s="300">
        <v>704</v>
      </c>
      <c r="B711" s="300">
        <v>890110964</v>
      </c>
      <c r="C711" s="300" t="s">
        <v>1609</v>
      </c>
      <c r="D711" s="300" t="s">
        <v>808</v>
      </c>
      <c r="E711" s="300" t="s">
        <v>853</v>
      </c>
      <c r="F711" s="301" t="s">
        <v>779</v>
      </c>
      <c r="G711" s="302">
        <v>127716880</v>
      </c>
      <c r="H711" s="302">
        <v>1085184</v>
      </c>
      <c r="I711" s="302">
        <v>67452558</v>
      </c>
      <c r="J711" s="302">
        <v>21225714</v>
      </c>
      <c r="K711" s="302">
        <v>46226844</v>
      </c>
      <c r="L711" s="302">
        <v>138796709</v>
      </c>
      <c r="M711" s="302">
        <v>480005</v>
      </c>
      <c r="N711" s="302">
        <v>71292131</v>
      </c>
      <c r="O711" s="302">
        <v>25299580</v>
      </c>
      <c r="P711" s="302">
        <v>45992551</v>
      </c>
      <c r="Q711" s="303"/>
    </row>
    <row r="712" spans="1:17" s="304" customFormat="1" x14ac:dyDescent="0.25">
      <c r="A712" s="300">
        <v>705</v>
      </c>
      <c r="B712" s="300">
        <v>830109806</v>
      </c>
      <c r="C712" s="300" t="s">
        <v>1610</v>
      </c>
      <c r="D712" s="300" t="s">
        <v>758</v>
      </c>
      <c r="E712" s="300" t="s">
        <v>1586</v>
      </c>
      <c r="F712" s="301" t="s">
        <v>764</v>
      </c>
      <c r="G712" s="302">
        <v>127493610</v>
      </c>
      <c r="H712" s="302">
        <v>3291897</v>
      </c>
      <c r="I712" s="302">
        <v>148698430</v>
      </c>
      <c r="J712" s="302">
        <v>58401414</v>
      </c>
      <c r="K712" s="302">
        <v>90297016</v>
      </c>
      <c r="L712" s="302">
        <v>117173809</v>
      </c>
      <c r="M712" s="302">
        <v>8736594</v>
      </c>
      <c r="N712" s="302">
        <v>117194810</v>
      </c>
      <c r="O712" s="302">
        <v>29194691</v>
      </c>
      <c r="P712" s="302">
        <v>88000119</v>
      </c>
      <c r="Q712" s="303"/>
    </row>
    <row r="713" spans="1:17" s="304" customFormat="1" x14ac:dyDescent="0.25">
      <c r="A713" s="300">
        <v>706</v>
      </c>
      <c r="B713" s="300">
        <v>800165377</v>
      </c>
      <c r="C713" s="300" t="s">
        <v>1611</v>
      </c>
      <c r="D713" s="300" t="s">
        <v>808</v>
      </c>
      <c r="E713" s="300" t="s">
        <v>949</v>
      </c>
      <c r="F713" s="301" t="s">
        <v>764</v>
      </c>
      <c r="G713" s="302">
        <v>127201654</v>
      </c>
      <c r="H713" s="302">
        <v>3961177</v>
      </c>
      <c r="I713" s="302">
        <v>67390139</v>
      </c>
      <c r="J713" s="302">
        <v>50132689</v>
      </c>
      <c r="K713" s="302">
        <v>17257450</v>
      </c>
      <c r="L713" s="302">
        <v>115588848</v>
      </c>
      <c r="M713" s="302">
        <v>3567320</v>
      </c>
      <c r="N713" s="302">
        <v>54715976</v>
      </c>
      <c r="O713" s="302">
        <v>40310616</v>
      </c>
      <c r="P713" s="302">
        <v>14405360</v>
      </c>
      <c r="Q713" s="303"/>
    </row>
    <row r="714" spans="1:17" s="304" customFormat="1" x14ac:dyDescent="0.25">
      <c r="A714" s="300">
        <v>707</v>
      </c>
      <c r="B714" s="300">
        <v>830011743</v>
      </c>
      <c r="C714" s="300" t="s">
        <v>1612</v>
      </c>
      <c r="D714" s="300" t="s">
        <v>758</v>
      </c>
      <c r="E714" s="300" t="s">
        <v>786</v>
      </c>
      <c r="F714" s="301" t="s">
        <v>764</v>
      </c>
      <c r="G714" s="302">
        <v>127032741</v>
      </c>
      <c r="H714" s="302">
        <v>1019891</v>
      </c>
      <c r="I714" s="302">
        <v>21098954</v>
      </c>
      <c r="J714" s="302">
        <v>12915385</v>
      </c>
      <c r="K714" s="302">
        <v>8183569</v>
      </c>
      <c r="L714" s="302">
        <v>113981878</v>
      </c>
      <c r="M714" s="302">
        <v>811666</v>
      </c>
      <c r="N714" s="302">
        <v>17170352</v>
      </c>
      <c r="O714" s="302">
        <v>13578590</v>
      </c>
      <c r="P714" s="302">
        <v>3591762</v>
      </c>
      <c r="Q714" s="303"/>
    </row>
    <row r="715" spans="1:17" s="304" customFormat="1" x14ac:dyDescent="0.25">
      <c r="A715" s="312">
        <v>708</v>
      </c>
      <c r="B715" s="312">
        <v>804000752</v>
      </c>
      <c r="C715" s="312" t="s">
        <v>1613</v>
      </c>
      <c r="D715" s="312" t="s">
        <v>891</v>
      </c>
      <c r="E715" s="312" t="s">
        <v>876</v>
      </c>
      <c r="F715" s="313" t="s">
        <v>877</v>
      </c>
      <c r="G715" s="314">
        <v>126638903</v>
      </c>
      <c r="H715" s="314">
        <v>1105886</v>
      </c>
      <c r="I715" s="314">
        <v>215590903</v>
      </c>
      <c r="J715" s="314">
        <v>107622595</v>
      </c>
      <c r="K715" s="314">
        <v>107968308</v>
      </c>
      <c r="L715" s="314">
        <v>128794852</v>
      </c>
      <c r="M715" s="314">
        <v>2081187</v>
      </c>
      <c r="N715" s="314">
        <v>187755752</v>
      </c>
      <c r="O715" s="314">
        <v>88769871</v>
      </c>
      <c r="P715" s="314">
        <v>98985881</v>
      </c>
      <c r="Q715" s="303"/>
    </row>
    <row r="716" spans="1:17" s="304" customFormat="1" x14ac:dyDescent="0.25">
      <c r="A716" s="300">
        <v>709</v>
      </c>
      <c r="B716" s="300">
        <v>860025639</v>
      </c>
      <c r="C716" s="300" t="s">
        <v>1614</v>
      </c>
      <c r="D716" s="300" t="s">
        <v>758</v>
      </c>
      <c r="E716" s="300" t="s">
        <v>776</v>
      </c>
      <c r="F716" s="301" t="s">
        <v>764</v>
      </c>
      <c r="G716" s="302">
        <v>126572041</v>
      </c>
      <c r="H716" s="302">
        <v>9974194</v>
      </c>
      <c r="I716" s="302">
        <v>119825322</v>
      </c>
      <c r="J716" s="302">
        <v>48293721</v>
      </c>
      <c r="K716" s="302">
        <v>71531601</v>
      </c>
      <c r="L716" s="302">
        <v>109722050</v>
      </c>
      <c r="M716" s="302">
        <v>10022010</v>
      </c>
      <c r="N716" s="302">
        <v>115405806</v>
      </c>
      <c r="O716" s="302">
        <v>44153120</v>
      </c>
      <c r="P716" s="302">
        <v>71252686</v>
      </c>
      <c r="Q716" s="303"/>
    </row>
    <row r="717" spans="1:17" s="304" customFormat="1" x14ac:dyDescent="0.25">
      <c r="A717" s="300">
        <v>710</v>
      </c>
      <c r="B717" s="308">
        <v>890101994</v>
      </c>
      <c r="C717" s="300" t="s">
        <v>1615</v>
      </c>
      <c r="D717" s="300" t="s">
        <v>768</v>
      </c>
      <c r="E717" s="300" t="s">
        <v>759</v>
      </c>
      <c r="F717" s="301" t="s">
        <v>766</v>
      </c>
      <c r="G717" s="309">
        <v>126539130</v>
      </c>
      <c r="H717" s="309">
        <v>2131454</v>
      </c>
      <c r="I717" s="309">
        <v>171756377</v>
      </c>
      <c r="J717" s="309">
        <v>76771318</v>
      </c>
      <c r="K717" s="309">
        <v>94985059</v>
      </c>
      <c r="L717" s="309">
        <v>116951684</v>
      </c>
      <c r="M717" s="309">
        <v>1360037</v>
      </c>
      <c r="N717" s="309">
        <v>164968498</v>
      </c>
      <c r="O717" s="309">
        <v>71579218</v>
      </c>
      <c r="P717" s="309">
        <v>93389280</v>
      </c>
      <c r="Q717" s="303"/>
    </row>
    <row r="718" spans="1:17" s="304" customFormat="1" x14ac:dyDescent="0.25">
      <c r="A718" s="300">
        <v>711</v>
      </c>
      <c r="B718" s="300">
        <v>890208596</v>
      </c>
      <c r="C718" s="300" t="s">
        <v>1616</v>
      </c>
      <c r="D718" s="300" t="s">
        <v>891</v>
      </c>
      <c r="E718" s="300" t="s">
        <v>1057</v>
      </c>
      <c r="F718" s="301" t="s">
        <v>779</v>
      </c>
      <c r="G718" s="302">
        <v>126479014</v>
      </c>
      <c r="H718" s="302">
        <v>457611</v>
      </c>
      <c r="I718" s="302">
        <v>75380745</v>
      </c>
      <c r="J718" s="302">
        <v>48535918</v>
      </c>
      <c r="K718" s="302">
        <v>26844827</v>
      </c>
      <c r="L718" s="302">
        <v>125760223</v>
      </c>
      <c r="M718" s="302">
        <v>484019</v>
      </c>
      <c r="N718" s="302">
        <v>48837486</v>
      </c>
      <c r="O718" s="302">
        <v>22384016</v>
      </c>
      <c r="P718" s="302">
        <v>26453470</v>
      </c>
      <c r="Q718" s="303"/>
    </row>
    <row r="719" spans="1:17" s="304" customFormat="1" x14ac:dyDescent="0.25">
      <c r="A719" s="300">
        <v>712</v>
      </c>
      <c r="B719" s="300">
        <v>900475730</v>
      </c>
      <c r="C719" s="300" t="s">
        <v>1617</v>
      </c>
      <c r="D719" s="300" t="s">
        <v>758</v>
      </c>
      <c r="E719" s="300" t="s">
        <v>876</v>
      </c>
      <c r="F719" s="311" t="s">
        <v>877</v>
      </c>
      <c r="G719" s="302">
        <v>126182559</v>
      </c>
      <c r="H719" s="302">
        <v>181478</v>
      </c>
      <c r="I719" s="302">
        <v>205391232</v>
      </c>
      <c r="J719" s="302">
        <v>205082751</v>
      </c>
      <c r="K719" s="302">
        <v>308481</v>
      </c>
      <c r="L719" s="302">
        <v>60389200</v>
      </c>
      <c r="M719" s="302">
        <v>26595</v>
      </c>
      <c r="N719" s="302">
        <v>189631782</v>
      </c>
      <c r="O719" s="302">
        <v>189504780</v>
      </c>
      <c r="P719" s="302">
        <v>127002</v>
      </c>
      <c r="Q719" s="303"/>
    </row>
    <row r="720" spans="1:17" s="304" customFormat="1" x14ac:dyDescent="0.25">
      <c r="A720" s="300">
        <v>713</v>
      </c>
      <c r="B720" s="300">
        <v>800239471</v>
      </c>
      <c r="C720" s="300" t="s">
        <v>1618</v>
      </c>
      <c r="D720" s="300" t="s">
        <v>758</v>
      </c>
      <c r="E720" s="300" t="s">
        <v>909</v>
      </c>
      <c r="F720" s="301" t="s">
        <v>764</v>
      </c>
      <c r="G720" s="302">
        <v>126167993</v>
      </c>
      <c r="H720" s="302">
        <v>4393192</v>
      </c>
      <c r="I720" s="302">
        <v>62431322</v>
      </c>
      <c r="J720" s="302">
        <v>45667870</v>
      </c>
      <c r="K720" s="302">
        <v>16763452</v>
      </c>
      <c r="L720" s="302">
        <v>97690320</v>
      </c>
      <c r="M720" s="302">
        <v>4797348</v>
      </c>
      <c r="N720" s="302">
        <v>37541001</v>
      </c>
      <c r="O720" s="302">
        <v>25170741</v>
      </c>
      <c r="P720" s="302">
        <v>12370260</v>
      </c>
      <c r="Q720" s="303"/>
    </row>
    <row r="721" spans="1:17" s="304" customFormat="1" x14ac:dyDescent="0.25">
      <c r="A721" s="300">
        <v>714</v>
      </c>
      <c r="B721" s="300">
        <v>860035047</v>
      </c>
      <c r="C721" s="300" t="s">
        <v>1619</v>
      </c>
      <c r="D721" s="300" t="s">
        <v>763</v>
      </c>
      <c r="E721" s="300" t="s">
        <v>1107</v>
      </c>
      <c r="F721" s="301" t="s">
        <v>779</v>
      </c>
      <c r="G721" s="310">
        <v>125718400</v>
      </c>
      <c r="H721" s="310">
        <v>4160592</v>
      </c>
      <c r="I721" s="310">
        <v>81935503</v>
      </c>
      <c r="J721" s="310">
        <v>40258524</v>
      </c>
      <c r="K721" s="310">
        <v>41676979</v>
      </c>
      <c r="L721" s="310">
        <v>110221638</v>
      </c>
      <c r="M721" s="310">
        <v>3189449</v>
      </c>
      <c r="N721" s="310">
        <v>71423647</v>
      </c>
      <c r="O721" s="310">
        <v>31471322</v>
      </c>
      <c r="P721" s="310">
        <v>39952325</v>
      </c>
      <c r="Q721" s="303"/>
    </row>
    <row r="722" spans="1:17" s="304" customFormat="1" x14ac:dyDescent="0.25">
      <c r="A722" s="300">
        <v>715</v>
      </c>
      <c r="B722" s="300">
        <v>800253702</v>
      </c>
      <c r="C722" s="300" t="s">
        <v>1620</v>
      </c>
      <c r="D722" s="300" t="s">
        <v>808</v>
      </c>
      <c r="E722" s="300" t="s">
        <v>759</v>
      </c>
      <c r="F722" s="301" t="s">
        <v>766</v>
      </c>
      <c r="G722" s="302">
        <v>125621378.16</v>
      </c>
      <c r="H722" s="302">
        <v>17705579.092</v>
      </c>
      <c r="I722" s="302">
        <v>400360284.85000002</v>
      </c>
      <c r="J722" s="302">
        <v>73811491.261000007</v>
      </c>
      <c r="K722" s="302">
        <v>326548793.58899999</v>
      </c>
      <c r="L722" s="302">
        <v>119604859.37199999</v>
      </c>
      <c r="M722" s="302">
        <v>26585949.072999999</v>
      </c>
      <c r="N722" s="302">
        <v>416586683.64099997</v>
      </c>
      <c r="O722" s="302">
        <v>83056744.355000004</v>
      </c>
      <c r="P722" s="302">
        <v>333529939.28600001</v>
      </c>
      <c r="Q722" s="303"/>
    </row>
    <row r="723" spans="1:17" s="304" customFormat="1" x14ac:dyDescent="0.25">
      <c r="A723" s="300">
        <v>716</v>
      </c>
      <c r="B723" s="300">
        <v>830065842</v>
      </c>
      <c r="C723" s="300" t="s">
        <v>1621</v>
      </c>
      <c r="D723" s="300" t="s">
        <v>758</v>
      </c>
      <c r="E723" s="300" t="s">
        <v>781</v>
      </c>
      <c r="F723" s="301" t="s">
        <v>766</v>
      </c>
      <c r="G723" s="302">
        <v>125433328</v>
      </c>
      <c r="H723" s="302">
        <v>5204037</v>
      </c>
      <c r="I723" s="302">
        <v>60462748</v>
      </c>
      <c r="J723" s="302">
        <v>30677128</v>
      </c>
      <c r="K723" s="302">
        <v>29785620</v>
      </c>
      <c r="L723" s="302">
        <v>109438343</v>
      </c>
      <c r="M723" s="302">
        <v>4981167</v>
      </c>
      <c r="N723" s="302">
        <v>60005502</v>
      </c>
      <c r="O723" s="302">
        <v>35122452</v>
      </c>
      <c r="P723" s="302">
        <v>24883050</v>
      </c>
      <c r="Q723" s="303"/>
    </row>
    <row r="724" spans="1:17" s="304" customFormat="1" x14ac:dyDescent="0.25">
      <c r="A724" s="300">
        <v>717</v>
      </c>
      <c r="B724" s="300">
        <v>802001105</v>
      </c>
      <c r="C724" s="300" t="s">
        <v>1622</v>
      </c>
      <c r="D724" s="300" t="s">
        <v>768</v>
      </c>
      <c r="E724" s="300" t="s">
        <v>965</v>
      </c>
      <c r="F724" s="301" t="s">
        <v>958</v>
      </c>
      <c r="G724" s="302">
        <v>125279618</v>
      </c>
      <c r="H724" s="302">
        <v>5601790</v>
      </c>
      <c r="I724" s="302">
        <v>91383292</v>
      </c>
      <c r="J724" s="302">
        <v>35062361</v>
      </c>
      <c r="K724" s="302">
        <v>56320931</v>
      </c>
      <c r="L724" s="302">
        <v>117394494</v>
      </c>
      <c r="M724" s="302">
        <v>5847594</v>
      </c>
      <c r="N724" s="302">
        <v>82444362</v>
      </c>
      <c r="O724" s="302">
        <v>31884300</v>
      </c>
      <c r="P724" s="302">
        <v>50560062</v>
      </c>
      <c r="Q724" s="303"/>
    </row>
    <row r="725" spans="1:17" s="304" customFormat="1" x14ac:dyDescent="0.25">
      <c r="A725" s="300">
        <v>718</v>
      </c>
      <c r="B725" s="300">
        <v>800206584</v>
      </c>
      <c r="C725" s="300" t="s">
        <v>1623</v>
      </c>
      <c r="D725" s="300" t="s">
        <v>763</v>
      </c>
      <c r="E725" s="300" t="s">
        <v>933</v>
      </c>
      <c r="F725" s="301" t="s">
        <v>779</v>
      </c>
      <c r="G725" s="302">
        <v>125179850</v>
      </c>
      <c r="H725" s="302">
        <v>722738</v>
      </c>
      <c r="I725" s="302">
        <v>57471415</v>
      </c>
      <c r="J725" s="302">
        <v>34289491</v>
      </c>
      <c r="K725" s="302">
        <v>23181924</v>
      </c>
      <c r="L725" s="302">
        <v>122734089</v>
      </c>
      <c r="M725" s="302">
        <v>1827299</v>
      </c>
      <c r="N725" s="302">
        <v>51730375</v>
      </c>
      <c r="O725" s="302">
        <v>26021198</v>
      </c>
      <c r="P725" s="302">
        <v>25709177</v>
      </c>
      <c r="Q725" s="303"/>
    </row>
    <row r="726" spans="1:17" s="304" customFormat="1" x14ac:dyDescent="0.25">
      <c r="A726" s="300">
        <v>719</v>
      </c>
      <c r="B726" s="300">
        <v>860514604</v>
      </c>
      <c r="C726" s="300" t="s">
        <v>1624</v>
      </c>
      <c r="D726" s="300" t="s">
        <v>758</v>
      </c>
      <c r="E726" s="300" t="s">
        <v>846</v>
      </c>
      <c r="F726" s="301" t="s">
        <v>760</v>
      </c>
      <c r="G726" s="310">
        <v>124346505</v>
      </c>
      <c r="H726" s="310">
        <v>12950112</v>
      </c>
      <c r="I726" s="310">
        <v>141705027</v>
      </c>
      <c r="J726" s="310">
        <v>66865199</v>
      </c>
      <c r="K726" s="310">
        <v>74839828</v>
      </c>
      <c r="L726" s="310">
        <v>109949757</v>
      </c>
      <c r="M726" s="310">
        <v>6851802</v>
      </c>
      <c r="N726" s="310">
        <v>136564497</v>
      </c>
      <c r="O726" s="310">
        <v>81193070</v>
      </c>
      <c r="P726" s="310">
        <v>55371427</v>
      </c>
      <c r="Q726" s="303"/>
    </row>
    <row r="727" spans="1:17" s="304" customFormat="1" x14ac:dyDescent="0.25">
      <c r="A727" s="300">
        <v>720</v>
      </c>
      <c r="B727" s="300">
        <v>844004576</v>
      </c>
      <c r="C727" s="300" t="s">
        <v>1625</v>
      </c>
      <c r="D727" s="300" t="s">
        <v>1149</v>
      </c>
      <c r="E727" s="300" t="s">
        <v>759</v>
      </c>
      <c r="F727" s="301" t="s">
        <v>766</v>
      </c>
      <c r="G727" s="302">
        <v>124287367.79000001</v>
      </c>
      <c r="H727" s="302">
        <v>-824815.58400000003</v>
      </c>
      <c r="I727" s="302">
        <v>126934503.969</v>
      </c>
      <c r="J727" s="302">
        <v>87265879.756999999</v>
      </c>
      <c r="K727" s="302">
        <v>39668624.211999997</v>
      </c>
      <c r="L727" s="302">
        <v>105704933.014</v>
      </c>
      <c r="M727" s="302">
        <v>8061684.7230000002</v>
      </c>
      <c r="N727" s="302">
        <v>102561711.59</v>
      </c>
      <c r="O727" s="302">
        <v>59407915.836000003</v>
      </c>
      <c r="P727" s="302">
        <v>43153795.754000001</v>
      </c>
      <c r="Q727" s="303"/>
    </row>
    <row r="728" spans="1:17" s="304" customFormat="1" x14ac:dyDescent="0.25">
      <c r="A728" s="300">
        <v>721</v>
      </c>
      <c r="B728" s="300">
        <v>890311341</v>
      </c>
      <c r="C728" s="300" t="s">
        <v>1626</v>
      </c>
      <c r="D728" s="300" t="s">
        <v>808</v>
      </c>
      <c r="E728" s="300" t="s">
        <v>1086</v>
      </c>
      <c r="F728" s="301" t="s">
        <v>766</v>
      </c>
      <c r="G728" s="302">
        <v>124203354</v>
      </c>
      <c r="H728" s="302">
        <v>1234878</v>
      </c>
      <c r="I728" s="302">
        <v>14413127</v>
      </c>
      <c r="J728" s="302">
        <v>9208687</v>
      </c>
      <c r="K728" s="302">
        <v>5204440</v>
      </c>
      <c r="L728" s="302">
        <v>156890223</v>
      </c>
      <c r="M728" s="302">
        <v>2200351</v>
      </c>
      <c r="N728" s="302">
        <v>21042576</v>
      </c>
      <c r="O728" s="302">
        <v>15750083</v>
      </c>
      <c r="P728" s="302">
        <v>5292493</v>
      </c>
      <c r="Q728" s="303"/>
    </row>
    <row r="729" spans="1:17" s="304" customFormat="1" x14ac:dyDescent="0.25">
      <c r="A729" s="300">
        <v>722</v>
      </c>
      <c r="B729" s="300">
        <v>890906397</v>
      </c>
      <c r="C729" s="300" t="s">
        <v>1627</v>
      </c>
      <c r="D729" s="300" t="s">
        <v>763</v>
      </c>
      <c r="E729" s="300" t="s">
        <v>1248</v>
      </c>
      <c r="F729" s="301" t="s">
        <v>779</v>
      </c>
      <c r="G729" s="302">
        <v>124012476</v>
      </c>
      <c r="H729" s="302">
        <v>9995865</v>
      </c>
      <c r="I729" s="302">
        <v>141314846</v>
      </c>
      <c r="J729" s="302">
        <v>19613827</v>
      </c>
      <c r="K729" s="302">
        <v>121701019</v>
      </c>
      <c r="L729" s="302">
        <v>109700024</v>
      </c>
      <c r="M729" s="302">
        <v>3209285</v>
      </c>
      <c r="N729" s="302">
        <v>100942717</v>
      </c>
      <c r="O729" s="302">
        <v>14094973</v>
      </c>
      <c r="P729" s="302">
        <v>86847744</v>
      </c>
      <c r="Q729" s="303"/>
    </row>
    <row r="730" spans="1:17" s="304" customFormat="1" x14ac:dyDescent="0.25">
      <c r="A730" s="300">
        <v>723</v>
      </c>
      <c r="B730" s="300">
        <v>830008804</v>
      </c>
      <c r="C730" s="300" t="s">
        <v>1628</v>
      </c>
      <c r="D730" s="300" t="s">
        <v>758</v>
      </c>
      <c r="E730" s="300" t="s">
        <v>880</v>
      </c>
      <c r="F730" s="300" t="s">
        <v>764</v>
      </c>
      <c r="G730" s="302">
        <v>123843404</v>
      </c>
      <c r="H730" s="302">
        <v>7053437</v>
      </c>
      <c r="I730" s="302">
        <v>73757596</v>
      </c>
      <c r="J730" s="302">
        <v>33107813</v>
      </c>
      <c r="K730" s="302">
        <v>40649783</v>
      </c>
      <c r="L730" s="302">
        <v>148946704</v>
      </c>
      <c r="M730" s="302">
        <v>6856671</v>
      </c>
      <c r="N730" s="302">
        <v>75893018</v>
      </c>
      <c r="O730" s="302">
        <v>40107370</v>
      </c>
      <c r="P730" s="302">
        <v>35785648</v>
      </c>
      <c r="Q730" s="303"/>
    </row>
    <row r="731" spans="1:17" s="304" customFormat="1" x14ac:dyDescent="0.25">
      <c r="A731" s="300">
        <v>724</v>
      </c>
      <c r="B731" s="308">
        <v>892115006</v>
      </c>
      <c r="C731" s="300" t="s">
        <v>1629</v>
      </c>
      <c r="D731" s="300" t="s">
        <v>768</v>
      </c>
      <c r="E731" s="300" t="s">
        <v>759</v>
      </c>
      <c r="F731" s="301" t="s">
        <v>766</v>
      </c>
      <c r="G731" s="309">
        <v>123834225</v>
      </c>
      <c r="H731" s="309">
        <v>3187300</v>
      </c>
      <c r="I731" s="309">
        <v>87832382.900000006</v>
      </c>
      <c r="J731" s="309">
        <v>39830876.399999999</v>
      </c>
      <c r="K731" s="309">
        <v>48001506.100000001</v>
      </c>
      <c r="L731" s="309">
        <v>106501672.69999999</v>
      </c>
      <c r="M731" s="309">
        <v>2474020</v>
      </c>
      <c r="N731" s="309">
        <v>77270643</v>
      </c>
      <c r="O731" s="309">
        <v>32316323</v>
      </c>
      <c r="P731" s="309">
        <v>44954320</v>
      </c>
      <c r="Q731" s="303"/>
    </row>
    <row r="732" spans="1:17" s="304" customFormat="1" x14ac:dyDescent="0.25">
      <c r="A732" s="300">
        <v>725</v>
      </c>
      <c r="B732" s="300">
        <v>900413519</v>
      </c>
      <c r="C732" s="300" t="s">
        <v>1630</v>
      </c>
      <c r="D732" s="300" t="s">
        <v>758</v>
      </c>
      <c r="E732" s="300" t="s">
        <v>1160</v>
      </c>
      <c r="F732" s="301" t="s">
        <v>760</v>
      </c>
      <c r="G732" s="302">
        <v>123760000</v>
      </c>
      <c r="H732" s="302">
        <v>3420013</v>
      </c>
      <c r="I732" s="302">
        <v>95596702</v>
      </c>
      <c r="J732" s="302">
        <v>29653079</v>
      </c>
      <c r="K732" s="302">
        <v>65943623</v>
      </c>
      <c r="L732" s="302">
        <v>121310825</v>
      </c>
      <c r="M732" s="302">
        <v>9622295</v>
      </c>
      <c r="N732" s="302">
        <v>88838618</v>
      </c>
      <c r="O732" s="302">
        <v>26315008</v>
      </c>
      <c r="P732" s="302">
        <v>62523610</v>
      </c>
      <c r="Q732" s="303"/>
    </row>
    <row r="733" spans="1:17" s="304" customFormat="1" x14ac:dyDescent="0.25">
      <c r="A733" s="300">
        <v>726</v>
      </c>
      <c r="B733" s="300">
        <v>811025861</v>
      </c>
      <c r="C733" s="300" t="s">
        <v>1631</v>
      </c>
      <c r="D733" s="300" t="s">
        <v>763</v>
      </c>
      <c r="E733" s="300" t="s">
        <v>759</v>
      </c>
      <c r="F733" s="301" t="s">
        <v>779</v>
      </c>
      <c r="G733" s="302">
        <v>123662290.241</v>
      </c>
      <c r="H733" s="302">
        <v>1991899.449</v>
      </c>
      <c r="I733" s="302">
        <v>38147805.806999996</v>
      </c>
      <c r="J733" s="302">
        <v>12022105.846999999</v>
      </c>
      <c r="K733" s="302">
        <v>26125699.960000001</v>
      </c>
      <c r="L733" s="302">
        <v>97412916.463</v>
      </c>
      <c r="M733" s="302">
        <v>-977515.20400000003</v>
      </c>
      <c r="N733" s="302">
        <v>37885164.123999998</v>
      </c>
      <c r="O733" s="302">
        <v>14344066.454</v>
      </c>
      <c r="P733" s="302">
        <v>23541097.670000002</v>
      </c>
      <c r="Q733" s="303"/>
    </row>
    <row r="734" spans="1:17" s="304" customFormat="1" x14ac:dyDescent="0.25">
      <c r="A734" s="300">
        <v>727</v>
      </c>
      <c r="B734" s="300">
        <v>890201063</v>
      </c>
      <c r="C734" s="300" t="s">
        <v>1632</v>
      </c>
      <c r="D734" s="300" t="s">
        <v>891</v>
      </c>
      <c r="E734" s="300" t="s">
        <v>759</v>
      </c>
      <c r="F734" s="301" t="s">
        <v>766</v>
      </c>
      <c r="G734" s="302">
        <v>123516752.22472</v>
      </c>
      <c r="H734" s="302">
        <v>2248079.1745500001</v>
      </c>
      <c r="I734" s="302">
        <v>125421392.27446</v>
      </c>
      <c r="J734" s="302">
        <v>42253463.530209996</v>
      </c>
      <c r="K734" s="302">
        <v>83167928.74425</v>
      </c>
      <c r="L734" s="302">
        <v>117673517.82846001</v>
      </c>
      <c r="M734" s="302">
        <v>2560123.9339999999</v>
      </c>
      <c r="N734" s="302">
        <v>108220579.34678999</v>
      </c>
      <c r="O734" s="302">
        <v>29171418.738470003</v>
      </c>
      <c r="P734" s="302">
        <v>79049160.608320013</v>
      </c>
      <c r="Q734" s="303"/>
    </row>
    <row r="735" spans="1:17" s="304" customFormat="1" x14ac:dyDescent="0.25">
      <c r="A735" s="300">
        <v>728</v>
      </c>
      <c r="B735" s="300">
        <v>860009694</v>
      </c>
      <c r="C735" s="300" t="s">
        <v>1633</v>
      </c>
      <c r="D735" s="300" t="s">
        <v>758</v>
      </c>
      <c r="E735" s="300" t="s">
        <v>949</v>
      </c>
      <c r="F735" s="301" t="s">
        <v>764</v>
      </c>
      <c r="G735" s="302">
        <v>123478483</v>
      </c>
      <c r="H735" s="302">
        <v>-2411088</v>
      </c>
      <c r="I735" s="302">
        <v>37851155</v>
      </c>
      <c r="J735" s="302">
        <v>35889486</v>
      </c>
      <c r="K735" s="302">
        <v>1961669</v>
      </c>
      <c r="L735" s="302">
        <v>135640336</v>
      </c>
      <c r="M735" s="302">
        <v>-392406</v>
      </c>
      <c r="N735" s="302">
        <v>76373570</v>
      </c>
      <c r="O735" s="302">
        <v>32194206</v>
      </c>
      <c r="P735" s="302">
        <v>44179364</v>
      </c>
      <c r="Q735" s="303"/>
    </row>
    <row r="736" spans="1:17" s="304" customFormat="1" x14ac:dyDescent="0.25">
      <c r="A736" s="300">
        <v>729</v>
      </c>
      <c r="B736" s="300">
        <v>836000153</v>
      </c>
      <c r="C736" s="300" t="s">
        <v>1634</v>
      </c>
      <c r="D736" s="300" t="s">
        <v>808</v>
      </c>
      <c r="E736" s="300" t="s">
        <v>759</v>
      </c>
      <c r="F736" s="301" t="s">
        <v>764</v>
      </c>
      <c r="G736" s="302">
        <v>123361236.24510001</v>
      </c>
      <c r="H736" s="302">
        <v>20172.581469999997</v>
      </c>
      <c r="I736" s="302">
        <v>3153920.38</v>
      </c>
      <c r="J736" s="302">
        <v>2024451.3285300001</v>
      </c>
      <c r="K736" s="302">
        <v>1129469.0514700001</v>
      </c>
      <c r="L736" s="302">
        <v>186553007.1848</v>
      </c>
      <c r="M736" s="302">
        <v>184936.54509999999</v>
      </c>
      <c r="N736" s="302">
        <v>3093905.0016100002</v>
      </c>
      <c r="O736" s="302">
        <v>1848592.59978</v>
      </c>
      <c r="P736" s="302">
        <v>1245312.4018299999</v>
      </c>
      <c r="Q736" s="303"/>
    </row>
    <row r="737" spans="1:17" s="304" customFormat="1" x14ac:dyDescent="0.25">
      <c r="A737" s="300">
        <v>730</v>
      </c>
      <c r="B737" s="300">
        <v>809000555</v>
      </c>
      <c r="C737" s="300" t="s">
        <v>1635</v>
      </c>
      <c r="D737" s="300" t="s">
        <v>758</v>
      </c>
      <c r="E737" s="300" t="s">
        <v>1059</v>
      </c>
      <c r="F737" s="301" t="s">
        <v>764</v>
      </c>
      <c r="G737" s="302">
        <v>123331087</v>
      </c>
      <c r="H737" s="302">
        <v>1379377</v>
      </c>
      <c r="I737" s="302">
        <v>68118424</v>
      </c>
      <c r="J737" s="302">
        <v>44608766</v>
      </c>
      <c r="K737" s="302">
        <v>23509658</v>
      </c>
      <c r="L737" s="302">
        <v>107041502</v>
      </c>
      <c r="M737" s="302">
        <v>2396945</v>
      </c>
      <c r="N737" s="302">
        <v>60119877</v>
      </c>
      <c r="O737" s="302">
        <v>37741836</v>
      </c>
      <c r="P737" s="302">
        <v>22378041</v>
      </c>
      <c r="Q737" s="303"/>
    </row>
    <row r="738" spans="1:17" s="304" customFormat="1" x14ac:dyDescent="0.25">
      <c r="A738" s="300">
        <v>731</v>
      </c>
      <c r="B738" s="300">
        <v>800208785</v>
      </c>
      <c r="C738" s="300" t="s">
        <v>1636</v>
      </c>
      <c r="D738" s="300" t="s">
        <v>758</v>
      </c>
      <c r="E738" s="300" t="s">
        <v>905</v>
      </c>
      <c r="F738" s="301" t="s">
        <v>779</v>
      </c>
      <c r="G738" s="302">
        <v>123219858</v>
      </c>
      <c r="H738" s="302">
        <v>2430495</v>
      </c>
      <c r="I738" s="302">
        <v>88379225</v>
      </c>
      <c r="J738" s="302">
        <v>19917079</v>
      </c>
      <c r="K738" s="302">
        <v>68462146</v>
      </c>
      <c r="L738" s="302">
        <v>110137402</v>
      </c>
      <c r="M738" s="302">
        <v>3474677</v>
      </c>
      <c r="N738" s="302">
        <v>92454398</v>
      </c>
      <c r="O738" s="302">
        <v>17153939</v>
      </c>
      <c r="P738" s="302">
        <v>75300459</v>
      </c>
      <c r="Q738" s="303"/>
    </row>
    <row r="739" spans="1:17" s="304" customFormat="1" x14ac:dyDescent="0.25">
      <c r="A739" s="300">
        <v>732</v>
      </c>
      <c r="B739" s="300">
        <v>890928257</v>
      </c>
      <c r="C739" s="300" t="s">
        <v>1637</v>
      </c>
      <c r="D739" s="300" t="s">
        <v>763</v>
      </c>
      <c r="E739" s="300" t="s">
        <v>1100</v>
      </c>
      <c r="F739" s="301" t="s">
        <v>779</v>
      </c>
      <c r="G739" s="302">
        <v>123127614</v>
      </c>
      <c r="H739" s="302">
        <v>2204796</v>
      </c>
      <c r="I739" s="302">
        <v>104530211</v>
      </c>
      <c r="J739" s="302">
        <v>62613776</v>
      </c>
      <c r="K739" s="302">
        <v>41916435</v>
      </c>
      <c r="L739" s="302">
        <v>115604824</v>
      </c>
      <c r="M739" s="302">
        <v>3449384</v>
      </c>
      <c r="N739" s="302">
        <v>95648258</v>
      </c>
      <c r="O739" s="302">
        <v>55221133</v>
      </c>
      <c r="P739" s="302">
        <v>40427125</v>
      </c>
      <c r="Q739" s="303"/>
    </row>
    <row r="740" spans="1:17" s="304" customFormat="1" x14ac:dyDescent="0.25">
      <c r="A740" s="300">
        <v>733</v>
      </c>
      <c r="B740" s="300">
        <v>802021432</v>
      </c>
      <c r="C740" s="300" t="s">
        <v>1638</v>
      </c>
      <c r="D740" s="300" t="s">
        <v>768</v>
      </c>
      <c r="E740" s="300" t="s">
        <v>776</v>
      </c>
      <c r="F740" s="301" t="s">
        <v>764</v>
      </c>
      <c r="G740" s="302">
        <v>123052198</v>
      </c>
      <c r="H740" s="302">
        <v>693480</v>
      </c>
      <c r="I740" s="302">
        <v>9152700</v>
      </c>
      <c r="J740" s="302">
        <v>6675782</v>
      </c>
      <c r="K740" s="302">
        <v>2476918</v>
      </c>
      <c r="L740" s="302">
        <v>91968495</v>
      </c>
      <c r="M740" s="302">
        <v>851512</v>
      </c>
      <c r="N740" s="302">
        <v>9452222</v>
      </c>
      <c r="O740" s="302">
        <v>7006077</v>
      </c>
      <c r="P740" s="302">
        <v>2446145</v>
      </c>
      <c r="Q740" s="303"/>
    </row>
    <row r="741" spans="1:17" s="304" customFormat="1" x14ac:dyDescent="0.25">
      <c r="A741" s="300">
        <v>734</v>
      </c>
      <c r="B741" s="300">
        <v>900404506</v>
      </c>
      <c r="C741" s="300" t="s">
        <v>1639</v>
      </c>
      <c r="D741" s="300" t="s">
        <v>758</v>
      </c>
      <c r="E741" s="300" t="s">
        <v>771</v>
      </c>
      <c r="F741" s="301" t="s">
        <v>760</v>
      </c>
      <c r="G741" s="302">
        <v>122809276</v>
      </c>
      <c r="H741" s="302">
        <v>32574850</v>
      </c>
      <c r="I741" s="302">
        <v>188280804</v>
      </c>
      <c r="J741" s="302">
        <v>31030937</v>
      </c>
      <c r="K741" s="302">
        <v>157249867</v>
      </c>
      <c r="L741" s="302">
        <v>129119301</v>
      </c>
      <c r="M741" s="302">
        <v>39088762</v>
      </c>
      <c r="N741" s="302">
        <v>129857373</v>
      </c>
      <c r="O741" s="302">
        <v>11404709</v>
      </c>
      <c r="P741" s="302">
        <v>118452664</v>
      </c>
      <c r="Q741" s="303"/>
    </row>
    <row r="742" spans="1:17" s="304" customFormat="1" x14ac:dyDescent="0.25">
      <c r="A742" s="300">
        <v>735</v>
      </c>
      <c r="B742" s="300">
        <v>830085844</v>
      </c>
      <c r="C742" s="300" t="s">
        <v>1640</v>
      </c>
      <c r="D742" s="300" t="s">
        <v>758</v>
      </c>
      <c r="E742" s="300" t="s">
        <v>846</v>
      </c>
      <c r="F742" s="301" t="s">
        <v>760</v>
      </c>
      <c r="G742" s="302">
        <v>122750050</v>
      </c>
      <c r="H742" s="302">
        <v>2262889</v>
      </c>
      <c r="I742" s="302">
        <v>64572513</v>
      </c>
      <c r="J742" s="302">
        <v>41722210</v>
      </c>
      <c r="K742" s="302">
        <v>22850303</v>
      </c>
      <c r="L742" s="302">
        <v>95722804</v>
      </c>
      <c r="M742" s="302">
        <v>2816342</v>
      </c>
      <c r="N742" s="302">
        <v>52950424</v>
      </c>
      <c r="O742" s="302">
        <v>32363010</v>
      </c>
      <c r="P742" s="302">
        <v>20587414</v>
      </c>
      <c r="Q742" s="303"/>
    </row>
    <row r="743" spans="1:17" s="304" customFormat="1" x14ac:dyDescent="0.25">
      <c r="A743" s="300">
        <v>736</v>
      </c>
      <c r="B743" s="300">
        <v>800159100</v>
      </c>
      <c r="C743" s="300" t="s">
        <v>1641</v>
      </c>
      <c r="D743" s="300" t="s">
        <v>763</v>
      </c>
      <c r="E743" s="300" t="s">
        <v>1086</v>
      </c>
      <c r="F743" s="301" t="s">
        <v>766</v>
      </c>
      <c r="G743" s="302">
        <v>122740909</v>
      </c>
      <c r="H743" s="302">
        <v>2647386</v>
      </c>
      <c r="I743" s="302">
        <v>26839629</v>
      </c>
      <c r="J743" s="302">
        <v>17101306</v>
      </c>
      <c r="K743" s="302">
        <v>9738323</v>
      </c>
      <c r="L743" s="302">
        <v>116636505</v>
      </c>
      <c r="M743" s="302">
        <v>-492593</v>
      </c>
      <c r="N743" s="302">
        <v>25665016</v>
      </c>
      <c r="O743" s="302">
        <v>18457916</v>
      </c>
      <c r="P743" s="302">
        <v>7207100</v>
      </c>
      <c r="Q743" s="303"/>
    </row>
    <row r="744" spans="1:17" s="304" customFormat="1" x14ac:dyDescent="0.25">
      <c r="A744" s="300">
        <v>737</v>
      </c>
      <c r="B744" s="300">
        <v>900387802</v>
      </c>
      <c r="C744" s="300" t="s">
        <v>1642</v>
      </c>
      <c r="D744" s="300" t="s">
        <v>891</v>
      </c>
      <c r="E744" s="300" t="s">
        <v>1420</v>
      </c>
      <c r="F744" s="301" t="s">
        <v>764</v>
      </c>
      <c r="G744" s="302">
        <v>122631338</v>
      </c>
      <c r="H744" s="302">
        <v>755713</v>
      </c>
      <c r="I744" s="302">
        <v>29736142</v>
      </c>
      <c r="J744" s="302">
        <v>27990817</v>
      </c>
      <c r="K744" s="302">
        <v>1745325</v>
      </c>
      <c r="L744" s="302">
        <v>124902713</v>
      </c>
      <c r="M744" s="302">
        <v>161587</v>
      </c>
      <c r="N744" s="302">
        <v>17513837</v>
      </c>
      <c r="O744" s="302">
        <v>16524225</v>
      </c>
      <c r="P744" s="302">
        <v>989612</v>
      </c>
      <c r="Q744" s="303"/>
    </row>
    <row r="745" spans="1:17" s="304" customFormat="1" x14ac:dyDescent="0.25">
      <c r="A745" s="300">
        <v>738</v>
      </c>
      <c r="B745" s="300">
        <v>890900652</v>
      </c>
      <c r="C745" s="300" t="s">
        <v>1643</v>
      </c>
      <c r="D745" s="300" t="s">
        <v>763</v>
      </c>
      <c r="E745" s="300" t="s">
        <v>873</v>
      </c>
      <c r="F745" s="301" t="s">
        <v>779</v>
      </c>
      <c r="G745" s="302">
        <v>122339611</v>
      </c>
      <c r="H745" s="302">
        <v>5543364</v>
      </c>
      <c r="I745" s="302">
        <v>113247509</v>
      </c>
      <c r="J745" s="302">
        <v>21370603</v>
      </c>
      <c r="K745" s="302">
        <v>91876906</v>
      </c>
      <c r="L745" s="302">
        <v>108910024</v>
      </c>
      <c r="M745" s="302">
        <v>5399935</v>
      </c>
      <c r="N745" s="302">
        <v>112212231</v>
      </c>
      <c r="O745" s="302">
        <v>26929146</v>
      </c>
      <c r="P745" s="302">
        <v>85283085</v>
      </c>
      <c r="Q745" s="303"/>
    </row>
    <row r="746" spans="1:17" s="304" customFormat="1" x14ac:dyDescent="0.25">
      <c r="A746" s="300">
        <v>739</v>
      </c>
      <c r="B746" s="300">
        <v>815000997</v>
      </c>
      <c r="C746" s="300" t="s">
        <v>1644</v>
      </c>
      <c r="D746" s="300" t="s">
        <v>808</v>
      </c>
      <c r="E746" s="300" t="s">
        <v>880</v>
      </c>
      <c r="F746" s="300" t="s">
        <v>764</v>
      </c>
      <c r="G746" s="302">
        <v>121408127</v>
      </c>
      <c r="H746" s="302">
        <v>1313620</v>
      </c>
      <c r="I746" s="302">
        <v>32308474</v>
      </c>
      <c r="J746" s="302">
        <v>23068886</v>
      </c>
      <c r="K746" s="302">
        <v>9239588</v>
      </c>
      <c r="L746" s="302">
        <v>149477931</v>
      </c>
      <c r="M746" s="302">
        <v>1299746</v>
      </c>
      <c r="N746" s="302">
        <v>37915716</v>
      </c>
      <c r="O746" s="302">
        <v>29989743</v>
      </c>
      <c r="P746" s="302">
        <v>7925973</v>
      </c>
      <c r="Q746" s="303"/>
    </row>
    <row r="747" spans="1:17" s="304" customFormat="1" x14ac:dyDescent="0.25">
      <c r="A747" s="300">
        <v>740</v>
      </c>
      <c r="B747" s="300">
        <v>830045472</v>
      </c>
      <c r="C747" s="300" t="s">
        <v>1645</v>
      </c>
      <c r="D747" s="300" t="s">
        <v>758</v>
      </c>
      <c r="E747" s="300" t="s">
        <v>759</v>
      </c>
      <c r="F747" s="301" t="s">
        <v>766</v>
      </c>
      <c r="G747" s="302">
        <v>121308608.134</v>
      </c>
      <c r="H747" s="302">
        <v>17480316.813999999</v>
      </c>
      <c r="I747" s="302">
        <v>152378319.86199999</v>
      </c>
      <c r="J747" s="302">
        <v>75846897.986000001</v>
      </c>
      <c r="K747" s="302">
        <v>76531421.876000002</v>
      </c>
      <c r="L747" s="302">
        <v>123113397.92200001</v>
      </c>
      <c r="M747" s="302">
        <v>12747643.041999999</v>
      </c>
      <c r="N747" s="302">
        <v>140334780.51699999</v>
      </c>
      <c r="O747" s="302">
        <v>77512977.827000007</v>
      </c>
      <c r="P747" s="302">
        <v>62821802.689999998</v>
      </c>
      <c r="Q747" s="303"/>
    </row>
    <row r="748" spans="1:17" s="304" customFormat="1" x14ac:dyDescent="0.25">
      <c r="A748" s="300">
        <v>741</v>
      </c>
      <c r="B748" s="300">
        <v>800164590</v>
      </c>
      <c r="C748" s="300" t="s">
        <v>1646</v>
      </c>
      <c r="D748" s="300" t="s">
        <v>768</v>
      </c>
      <c r="E748" s="300" t="s">
        <v>1078</v>
      </c>
      <c r="F748" s="300" t="s">
        <v>779</v>
      </c>
      <c r="G748" s="302">
        <v>120843917</v>
      </c>
      <c r="H748" s="302">
        <v>4824940</v>
      </c>
      <c r="I748" s="302">
        <v>78181244</v>
      </c>
      <c r="J748" s="302">
        <v>31607507</v>
      </c>
      <c r="K748" s="302">
        <v>46573737</v>
      </c>
      <c r="L748" s="302">
        <v>110087061</v>
      </c>
      <c r="M748" s="302">
        <v>4293322</v>
      </c>
      <c r="N748" s="302">
        <v>76387394</v>
      </c>
      <c r="O748" s="302">
        <v>32733205</v>
      </c>
      <c r="P748" s="302">
        <v>43654189</v>
      </c>
      <c r="Q748" s="303"/>
    </row>
    <row r="749" spans="1:17" s="304" customFormat="1" x14ac:dyDescent="0.25">
      <c r="A749" s="300">
        <v>742</v>
      </c>
      <c r="B749" s="300">
        <v>800035606</v>
      </c>
      <c r="C749" s="300" t="s">
        <v>1647</v>
      </c>
      <c r="D749" s="300" t="s">
        <v>891</v>
      </c>
      <c r="E749" s="300" t="s">
        <v>880</v>
      </c>
      <c r="F749" s="301" t="s">
        <v>764</v>
      </c>
      <c r="G749" s="302">
        <v>120801277</v>
      </c>
      <c r="H749" s="302">
        <v>436087</v>
      </c>
      <c r="I749" s="302">
        <v>40804374</v>
      </c>
      <c r="J749" s="302">
        <v>28487085</v>
      </c>
      <c r="K749" s="302">
        <v>12317289</v>
      </c>
      <c r="L749" s="302">
        <v>140755577</v>
      </c>
      <c r="M749" s="302">
        <v>316692</v>
      </c>
      <c r="N749" s="302">
        <v>47685249</v>
      </c>
      <c r="O749" s="302">
        <v>34264878</v>
      </c>
      <c r="P749" s="302">
        <v>13420371</v>
      </c>
      <c r="Q749" s="303"/>
    </row>
    <row r="750" spans="1:17" s="304" customFormat="1" x14ac:dyDescent="0.25">
      <c r="A750" s="300">
        <v>743</v>
      </c>
      <c r="B750" s="300">
        <v>900396759</v>
      </c>
      <c r="C750" s="300" t="s">
        <v>1648</v>
      </c>
      <c r="D750" s="300" t="s">
        <v>758</v>
      </c>
      <c r="E750" s="300" t="s">
        <v>759</v>
      </c>
      <c r="F750" s="301" t="s">
        <v>766</v>
      </c>
      <c r="G750" s="302">
        <v>120796366.93099999</v>
      </c>
      <c r="H750" s="302">
        <v>-9362879.2949999999</v>
      </c>
      <c r="I750" s="302">
        <v>144873032.958</v>
      </c>
      <c r="J750" s="302">
        <v>87570961.941</v>
      </c>
      <c r="K750" s="302">
        <v>57302071.016999997</v>
      </c>
      <c r="L750" s="302">
        <v>112196630.191</v>
      </c>
      <c r="M750" s="302">
        <v>-1753747.085</v>
      </c>
      <c r="N750" s="302">
        <v>132106246.29899999</v>
      </c>
      <c r="O750" s="302">
        <v>75481867.528999999</v>
      </c>
      <c r="P750" s="302">
        <v>56624378.770000003</v>
      </c>
      <c r="Q750" s="303"/>
    </row>
    <row r="751" spans="1:17" s="304" customFormat="1" x14ac:dyDescent="0.25">
      <c r="A751" s="300">
        <v>744</v>
      </c>
      <c r="B751" s="300">
        <v>800020762</v>
      </c>
      <c r="C751" s="300" t="s">
        <v>1649</v>
      </c>
      <c r="D751" s="300" t="s">
        <v>758</v>
      </c>
      <c r="E751" s="300" t="s">
        <v>832</v>
      </c>
      <c r="F751" s="300" t="s">
        <v>766</v>
      </c>
      <c r="G751" s="302">
        <v>120730183</v>
      </c>
      <c r="H751" s="302">
        <v>121302587</v>
      </c>
      <c r="I751" s="302">
        <v>984535478</v>
      </c>
      <c r="J751" s="302">
        <v>15330827</v>
      </c>
      <c r="K751" s="302">
        <v>969204651</v>
      </c>
      <c r="L751" s="302">
        <v>121733389</v>
      </c>
      <c r="M751" s="302">
        <v>122747663</v>
      </c>
      <c r="N751" s="302">
        <v>909740305</v>
      </c>
      <c r="O751" s="302">
        <v>18018571</v>
      </c>
      <c r="P751" s="302">
        <v>891721734</v>
      </c>
      <c r="Q751" s="303"/>
    </row>
    <row r="752" spans="1:17" s="304" customFormat="1" x14ac:dyDescent="0.25">
      <c r="A752" s="300">
        <v>745</v>
      </c>
      <c r="B752" s="300">
        <v>900265163</v>
      </c>
      <c r="C752" s="300" t="s">
        <v>1650</v>
      </c>
      <c r="D752" s="300" t="s">
        <v>758</v>
      </c>
      <c r="E752" s="300" t="s">
        <v>832</v>
      </c>
      <c r="F752" s="301" t="s">
        <v>766</v>
      </c>
      <c r="G752" s="302">
        <v>120647902</v>
      </c>
      <c r="H752" s="302">
        <v>122132557</v>
      </c>
      <c r="I752" s="302">
        <v>983015942</v>
      </c>
      <c r="J752" s="302">
        <v>1438748</v>
      </c>
      <c r="K752" s="302">
        <v>981577194</v>
      </c>
      <c r="L752" s="302">
        <v>121567436</v>
      </c>
      <c r="M752" s="302">
        <v>125929283</v>
      </c>
      <c r="N752" s="302">
        <v>899751835</v>
      </c>
      <c r="O752" s="302">
        <v>4641044</v>
      </c>
      <c r="P752" s="302">
        <v>895110791</v>
      </c>
      <c r="Q752" s="303"/>
    </row>
    <row r="753" spans="1:17" s="304" customFormat="1" x14ac:dyDescent="0.25">
      <c r="A753" s="300">
        <v>746</v>
      </c>
      <c r="B753" s="300">
        <v>811029972</v>
      </c>
      <c r="C753" s="300" t="s">
        <v>1651</v>
      </c>
      <c r="D753" s="300" t="s">
        <v>763</v>
      </c>
      <c r="E753" s="300" t="s">
        <v>776</v>
      </c>
      <c r="F753" s="300" t="s">
        <v>764</v>
      </c>
      <c r="G753" s="302">
        <v>120632126</v>
      </c>
      <c r="H753" s="302">
        <v>1158373</v>
      </c>
      <c r="I753" s="302">
        <v>186256636</v>
      </c>
      <c r="J753" s="302">
        <v>180851633</v>
      </c>
      <c r="K753" s="302">
        <v>5405003</v>
      </c>
      <c r="L753" s="302">
        <v>111092615</v>
      </c>
      <c r="M753" s="302">
        <v>2251117</v>
      </c>
      <c r="N753" s="302">
        <v>148761478</v>
      </c>
      <c r="O753" s="302">
        <v>139940820</v>
      </c>
      <c r="P753" s="302">
        <v>8820658</v>
      </c>
      <c r="Q753" s="303"/>
    </row>
    <row r="754" spans="1:17" s="304" customFormat="1" x14ac:dyDescent="0.25">
      <c r="A754" s="300">
        <v>747</v>
      </c>
      <c r="B754" s="300">
        <v>890105927</v>
      </c>
      <c r="C754" s="300" t="s">
        <v>1652</v>
      </c>
      <c r="D754" s="300" t="s">
        <v>768</v>
      </c>
      <c r="E754" s="300" t="s">
        <v>995</v>
      </c>
      <c r="F754" s="301" t="s">
        <v>779</v>
      </c>
      <c r="G754" s="302">
        <v>120415529</v>
      </c>
      <c r="H754" s="302">
        <v>3812859</v>
      </c>
      <c r="I754" s="302">
        <v>186697107</v>
      </c>
      <c r="J754" s="302">
        <v>88374251</v>
      </c>
      <c r="K754" s="302">
        <v>98322856</v>
      </c>
      <c r="L754" s="302">
        <v>104308387</v>
      </c>
      <c r="M754" s="302">
        <v>3242498</v>
      </c>
      <c r="N754" s="302">
        <v>174930690</v>
      </c>
      <c r="O754" s="302">
        <v>89587156</v>
      </c>
      <c r="P754" s="302">
        <v>85343534</v>
      </c>
      <c r="Q754" s="303"/>
    </row>
    <row r="755" spans="1:17" s="304" customFormat="1" x14ac:dyDescent="0.25">
      <c r="A755" s="300">
        <v>748</v>
      </c>
      <c r="B755" s="300">
        <v>800245746</v>
      </c>
      <c r="C755" s="300" t="s">
        <v>1653</v>
      </c>
      <c r="D755" s="300" t="s">
        <v>768</v>
      </c>
      <c r="E755" s="300" t="s">
        <v>759</v>
      </c>
      <c r="F755" s="301" t="s">
        <v>766</v>
      </c>
      <c r="G755" s="302">
        <v>120201396.354</v>
      </c>
      <c r="H755" s="302">
        <v>-50806461.645000003</v>
      </c>
      <c r="I755" s="302">
        <v>594646339.55299997</v>
      </c>
      <c r="J755" s="302">
        <v>367629282.14399999</v>
      </c>
      <c r="K755" s="302">
        <v>227017057.40900001</v>
      </c>
      <c r="L755" s="302">
        <v>181821268.13699999</v>
      </c>
      <c r="M755" s="302">
        <v>12287247.425000001</v>
      </c>
      <c r="N755" s="302">
        <v>591228533.074</v>
      </c>
      <c r="O755" s="302">
        <v>318067361.537</v>
      </c>
      <c r="P755" s="302">
        <v>273161171.537</v>
      </c>
      <c r="Q755" s="303"/>
    </row>
    <row r="756" spans="1:17" s="304" customFormat="1" x14ac:dyDescent="0.25">
      <c r="A756" s="300">
        <v>749</v>
      </c>
      <c r="B756" s="300">
        <v>890206611</v>
      </c>
      <c r="C756" s="300" t="s">
        <v>1654</v>
      </c>
      <c r="D756" s="300" t="s">
        <v>758</v>
      </c>
      <c r="E756" s="300" t="s">
        <v>1655</v>
      </c>
      <c r="F756" s="301" t="s">
        <v>764</v>
      </c>
      <c r="G756" s="302">
        <v>120135187</v>
      </c>
      <c r="H756" s="302">
        <v>-6562110</v>
      </c>
      <c r="I756" s="302">
        <v>169904116</v>
      </c>
      <c r="J756" s="302">
        <v>92171679</v>
      </c>
      <c r="K756" s="302">
        <v>77732437</v>
      </c>
      <c r="L756" s="302">
        <v>122248772</v>
      </c>
      <c r="M756" s="302">
        <v>993102</v>
      </c>
      <c r="N756" s="302">
        <v>175521909</v>
      </c>
      <c r="O756" s="302">
        <v>91227363</v>
      </c>
      <c r="P756" s="302">
        <v>84294546</v>
      </c>
      <c r="Q756" s="303"/>
    </row>
    <row r="757" spans="1:17" s="304" customFormat="1" x14ac:dyDescent="0.25">
      <c r="A757" s="300">
        <v>750</v>
      </c>
      <c r="B757" s="300">
        <v>890311274</v>
      </c>
      <c r="C757" s="300" t="s">
        <v>1656</v>
      </c>
      <c r="D757" s="300" t="s">
        <v>808</v>
      </c>
      <c r="E757" s="300" t="s">
        <v>1657</v>
      </c>
      <c r="F757" s="301" t="s">
        <v>764</v>
      </c>
      <c r="G757" s="302">
        <v>120124132</v>
      </c>
      <c r="H757" s="302">
        <v>-8024538</v>
      </c>
      <c r="I757" s="302">
        <v>88503970</v>
      </c>
      <c r="J757" s="302">
        <v>56775186</v>
      </c>
      <c r="K757" s="302">
        <v>31728784</v>
      </c>
      <c r="L757" s="302">
        <v>129201081</v>
      </c>
      <c r="M757" s="302">
        <v>-561252</v>
      </c>
      <c r="N757" s="302">
        <v>100500094</v>
      </c>
      <c r="O757" s="302">
        <v>87005223</v>
      </c>
      <c r="P757" s="302">
        <v>13494871</v>
      </c>
      <c r="Q757" s="303"/>
    </row>
    <row r="758" spans="1:17" s="304" customFormat="1" x14ac:dyDescent="0.25">
      <c r="A758" s="300">
        <v>751</v>
      </c>
      <c r="B758" s="300">
        <v>800248617</v>
      </c>
      <c r="C758" s="300" t="s">
        <v>1658</v>
      </c>
      <c r="D758" s="300" t="s">
        <v>768</v>
      </c>
      <c r="E758" s="300" t="s">
        <v>1176</v>
      </c>
      <c r="F758" s="301" t="s">
        <v>764</v>
      </c>
      <c r="G758" s="302">
        <v>120080958</v>
      </c>
      <c r="H758" s="302">
        <v>884740</v>
      </c>
      <c r="I758" s="302">
        <v>28425032</v>
      </c>
      <c r="J758" s="302">
        <v>19539509</v>
      </c>
      <c r="K758" s="302">
        <v>8885523</v>
      </c>
      <c r="L758" s="302">
        <v>120232130</v>
      </c>
      <c r="M758" s="302">
        <v>1682028</v>
      </c>
      <c r="N758" s="302">
        <v>29204350</v>
      </c>
      <c r="O758" s="302">
        <v>20303567</v>
      </c>
      <c r="P758" s="302">
        <v>8900783</v>
      </c>
      <c r="Q758" s="303"/>
    </row>
    <row r="759" spans="1:17" s="304" customFormat="1" x14ac:dyDescent="0.25">
      <c r="A759" s="300">
        <v>752</v>
      </c>
      <c r="B759" s="300">
        <v>830132153</v>
      </c>
      <c r="C759" s="300" t="s">
        <v>1659</v>
      </c>
      <c r="D759" s="300" t="s">
        <v>758</v>
      </c>
      <c r="E759" s="300" t="s">
        <v>776</v>
      </c>
      <c r="F759" s="301" t="s">
        <v>764</v>
      </c>
      <c r="G759" s="302">
        <v>119737450</v>
      </c>
      <c r="H759" s="302">
        <v>-13182758</v>
      </c>
      <c r="I759" s="302">
        <v>48051722</v>
      </c>
      <c r="J759" s="302">
        <v>56035420</v>
      </c>
      <c r="K759" s="302">
        <v>-7983698</v>
      </c>
      <c r="L759" s="302">
        <v>193728253</v>
      </c>
      <c r="M759" s="302">
        <v>-3309957</v>
      </c>
      <c r="N759" s="302">
        <v>82569307</v>
      </c>
      <c r="O759" s="302">
        <v>77370240</v>
      </c>
      <c r="P759" s="302">
        <v>5199067</v>
      </c>
      <c r="Q759" s="303"/>
    </row>
    <row r="760" spans="1:17" s="304" customFormat="1" x14ac:dyDescent="0.25">
      <c r="A760" s="300">
        <v>753</v>
      </c>
      <c r="B760" s="300">
        <v>890301753</v>
      </c>
      <c r="C760" s="300" t="s">
        <v>1660</v>
      </c>
      <c r="D760" s="300" t="s">
        <v>808</v>
      </c>
      <c r="E760" s="300" t="s">
        <v>1190</v>
      </c>
      <c r="F760" s="301" t="s">
        <v>764</v>
      </c>
      <c r="G760" s="302">
        <v>119624470</v>
      </c>
      <c r="H760" s="302">
        <v>2640454</v>
      </c>
      <c r="I760" s="302">
        <v>94339800</v>
      </c>
      <c r="J760" s="302">
        <v>49929519</v>
      </c>
      <c r="K760" s="302">
        <v>44410281</v>
      </c>
      <c r="L760" s="302">
        <v>115688341</v>
      </c>
      <c r="M760" s="302">
        <v>4151292</v>
      </c>
      <c r="N760" s="302">
        <v>102400357</v>
      </c>
      <c r="O760" s="302">
        <v>56540515</v>
      </c>
      <c r="P760" s="302">
        <v>45859842</v>
      </c>
      <c r="Q760" s="303"/>
    </row>
    <row r="761" spans="1:17" s="304" customFormat="1" x14ac:dyDescent="0.25">
      <c r="A761" s="300">
        <v>754</v>
      </c>
      <c r="B761" s="300">
        <v>890206051</v>
      </c>
      <c r="C761" s="300" t="s">
        <v>1661</v>
      </c>
      <c r="D761" s="300" t="s">
        <v>891</v>
      </c>
      <c r="E761" s="300" t="s">
        <v>1086</v>
      </c>
      <c r="F761" s="301" t="s">
        <v>766</v>
      </c>
      <c r="G761" s="302">
        <v>119580218</v>
      </c>
      <c r="H761" s="302">
        <v>795829</v>
      </c>
      <c r="I761" s="302">
        <v>18031124</v>
      </c>
      <c r="J761" s="302">
        <v>11656308</v>
      </c>
      <c r="K761" s="302">
        <v>6374816</v>
      </c>
      <c r="L761" s="302">
        <v>124365245</v>
      </c>
      <c r="M761" s="302">
        <v>545662</v>
      </c>
      <c r="N761" s="302">
        <v>16448461</v>
      </c>
      <c r="O761" s="302">
        <v>11179456</v>
      </c>
      <c r="P761" s="302">
        <v>5269005</v>
      </c>
      <c r="Q761" s="303"/>
    </row>
    <row r="762" spans="1:17" s="304" customFormat="1" x14ac:dyDescent="0.25">
      <c r="A762" s="300">
        <v>755</v>
      </c>
      <c r="B762" s="300">
        <v>900243910</v>
      </c>
      <c r="C762" s="300" t="s">
        <v>1662</v>
      </c>
      <c r="D762" s="300" t="s">
        <v>758</v>
      </c>
      <c r="E762" s="300" t="s">
        <v>846</v>
      </c>
      <c r="F762" s="301" t="s">
        <v>760</v>
      </c>
      <c r="G762" s="302">
        <v>119459788</v>
      </c>
      <c r="H762" s="302">
        <v>-9887287</v>
      </c>
      <c r="I762" s="302">
        <v>279172919</v>
      </c>
      <c r="J762" s="302">
        <v>25043410</v>
      </c>
      <c r="K762" s="302">
        <v>254129509</v>
      </c>
      <c r="L762" s="302">
        <v>196289471</v>
      </c>
      <c r="M762" s="302">
        <v>-1137017</v>
      </c>
      <c r="N762" s="302">
        <v>318675482</v>
      </c>
      <c r="O762" s="302">
        <v>30207439</v>
      </c>
      <c r="P762" s="302">
        <v>288468043</v>
      </c>
      <c r="Q762" s="303"/>
    </row>
    <row r="763" spans="1:17" s="304" customFormat="1" x14ac:dyDescent="0.25">
      <c r="A763" s="300">
        <v>756</v>
      </c>
      <c r="B763" s="300">
        <v>890404383</v>
      </c>
      <c r="C763" s="300" t="s">
        <v>1663</v>
      </c>
      <c r="D763" s="300" t="s">
        <v>768</v>
      </c>
      <c r="E763" s="300" t="s">
        <v>1086</v>
      </c>
      <c r="F763" s="301" t="s">
        <v>766</v>
      </c>
      <c r="G763" s="302">
        <v>119315614</v>
      </c>
      <c r="H763" s="302">
        <v>416051</v>
      </c>
      <c r="I763" s="302">
        <v>31207470</v>
      </c>
      <c r="J763" s="302">
        <v>22030805</v>
      </c>
      <c r="K763" s="302">
        <v>9176665</v>
      </c>
      <c r="L763" s="302">
        <v>113627077</v>
      </c>
      <c r="M763" s="302">
        <v>929092</v>
      </c>
      <c r="N763" s="302">
        <v>28656189</v>
      </c>
      <c r="O763" s="302">
        <v>19895575</v>
      </c>
      <c r="P763" s="302">
        <v>8760614</v>
      </c>
      <c r="Q763" s="303"/>
    </row>
    <row r="764" spans="1:17" s="304" customFormat="1" x14ac:dyDescent="0.25">
      <c r="A764" s="300">
        <v>757</v>
      </c>
      <c r="B764" s="300">
        <v>890400080</v>
      </c>
      <c r="C764" s="300" t="s">
        <v>1664</v>
      </c>
      <c r="D764" s="300" t="s">
        <v>768</v>
      </c>
      <c r="E764" s="300" t="s">
        <v>902</v>
      </c>
      <c r="F764" s="300" t="s">
        <v>779</v>
      </c>
      <c r="G764" s="302">
        <v>119250487</v>
      </c>
      <c r="H764" s="302">
        <v>6535463</v>
      </c>
      <c r="I764" s="302">
        <v>121324395</v>
      </c>
      <c r="J764" s="302">
        <v>50230226</v>
      </c>
      <c r="K764" s="302">
        <v>71094169</v>
      </c>
      <c r="L764" s="302">
        <v>105658537</v>
      </c>
      <c r="M764" s="302">
        <v>2042041</v>
      </c>
      <c r="N764" s="302">
        <v>115595047</v>
      </c>
      <c r="O764" s="302">
        <v>49927902</v>
      </c>
      <c r="P764" s="302">
        <v>65667145</v>
      </c>
      <c r="Q764" s="303"/>
    </row>
    <row r="765" spans="1:17" s="304" customFormat="1" x14ac:dyDescent="0.25">
      <c r="A765" s="300">
        <v>758</v>
      </c>
      <c r="B765" s="300">
        <v>860070698</v>
      </c>
      <c r="C765" s="300" t="s">
        <v>1665</v>
      </c>
      <c r="D765" s="300" t="s">
        <v>758</v>
      </c>
      <c r="E765" s="300" t="s">
        <v>1160</v>
      </c>
      <c r="F765" s="300" t="s">
        <v>764</v>
      </c>
      <c r="G765" s="302">
        <v>119057486</v>
      </c>
      <c r="H765" s="302">
        <v>16854020</v>
      </c>
      <c r="I765" s="302">
        <v>140843789</v>
      </c>
      <c r="J765" s="302">
        <v>26942203</v>
      </c>
      <c r="K765" s="302">
        <v>113901586</v>
      </c>
      <c r="L765" s="302">
        <v>119955441</v>
      </c>
      <c r="M765" s="302">
        <v>18754277</v>
      </c>
      <c r="N765" s="302">
        <v>116821451</v>
      </c>
      <c r="O765" s="302">
        <v>19490262</v>
      </c>
      <c r="P765" s="302">
        <v>97331189</v>
      </c>
      <c r="Q765" s="303"/>
    </row>
    <row r="766" spans="1:17" s="304" customFormat="1" x14ac:dyDescent="0.25">
      <c r="A766" s="300">
        <v>759</v>
      </c>
      <c r="B766" s="300">
        <v>890503314</v>
      </c>
      <c r="C766" s="300" t="s">
        <v>1666</v>
      </c>
      <c r="D766" s="300" t="s">
        <v>891</v>
      </c>
      <c r="E766" s="300" t="s">
        <v>1081</v>
      </c>
      <c r="F766" s="301" t="s">
        <v>779</v>
      </c>
      <c r="G766" s="302">
        <v>119025567</v>
      </c>
      <c r="H766" s="302">
        <v>2714479</v>
      </c>
      <c r="I766" s="302">
        <v>121905438</v>
      </c>
      <c r="J766" s="302">
        <v>47075387</v>
      </c>
      <c r="K766" s="302">
        <v>74830051</v>
      </c>
      <c r="L766" s="302">
        <v>123744731</v>
      </c>
      <c r="M766" s="302">
        <v>709546</v>
      </c>
      <c r="N766" s="302">
        <v>93195325</v>
      </c>
      <c r="O766" s="302">
        <v>29344395</v>
      </c>
      <c r="P766" s="302">
        <v>63850930</v>
      </c>
      <c r="Q766" s="303"/>
    </row>
    <row r="767" spans="1:17" s="304" customFormat="1" x14ac:dyDescent="0.25">
      <c r="A767" s="300">
        <v>760</v>
      </c>
      <c r="B767" s="300">
        <v>811019880</v>
      </c>
      <c r="C767" s="300" t="s">
        <v>1667</v>
      </c>
      <c r="D767" s="300" t="s">
        <v>763</v>
      </c>
      <c r="E767" s="300" t="s">
        <v>856</v>
      </c>
      <c r="F767" s="301" t="s">
        <v>779</v>
      </c>
      <c r="G767" s="302">
        <v>118835984</v>
      </c>
      <c r="H767" s="302">
        <v>2754305</v>
      </c>
      <c r="I767" s="302">
        <v>166978611</v>
      </c>
      <c r="J767" s="302">
        <v>77928007</v>
      </c>
      <c r="K767" s="302">
        <v>89050604</v>
      </c>
      <c r="L767" s="302">
        <v>108826873</v>
      </c>
      <c r="M767" s="302">
        <v>497318</v>
      </c>
      <c r="N767" s="302">
        <v>161269926</v>
      </c>
      <c r="O767" s="302">
        <v>86609422</v>
      </c>
      <c r="P767" s="302">
        <v>74660504</v>
      </c>
      <c r="Q767" s="303"/>
    </row>
    <row r="768" spans="1:17" s="304" customFormat="1" x14ac:dyDescent="0.25">
      <c r="A768" s="300">
        <v>761</v>
      </c>
      <c r="B768" s="300">
        <v>900104081</v>
      </c>
      <c r="C768" s="300" t="s">
        <v>1668</v>
      </c>
      <c r="D768" s="300" t="s">
        <v>758</v>
      </c>
      <c r="E768" s="300" t="s">
        <v>832</v>
      </c>
      <c r="F768" s="301" t="s">
        <v>766</v>
      </c>
      <c r="G768" s="302">
        <v>118475286</v>
      </c>
      <c r="H768" s="302">
        <v>119137785</v>
      </c>
      <c r="I768" s="302">
        <v>3159030586</v>
      </c>
      <c r="J768" s="302">
        <v>16396984</v>
      </c>
      <c r="K768" s="302">
        <v>3142633602</v>
      </c>
      <c r="L768" s="302">
        <v>104044310</v>
      </c>
      <c r="M768" s="302">
        <v>103103966</v>
      </c>
      <c r="N768" s="302">
        <v>2984543400</v>
      </c>
      <c r="O768" s="302">
        <v>3343179</v>
      </c>
      <c r="P768" s="302">
        <v>2981200221</v>
      </c>
      <c r="Q768" s="303"/>
    </row>
    <row r="769" spans="1:17" s="304" customFormat="1" x14ac:dyDescent="0.25">
      <c r="A769" s="300">
        <v>762</v>
      </c>
      <c r="B769" s="300">
        <v>805020091</v>
      </c>
      <c r="C769" s="300" t="s">
        <v>1669</v>
      </c>
      <c r="D769" s="300" t="s">
        <v>808</v>
      </c>
      <c r="E769" s="300" t="s">
        <v>776</v>
      </c>
      <c r="F769" s="301" t="s">
        <v>764</v>
      </c>
      <c r="G769" s="302">
        <v>118198232</v>
      </c>
      <c r="H769" s="302">
        <v>516145</v>
      </c>
      <c r="I769" s="302">
        <v>12469804</v>
      </c>
      <c r="J769" s="302">
        <v>7433080</v>
      </c>
      <c r="K769" s="302">
        <v>5036724</v>
      </c>
      <c r="L769" s="302">
        <v>418640764</v>
      </c>
      <c r="M769" s="302">
        <v>752983</v>
      </c>
      <c r="N769" s="302">
        <v>14062795</v>
      </c>
      <c r="O769" s="302">
        <v>9542215</v>
      </c>
      <c r="P769" s="302">
        <v>4520580</v>
      </c>
      <c r="Q769" s="303"/>
    </row>
    <row r="770" spans="1:17" s="304" customFormat="1" x14ac:dyDescent="0.25">
      <c r="A770" s="300">
        <v>763</v>
      </c>
      <c r="B770" s="300">
        <v>800023551</v>
      </c>
      <c r="C770" s="300" t="s">
        <v>1670</v>
      </c>
      <c r="D770" s="300" t="s">
        <v>758</v>
      </c>
      <c r="E770" s="300" t="s">
        <v>773</v>
      </c>
      <c r="F770" s="301" t="s">
        <v>760</v>
      </c>
      <c r="G770" s="302">
        <v>118088793</v>
      </c>
      <c r="H770" s="302">
        <v>1334504</v>
      </c>
      <c r="I770" s="302">
        <v>46408658</v>
      </c>
      <c r="J770" s="302">
        <v>40143868</v>
      </c>
      <c r="K770" s="302">
        <v>6264790</v>
      </c>
      <c r="L770" s="302">
        <v>150542585</v>
      </c>
      <c r="M770" s="302">
        <v>90696</v>
      </c>
      <c r="N770" s="302">
        <v>52291403</v>
      </c>
      <c r="O770" s="302">
        <v>47361118</v>
      </c>
      <c r="P770" s="302">
        <v>4930285</v>
      </c>
      <c r="Q770" s="303"/>
    </row>
    <row r="771" spans="1:17" s="304" customFormat="1" x14ac:dyDescent="0.25">
      <c r="A771" s="300">
        <v>764</v>
      </c>
      <c r="B771" s="300">
        <v>805025964</v>
      </c>
      <c r="C771" s="300" t="s">
        <v>1671</v>
      </c>
      <c r="D771" s="300" t="s">
        <v>758</v>
      </c>
      <c r="E771" s="300" t="s">
        <v>1055</v>
      </c>
      <c r="F771" s="301" t="s">
        <v>766</v>
      </c>
      <c r="G771" s="302">
        <v>117792914</v>
      </c>
      <c r="H771" s="302">
        <v>13706008</v>
      </c>
      <c r="I771" s="302">
        <v>373701909</v>
      </c>
      <c r="J771" s="302">
        <v>266230570</v>
      </c>
      <c r="K771" s="302">
        <v>107471339</v>
      </c>
      <c r="L771" s="302">
        <v>109438070</v>
      </c>
      <c r="M771" s="302">
        <v>10178009</v>
      </c>
      <c r="N771" s="302">
        <v>345239787</v>
      </c>
      <c r="O771" s="302">
        <v>251478313</v>
      </c>
      <c r="P771" s="302">
        <v>93761474</v>
      </c>
      <c r="Q771" s="303"/>
    </row>
    <row r="772" spans="1:17" s="304" customFormat="1" x14ac:dyDescent="0.25">
      <c r="A772" s="300">
        <v>765</v>
      </c>
      <c r="B772" s="300">
        <v>900204182</v>
      </c>
      <c r="C772" s="300" t="s">
        <v>1672</v>
      </c>
      <c r="D772" s="300" t="s">
        <v>758</v>
      </c>
      <c r="E772" s="300" t="s">
        <v>949</v>
      </c>
      <c r="F772" s="301" t="s">
        <v>764</v>
      </c>
      <c r="G772" s="302">
        <v>117695764</v>
      </c>
      <c r="H772" s="302">
        <v>-3523307</v>
      </c>
      <c r="I772" s="302">
        <v>57633073</v>
      </c>
      <c r="J772" s="302">
        <v>65191568</v>
      </c>
      <c r="K772" s="302">
        <v>-7558495</v>
      </c>
      <c r="L772" s="302">
        <v>123547304</v>
      </c>
      <c r="M772" s="302">
        <v>-4227500</v>
      </c>
      <c r="N772" s="302">
        <v>60941378</v>
      </c>
      <c r="O772" s="302">
        <v>64976567</v>
      </c>
      <c r="P772" s="302">
        <v>-4035189</v>
      </c>
      <c r="Q772" s="303"/>
    </row>
    <row r="773" spans="1:17" s="304" customFormat="1" x14ac:dyDescent="0.25">
      <c r="A773" s="300">
        <v>766</v>
      </c>
      <c r="B773" s="300">
        <v>860003168</v>
      </c>
      <c r="C773" s="300" t="s">
        <v>1673</v>
      </c>
      <c r="D773" s="300" t="s">
        <v>758</v>
      </c>
      <c r="E773" s="300" t="s">
        <v>798</v>
      </c>
      <c r="F773" s="301" t="s">
        <v>764</v>
      </c>
      <c r="G773" s="310">
        <v>117487714</v>
      </c>
      <c r="H773" s="310">
        <v>3265339</v>
      </c>
      <c r="I773" s="310">
        <v>150265077</v>
      </c>
      <c r="J773" s="310">
        <v>84941063</v>
      </c>
      <c r="K773" s="310">
        <v>65324014</v>
      </c>
      <c r="L773" s="310">
        <v>110503635</v>
      </c>
      <c r="M773" s="310">
        <v>1138415</v>
      </c>
      <c r="N773" s="310">
        <v>123972376</v>
      </c>
      <c r="O773" s="310">
        <v>71386849</v>
      </c>
      <c r="P773" s="310">
        <v>52585527</v>
      </c>
      <c r="Q773" s="303"/>
    </row>
    <row r="774" spans="1:17" s="304" customFormat="1" x14ac:dyDescent="0.25">
      <c r="A774" s="300">
        <v>767</v>
      </c>
      <c r="B774" s="300">
        <v>890919549</v>
      </c>
      <c r="C774" s="300" t="s">
        <v>1674</v>
      </c>
      <c r="D774" s="300" t="s">
        <v>763</v>
      </c>
      <c r="E774" s="300" t="s">
        <v>1140</v>
      </c>
      <c r="F774" s="300" t="s">
        <v>764</v>
      </c>
      <c r="G774" s="302">
        <v>117270721</v>
      </c>
      <c r="H774" s="302">
        <v>1084240</v>
      </c>
      <c r="I774" s="302">
        <v>97475814</v>
      </c>
      <c r="J774" s="302">
        <v>44478603</v>
      </c>
      <c r="K774" s="302">
        <v>52997211</v>
      </c>
      <c r="L774" s="302">
        <v>116517680</v>
      </c>
      <c r="M774" s="302">
        <v>600932</v>
      </c>
      <c r="N774" s="302">
        <v>73948648</v>
      </c>
      <c r="O774" s="302">
        <v>50302233</v>
      </c>
      <c r="P774" s="302">
        <v>23646415</v>
      </c>
      <c r="Q774" s="303"/>
    </row>
    <row r="775" spans="1:17" s="304" customFormat="1" x14ac:dyDescent="0.25">
      <c r="A775" s="300">
        <v>768</v>
      </c>
      <c r="B775" s="300">
        <v>830057706</v>
      </c>
      <c r="C775" s="300" t="s">
        <v>1675</v>
      </c>
      <c r="D775" s="300" t="s">
        <v>758</v>
      </c>
      <c r="E775" s="300" t="s">
        <v>1133</v>
      </c>
      <c r="F775" s="301" t="s">
        <v>764</v>
      </c>
      <c r="G775" s="302">
        <v>117262963</v>
      </c>
      <c r="H775" s="302">
        <v>753189</v>
      </c>
      <c r="I775" s="302">
        <v>94324340</v>
      </c>
      <c r="J775" s="302">
        <v>43335000</v>
      </c>
      <c r="K775" s="302">
        <v>50989340</v>
      </c>
      <c r="L775" s="302">
        <v>111261436</v>
      </c>
      <c r="M775" s="302">
        <v>-2113722</v>
      </c>
      <c r="N775" s="302">
        <v>88941768</v>
      </c>
      <c r="O775" s="302">
        <v>38705618</v>
      </c>
      <c r="P775" s="302">
        <v>50236150</v>
      </c>
      <c r="Q775" s="303"/>
    </row>
    <row r="776" spans="1:17" s="304" customFormat="1" x14ac:dyDescent="0.25">
      <c r="A776" s="300">
        <v>769</v>
      </c>
      <c r="B776" s="300">
        <v>800014246</v>
      </c>
      <c r="C776" s="300" t="s">
        <v>1676</v>
      </c>
      <c r="D776" s="300" t="s">
        <v>763</v>
      </c>
      <c r="E776" s="300" t="s">
        <v>876</v>
      </c>
      <c r="F776" s="311" t="s">
        <v>877</v>
      </c>
      <c r="G776" s="302">
        <v>117234765</v>
      </c>
      <c r="H776" s="302">
        <v>4082087</v>
      </c>
      <c r="I776" s="302">
        <v>97725505</v>
      </c>
      <c r="J776" s="302">
        <v>55807930</v>
      </c>
      <c r="K776" s="302">
        <v>41917575</v>
      </c>
      <c r="L776" s="302">
        <v>113490159</v>
      </c>
      <c r="M776" s="302">
        <v>5011171</v>
      </c>
      <c r="N776" s="302">
        <v>75516557</v>
      </c>
      <c r="O776" s="302">
        <v>38268092</v>
      </c>
      <c r="P776" s="302">
        <v>37248465</v>
      </c>
      <c r="Q776" s="303"/>
    </row>
    <row r="777" spans="1:17" s="304" customFormat="1" x14ac:dyDescent="0.25">
      <c r="A777" s="300">
        <v>770</v>
      </c>
      <c r="B777" s="300">
        <v>830096374</v>
      </c>
      <c r="C777" s="300" t="s">
        <v>1677</v>
      </c>
      <c r="D777" s="300" t="s">
        <v>758</v>
      </c>
      <c r="E777" s="300" t="s">
        <v>1065</v>
      </c>
      <c r="F777" s="301" t="s">
        <v>766</v>
      </c>
      <c r="G777" s="302">
        <v>116748016</v>
      </c>
      <c r="H777" s="302">
        <v>9617533</v>
      </c>
      <c r="I777" s="302">
        <v>110339488</v>
      </c>
      <c r="J777" s="302">
        <v>69052782</v>
      </c>
      <c r="K777" s="302">
        <v>41286706</v>
      </c>
      <c r="L777" s="302">
        <v>69283705</v>
      </c>
      <c r="M777" s="302">
        <v>4293026</v>
      </c>
      <c r="N777" s="302">
        <v>49410088</v>
      </c>
      <c r="O777" s="302">
        <v>27615461</v>
      </c>
      <c r="P777" s="302">
        <v>21794627</v>
      </c>
      <c r="Q777" s="303"/>
    </row>
    <row r="778" spans="1:17" s="304" customFormat="1" x14ac:dyDescent="0.25">
      <c r="A778" s="300">
        <v>771</v>
      </c>
      <c r="B778" s="300">
        <v>8600907217</v>
      </c>
      <c r="C778" s="300" t="s">
        <v>1678</v>
      </c>
      <c r="D778" s="300" t="s">
        <v>758</v>
      </c>
      <c r="E778" s="300" t="s">
        <v>759</v>
      </c>
      <c r="F778" s="300" t="s">
        <v>766</v>
      </c>
      <c r="G778" s="302">
        <v>116639697.98999999</v>
      </c>
      <c r="H778" s="302">
        <v>5162908.6909999996</v>
      </c>
      <c r="I778" s="302">
        <v>29206684.864</v>
      </c>
      <c r="J778" s="302">
        <v>13343569.560000001</v>
      </c>
      <c r="K778" s="302">
        <v>15863115.304</v>
      </c>
      <c r="L778" s="302">
        <v>116019012.48999999</v>
      </c>
      <c r="M778" s="302">
        <v>4216019.1679999996</v>
      </c>
      <c r="N778" s="302">
        <v>32077452.300999999</v>
      </c>
      <c r="O778" s="302">
        <v>16177245.687999999</v>
      </c>
      <c r="P778" s="302">
        <v>15900206.613</v>
      </c>
      <c r="Q778" s="303"/>
    </row>
    <row r="779" spans="1:17" s="304" customFormat="1" x14ac:dyDescent="0.25">
      <c r="A779" s="300">
        <v>772</v>
      </c>
      <c r="B779" s="300">
        <v>890985122</v>
      </c>
      <c r="C779" s="300" t="s">
        <v>1679</v>
      </c>
      <c r="D779" s="300" t="s">
        <v>763</v>
      </c>
      <c r="E779" s="300" t="s">
        <v>759</v>
      </c>
      <c r="F779" s="301" t="s">
        <v>766</v>
      </c>
      <c r="G779" s="302">
        <v>116529256.33779</v>
      </c>
      <c r="H779" s="302">
        <v>491494.25429000001</v>
      </c>
      <c r="I779" s="302">
        <v>58439057.091349997</v>
      </c>
      <c r="J779" s="302">
        <v>45438780.92526</v>
      </c>
      <c r="K779" s="302">
        <v>13000276.16609</v>
      </c>
      <c r="L779" s="302">
        <v>96797249.615380004</v>
      </c>
      <c r="M779" s="302">
        <v>402494.29837999999</v>
      </c>
      <c r="N779" s="302">
        <v>58646095.421620004</v>
      </c>
      <c r="O779" s="302">
        <v>45934206.359739996</v>
      </c>
      <c r="P779" s="302">
        <v>12711889.06188</v>
      </c>
      <c r="Q779" s="303"/>
    </row>
    <row r="780" spans="1:17" s="304" customFormat="1" x14ac:dyDescent="0.25">
      <c r="A780" s="300">
        <v>773</v>
      </c>
      <c r="B780" s="300">
        <v>800058607</v>
      </c>
      <c r="C780" s="300" t="s">
        <v>1680</v>
      </c>
      <c r="D780" s="300" t="s">
        <v>758</v>
      </c>
      <c r="E780" s="300" t="s">
        <v>1245</v>
      </c>
      <c r="F780" s="301" t="s">
        <v>764</v>
      </c>
      <c r="G780" s="302">
        <v>116255443</v>
      </c>
      <c r="H780" s="302">
        <v>4918401</v>
      </c>
      <c r="I780" s="302">
        <v>39143312</v>
      </c>
      <c r="J780" s="302">
        <v>25345063</v>
      </c>
      <c r="K780" s="302">
        <v>13798249</v>
      </c>
      <c r="L780" s="302">
        <v>91883171</v>
      </c>
      <c r="M780" s="302">
        <v>3024335</v>
      </c>
      <c r="N780" s="302">
        <v>28798025</v>
      </c>
      <c r="O780" s="302">
        <v>18698177</v>
      </c>
      <c r="P780" s="302">
        <v>10099848</v>
      </c>
      <c r="Q780" s="303"/>
    </row>
    <row r="781" spans="1:17" s="304" customFormat="1" x14ac:dyDescent="0.25">
      <c r="A781" s="300">
        <v>774</v>
      </c>
      <c r="B781" s="300">
        <v>811023992</v>
      </c>
      <c r="C781" s="300" t="s">
        <v>1681</v>
      </c>
      <c r="D781" s="300" t="s">
        <v>763</v>
      </c>
      <c r="E781" s="300" t="s">
        <v>1190</v>
      </c>
      <c r="F781" s="301" t="s">
        <v>764</v>
      </c>
      <c r="G781" s="302">
        <v>116177051</v>
      </c>
      <c r="H781" s="302">
        <v>785481</v>
      </c>
      <c r="I781" s="302">
        <v>58582122</v>
      </c>
      <c r="J781" s="302">
        <v>38476725</v>
      </c>
      <c r="K781" s="302">
        <v>20105397</v>
      </c>
      <c r="L781" s="302">
        <v>144446964</v>
      </c>
      <c r="M781" s="302">
        <v>790300</v>
      </c>
      <c r="N781" s="302">
        <v>49891797</v>
      </c>
      <c r="O781" s="302">
        <v>30491403</v>
      </c>
      <c r="P781" s="302">
        <v>19400394</v>
      </c>
      <c r="Q781" s="303"/>
    </row>
    <row r="782" spans="1:17" s="304" customFormat="1" x14ac:dyDescent="0.25">
      <c r="A782" s="300">
        <v>775</v>
      </c>
      <c r="B782" s="300">
        <v>813004094</v>
      </c>
      <c r="C782" s="300" t="s">
        <v>1682</v>
      </c>
      <c r="D782" s="300" t="s">
        <v>758</v>
      </c>
      <c r="E782" s="300" t="s">
        <v>909</v>
      </c>
      <c r="F782" s="301" t="s">
        <v>764</v>
      </c>
      <c r="G782" s="302">
        <v>115940398</v>
      </c>
      <c r="H782" s="302">
        <v>1381235</v>
      </c>
      <c r="I782" s="302">
        <v>39860601</v>
      </c>
      <c r="J782" s="302">
        <v>33860057</v>
      </c>
      <c r="K782" s="302">
        <v>6000544</v>
      </c>
      <c r="L782" s="302">
        <v>100567664</v>
      </c>
      <c r="M782" s="302">
        <v>693616</v>
      </c>
      <c r="N782" s="302">
        <v>26285594</v>
      </c>
      <c r="O782" s="302">
        <v>21253702</v>
      </c>
      <c r="P782" s="302">
        <v>5031892</v>
      </c>
      <c r="Q782" s="303"/>
    </row>
    <row r="783" spans="1:17" s="304" customFormat="1" x14ac:dyDescent="0.25">
      <c r="A783" s="300">
        <v>776</v>
      </c>
      <c r="B783" s="300">
        <v>800021272</v>
      </c>
      <c r="C783" s="300" t="s">
        <v>1683</v>
      </c>
      <c r="D783" s="300" t="s">
        <v>1149</v>
      </c>
      <c r="E783" s="300" t="s">
        <v>759</v>
      </c>
      <c r="F783" s="301" t="s">
        <v>766</v>
      </c>
      <c r="G783" s="302">
        <v>115744183.632</v>
      </c>
      <c r="H783" s="302">
        <v>4106932.2510000002</v>
      </c>
      <c r="I783" s="302">
        <v>205131874.43399999</v>
      </c>
      <c r="J783" s="302">
        <v>87700122.702000007</v>
      </c>
      <c r="K783" s="302">
        <v>117431751.73199999</v>
      </c>
      <c r="L783" s="302">
        <v>107757150.374</v>
      </c>
      <c r="M783" s="302">
        <v>3655437.5860000001</v>
      </c>
      <c r="N783" s="302">
        <v>197598065.36000001</v>
      </c>
      <c r="O783" s="302">
        <v>98856152.042999998</v>
      </c>
      <c r="P783" s="302">
        <v>98741913.317000002</v>
      </c>
      <c r="Q783" s="303"/>
    </row>
    <row r="784" spans="1:17" s="304" customFormat="1" x14ac:dyDescent="0.25">
      <c r="A784" s="300">
        <v>777</v>
      </c>
      <c r="B784" s="300">
        <v>900279810</v>
      </c>
      <c r="C784" s="300" t="s">
        <v>1684</v>
      </c>
      <c r="D784" s="300" t="s">
        <v>758</v>
      </c>
      <c r="E784" s="300" t="s">
        <v>846</v>
      </c>
      <c r="F784" s="301" t="s">
        <v>760</v>
      </c>
      <c r="G784" s="302">
        <v>115574076</v>
      </c>
      <c r="H784" s="302">
        <v>12453012</v>
      </c>
      <c r="I784" s="302">
        <v>428562917</v>
      </c>
      <c r="J784" s="302">
        <v>58832614</v>
      </c>
      <c r="K784" s="302">
        <v>369730303</v>
      </c>
      <c r="L784" s="302">
        <v>101335580</v>
      </c>
      <c r="M784" s="302">
        <v>8503230</v>
      </c>
      <c r="N784" s="302">
        <v>264279260</v>
      </c>
      <c r="O784" s="302">
        <v>20385971</v>
      </c>
      <c r="P784" s="302">
        <v>243893289</v>
      </c>
      <c r="Q784" s="303"/>
    </row>
    <row r="785" spans="1:17" s="304" customFormat="1" x14ac:dyDescent="0.25">
      <c r="A785" s="300">
        <v>778</v>
      </c>
      <c r="B785" s="300">
        <v>900074364</v>
      </c>
      <c r="C785" s="300" t="s">
        <v>1685</v>
      </c>
      <c r="D785" s="300" t="s">
        <v>763</v>
      </c>
      <c r="E785" s="300" t="s">
        <v>848</v>
      </c>
      <c r="F785" s="301" t="s">
        <v>764</v>
      </c>
      <c r="G785" s="310">
        <v>115572529</v>
      </c>
      <c r="H785" s="310">
        <v>2412935</v>
      </c>
      <c r="I785" s="310">
        <v>61226074</v>
      </c>
      <c r="J785" s="310">
        <v>48865248</v>
      </c>
      <c r="K785" s="310">
        <v>12360826</v>
      </c>
      <c r="L785" s="310">
        <v>83278058</v>
      </c>
      <c r="M785" s="310">
        <v>1794166</v>
      </c>
      <c r="N785" s="310">
        <v>52126553</v>
      </c>
      <c r="O785" s="310">
        <v>42136823</v>
      </c>
      <c r="P785" s="310">
        <v>9989730</v>
      </c>
      <c r="Q785" s="303"/>
    </row>
    <row r="786" spans="1:17" s="304" customFormat="1" x14ac:dyDescent="0.25">
      <c r="A786" s="300">
        <v>779</v>
      </c>
      <c r="B786" s="300">
        <v>860002541</v>
      </c>
      <c r="C786" s="300" t="s">
        <v>1686</v>
      </c>
      <c r="D786" s="300" t="s">
        <v>758</v>
      </c>
      <c r="E786" s="300" t="s">
        <v>759</v>
      </c>
      <c r="F786" s="301" t="s">
        <v>766</v>
      </c>
      <c r="G786" s="302">
        <v>115549740</v>
      </c>
      <c r="H786" s="302">
        <v>16630390</v>
      </c>
      <c r="I786" s="302">
        <v>189433050</v>
      </c>
      <c r="J786" s="302">
        <v>31145020</v>
      </c>
      <c r="K786" s="302">
        <v>158288030</v>
      </c>
      <c r="L786" s="302">
        <v>108763674</v>
      </c>
      <c r="M786" s="302">
        <v>15269107</v>
      </c>
      <c r="N786" s="302">
        <v>169189255</v>
      </c>
      <c r="O786" s="302">
        <v>23866811</v>
      </c>
      <c r="P786" s="302">
        <v>145322441</v>
      </c>
      <c r="Q786" s="303"/>
    </row>
    <row r="787" spans="1:17" s="304" customFormat="1" x14ac:dyDescent="0.25">
      <c r="A787" s="300">
        <v>780</v>
      </c>
      <c r="B787" s="300">
        <v>890203023</v>
      </c>
      <c r="C787" s="300" t="s">
        <v>1687</v>
      </c>
      <c r="D787" s="300" t="s">
        <v>891</v>
      </c>
      <c r="E787" s="300" t="s">
        <v>880</v>
      </c>
      <c r="F787" s="301" t="s">
        <v>764</v>
      </c>
      <c r="G787" s="302">
        <v>115314015</v>
      </c>
      <c r="H787" s="302">
        <v>103538</v>
      </c>
      <c r="I787" s="302">
        <v>42611122</v>
      </c>
      <c r="J787" s="302">
        <v>23412495</v>
      </c>
      <c r="K787" s="302">
        <v>19198627</v>
      </c>
      <c r="L787" s="302">
        <v>152690513</v>
      </c>
      <c r="M787" s="302">
        <v>1060510</v>
      </c>
      <c r="N787" s="302">
        <v>48290134</v>
      </c>
      <c r="O787" s="302">
        <v>29652371</v>
      </c>
      <c r="P787" s="302">
        <v>18637763</v>
      </c>
      <c r="Q787" s="303"/>
    </row>
    <row r="788" spans="1:17" s="304" customFormat="1" x14ac:dyDescent="0.25">
      <c r="A788" s="300">
        <v>781</v>
      </c>
      <c r="B788" s="300">
        <v>890327996</v>
      </c>
      <c r="C788" s="300" t="s">
        <v>1688</v>
      </c>
      <c r="D788" s="300" t="s">
        <v>808</v>
      </c>
      <c r="E788" s="300" t="s">
        <v>759</v>
      </c>
      <c r="F788" s="311" t="s">
        <v>877</v>
      </c>
      <c r="G788" s="302">
        <v>115231371</v>
      </c>
      <c r="H788" s="302">
        <v>50621143</v>
      </c>
      <c r="I788" s="302">
        <v>300077355</v>
      </c>
      <c r="J788" s="302">
        <v>167595522</v>
      </c>
      <c r="K788" s="302">
        <v>132481833</v>
      </c>
      <c r="L788" s="302">
        <v>112144709.99999999</v>
      </c>
      <c r="M788" s="302">
        <v>50581320</v>
      </c>
      <c r="N788" s="302">
        <v>315422690</v>
      </c>
      <c r="O788" s="302">
        <v>190165010</v>
      </c>
      <c r="P788" s="302">
        <v>125257680</v>
      </c>
      <c r="Q788" s="303"/>
    </row>
    <row r="789" spans="1:17" s="304" customFormat="1" x14ac:dyDescent="0.25">
      <c r="A789" s="300">
        <v>782</v>
      </c>
      <c r="B789" s="300">
        <v>830147341</v>
      </c>
      <c r="C789" s="300" t="s">
        <v>1689</v>
      </c>
      <c r="D789" s="300" t="s">
        <v>758</v>
      </c>
      <c r="E789" s="300" t="s">
        <v>759</v>
      </c>
      <c r="F789" s="301" t="s">
        <v>766</v>
      </c>
      <c r="G789" s="310">
        <v>115180317.661</v>
      </c>
      <c r="H789" s="310">
        <v>281838.21100000001</v>
      </c>
      <c r="I789" s="310">
        <v>17315017.274</v>
      </c>
      <c r="J789" s="310">
        <v>14810582.591</v>
      </c>
      <c r="K789" s="310">
        <v>2504434.6830000002</v>
      </c>
      <c r="L789" s="310">
        <v>140560207.84999999</v>
      </c>
      <c r="M789" s="310">
        <v>1213130.551</v>
      </c>
      <c r="N789" s="310">
        <v>14169816.384</v>
      </c>
      <c r="O789" s="310">
        <v>11947219.912</v>
      </c>
      <c r="P789" s="310">
        <v>2222596.4720000001</v>
      </c>
      <c r="Q789" s="303"/>
    </row>
    <row r="790" spans="1:17" s="304" customFormat="1" x14ac:dyDescent="0.25">
      <c r="A790" s="300">
        <v>783</v>
      </c>
      <c r="B790" s="300">
        <v>890900115</v>
      </c>
      <c r="C790" s="300" t="s">
        <v>1690</v>
      </c>
      <c r="D790" s="300" t="s">
        <v>763</v>
      </c>
      <c r="E790" s="300" t="s">
        <v>776</v>
      </c>
      <c r="F790" s="301" t="s">
        <v>764</v>
      </c>
      <c r="G790" s="302">
        <v>114659927</v>
      </c>
      <c r="H790" s="302">
        <v>446155</v>
      </c>
      <c r="I790" s="302">
        <v>45723790</v>
      </c>
      <c r="J790" s="302">
        <v>34442859</v>
      </c>
      <c r="K790" s="302">
        <v>11280931</v>
      </c>
      <c r="L790" s="302">
        <v>139967301</v>
      </c>
      <c r="M790" s="302">
        <v>823704</v>
      </c>
      <c r="N790" s="302">
        <v>32663480</v>
      </c>
      <c r="O790" s="302">
        <v>21831864</v>
      </c>
      <c r="P790" s="302">
        <v>10831616</v>
      </c>
      <c r="Q790" s="303"/>
    </row>
    <row r="791" spans="1:17" s="304" customFormat="1" x14ac:dyDescent="0.25">
      <c r="A791" s="300">
        <v>784</v>
      </c>
      <c r="B791" s="300">
        <v>890900085</v>
      </c>
      <c r="C791" s="300" t="s">
        <v>1691</v>
      </c>
      <c r="D791" s="300" t="s">
        <v>763</v>
      </c>
      <c r="E791" s="300" t="s">
        <v>759</v>
      </c>
      <c r="F791" s="301" t="s">
        <v>779</v>
      </c>
      <c r="G791" s="302">
        <v>114482110</v>
      </c>
      <c r="H791" s="302">
        <v>3233570</v>
      </c>
      <c r="I791" s="302">
        <v>115975450</v>
      </c>
      <c r="J791" s="302">
        <v>50090060</v>
      </c>
      <c r="K791" s="302">
        <v>65885390</v>
      </c>
      <c r="L791" s="302">
        <v>108417005</v>
      </c>
      <c r="M791" s="302">
        <v>3126782</v>
      </c>
      <c r="N791" s="302">
        <v>100447933</v>
      </c>
      <c r="O791" s="302">
        <v>40788917</v>
      </c>
      <c r="P791" s="302">
        <v>59659014</v>
      </c>
      <c r="Q791" s="303"/>
    </row>
    <row r="792" spans="1:17" s="304" customFormat="1" x14ac:dyDescent="0.25">
      <c r="A792" s="300">
        <v>785</v>
      </c>
      <c r="B792" s="300">
        <v>860020308</v>
      </c>
      <c r="C792" s="300" t="s">
        <v>1692</v>
      </c>
      <c r="D792" s="300" t="s">
        <v>758</v>
      </c>
      <c r="E792" s="300" t="s">
        <v>905</v>
      </c>
      <c r="F792" s="300" t="s">
        <v>779</v>
      </c>
      <c r="G792" s="302">
        <v>114398530</v>
      </c>
      <c r="H792" s="302">
        <v>2314048</v>
      </c>
      <c r="I792" s="302">
        <v>72775030</v>
      </c>
      <c r="J792" s="302">
        <v>37348988</v>
      </c>
      <c r="K792" s="302">
        <v>35426042</v>
      </c>
      <c r="L792" s="302">
        <v>107428402</v>
      </c>
      <c r="M792" s="302">
        <v>1818252</v>
      </c>
      <c r="N792" s="302">
        <v>67785278</v>
      </c>
      <c r="O792" s="302">
        <v>37878255</v>
      </c>
      <c r="P792" s="302">
        <v>29907023</v>
      </c>
      <c r="Q792" s="303"/>
    </row>
    <row r="793" spans="1:17" s="304" customFormat="1" x14ac:dyDescent="0.25">
      <c r="A793" s="300">
        <v>786</v>
      </c>
      <c r="B793" s="300">
        <v>8600065370</v>
      </c>
      <c r="C793" s="300" t="s">
        <v>1693</v>
      </c>
      <c r="D793" s="300" t="s">
        <v>758</v>
      </c>
      <c r="E793" s="300" t="s">
        <v>759</v>
      </c>
      <c r="F793" s="300" t="s">
        <v>766</v>
      </c>
      <c r="G793" s="302">
        <v>113826486.01899999</v>
      </c>
      <c r="H793" s="302">
        <v>0</v>
      </c>
      <c r="I793" s="302">
        <v>90277058</v>
      </c>
      <c r="J793" s="302">
        <v>41806642</v>
      </c>
      <c r="K793" s="302">
        <v>48470416</v>
      </c>
      <c r="L793" s="302">
        <v>112226863.882</v>
      </c>
      <c r="M793" s="302">
        <v>0</v>
      </c>
      <c r="N793" s="302">
        <v>88968715.088</v>
      </c>
      <c r="O793" s="302">
        <v>38321947.163000003</v>
      </c>
      <c r="P793" s="302">
        <v>50646767.924999997</v>
      </c>
      <c r="Q793" s="303"/>
    </row>
    <row r="794" spans="1:17" s="304" customFormat="1" x14ac:dyDescent="0.25">
      <c r="A794" s="300">
        <v>787</v>
      </c>
      <c r="B794" s="300">
        <v>830106920</v>
      </c>
      <c r="C794" s="300" t="s">
        <v>1694</v>
      </c>
      <c r="D794" s="300" t="s">
        <v>758</v>
      </c>
      <c r="E794" s="300" t="s">
        <v>863</v>
      </c>
      <c r="F794" s="301" t="s">
        <v>764</v>
      </c>
      <c r="G794" s="302">
        <v>113522516</v>
      </c>
      <c r="H794" s="302">
        <v>1696048</v>
      </c>
      <c r="I794" s="302">
        <v>59621144</v>
      </c>
      <c r="J794" s="302">
        <v>32555031</v>
      </c>
      <c r="K794" s="302">
        <v>27066113</v>
      </c>
      <c r="L794" s="302">
        <v>72139441</v>
      </c>
      <c r="M794" s="302">
        <v>1421480</v>
      </c>
      <c r="N794" s="302">
        <v>56520820</v>
      </c>
      <c r="O794" s="302">
        <v>40908391</v>
      </c>
      <c r="P794" s="302">
        <v>15612429</v>
      </c>
      <c r="Q794" s="303"/>
    </row>
    <row r="795" spans="1:17" s="304" customFormat="1" x14ac:dyDescent="0.25">
      <c r="A795" s="300">
        <v>788</v>
      </c>
      <c r="B795" s="300">
        <v>890200162</v>
      </c>
      <c r="C795" s="300" t="s">
        <v>1695</v>
      </c>
      <c r="D795" s="300" t="s">
        <v>891</v>
      </c>
      <c r="E795" s="300" t="s">
        <v>759</v>
      </c>
      <c r="F795" s="301" t="s">
        <v>766</v>
      </c>
      <c r="G795" s="302">
        <v>113280355.267</v>
      </c>
      <c r="H795" s="302">
        <v>18626682.728999998</v>
      </c>
      <c r="I795" s="302">
        <v>873261472.62600005</v>
      </c>
      <c r="J795" s="302">
        <v>192600555.83899999</v>
      </c>
      <c r="K795" s="302">
        <v>680660916.78699994</v>
      </c>
      <c r="L795" s="302">
        <v>107555839.875</v>
      </c>
      <c r="M795" s="302">
        <v>17275896.449000001</v>
      </c>
      <c r="N795" s="302">
        <v>732744955.49699998</v>
      </c>
      <c r="O795" s="302">
        <v>115005997.89300001</v>
      </c>
      <c r="P795" s="302">
        <v>617738957.60399997</v>
      </c>
      <c r="Q795" s="303"/>
    </row>
    <row r="796" spans="1:17" s="304" customFormat="1" x14ac:dyDescent="0.25">
      <c r="A796" s="300">
        <v>789</v>
      </c>
      <c r="B796" s="300">
        <v>890907323</v>
      </c>
      <c r="C796" s="300" t="s">
        <v>1696</v>
      </c>
      <c r="D796" s="300" t="s">
        <v>763</v>
      </c>
      <c r="E796" s="300" t="s">
        <v>759</v>
      </c>
      <c r="F796" s="301" t="s">
        <v>764</v>
      </c>
      <c r="G796" s="302">
        <v>113207594.355</v>
      </c>
      <c r="H796" s="302">
        <v>542473.46</v>
      </c>
      <c r="I796" s="302">
        <v>27256919.77</v>
      </c>
      <c r="J796" s="302">
        <v>10432208.295</v>
      </c>
      <c r="K796" s="302">
        <v>16824711.475000001</v>
      </c>
      <c r="L796" s="302">
        <v>96589044.651999995</v>
      </c>
      <c r="M796" s="302">
        <v>121886.033</v>
      </c>
      <c r="N796" s="302">
        <v>25388258.620999999</v>
      </c>
      <c r="O796" s="302">
        <v>9483391.5879999995</v>
      </c>
      <c r="P796" s="302">
        <v>15904867.033</v>
      </c>
      <c r="Q796" s="303"/>
    </row>
    <row r="797" spans="1:17" s="304" customFormat="1" x14ac:dyDescent="0.25">
      <c r="A797" s="300">
        <v>790</v>
      </c>
      <c r="B797" s="300">
        <v>817000790</v>
      </c>
      <c r="C797" s="300" t="s">
        <v>1697</v>
      </c>
      <c r="D797" s="300" t="s">
        <v>808</v>
      </c>
      <c r="E797" s="300" t="s">
        <v>1477</v>
      </c>
      <c r="F797" s="311" t="s">
        <v>877</v>
      </c>
      <c r="G797" s="302">
        <v>112926451</v>
      </c>
      <c r="H797" s="302">
        <v>1666850</v>
      </c>
      <c r="I797" s="302">
        <v>75198035</v>
      </c>
      <c r="J797" s="302">
        <v>61714935</v>
      </c>
      <c r="K797" s="302">
        <v>13483100</v>
      </c>
      <c r="L797" s="302">
        <v>59472017</v>
      </c>
      <c r="M797" s="302">
        <v>1859728</v>
      </c>
      <c r="N797" s="302">
        <v>60207107</v>
      </c>
      <c r="O797" s="302">
        <v>44368578</v>
      </c>
      <c r="P797" s="302">
        <v>15838529</v>
      </c>
      <c r="Q797" s="303"/>
    </row>
    <row r="798" spans="1:17" s="304" customFormat="1" x14ac:dyDescent="0.25">
      <c r="A798" s="300">
        <v>791</v>
      </c>
      <c r="B798" s="300">
        <v>860029978</v>
      </c>
      <c r="C798" s="300" t="s">
        <v>1698</v>
      </c>
      <c r="D798" s="300" t="s">
        <v>758</v>
      </c>
      <c r="E798" s="300" t="s">
        <v>863</v>
      </c>
      <c r="F798" s="301" t="s">
        <v>764</v>
      </c>
      <c r="G798" s="302">
        <v>112848927</v>
      </c>
      <c r="H798" s="302">
        <v>1767331</v>
      </c>
      <c r="I798" s="302">
        <v>60390899</v>
      </c>
      <c r="J798" s="302">
        <v>31990533</v>
      </c>
      <c r="K798" s="302">
        <v>28400366</v>
      </c>
      <c r="L798" s="302">
        <v>100846758</v>
      </c>
      <c r="M798" s="302">
        <v>4944093</v>
      </c>
      <c r="N798" s="302">
        <v>53722722</v>
      </c>
      <c r="O798" s="302">
        <v>22640003</v>
      </c>
      <c r="P798" s="302">
        <v>31082719</v>
      </c>
      <c r="Q798" s="303"/>
    </row>
    <row r="799" spans="1:17" s="304" customFormat="1" x14ac:dyDescent="0.25">
      <c r="A799" s="300">
        <v>792</v>
      </c>
      <c r="B799" s="300">
        <v>860520243</v>
      </c>
      <c r="C799" s="300" t="s">
        <v>1699</v>
      </c>
      <c r="D799" s="300" t="s">
        <v>758</v>
      </c>
      <c r="E799" s="300" t="s">
        <v>1204</v>
      </c>
      <c r="F799" s="301" t="s">
        <v>764</v>
      </c>
      <c r="G799" s="310">
        <v>112720091</v>
      </c>
      <c r="H799" s="310">
        <v>3664039</v>
      </c>
      <c r="I799" s="310">
        <v>71309699</v>
      </c>
      <c r="J799" s="310">
        <v>55595845</v>
      </c>
      <c r="K799" s="310">
        <v>15713854</v>
      </c>
      <c r="L799" s="310">
        <v>102864761</v>
      </c>
      <c r="M799" s="310">
        <v>3504149</v>
      </c>
      <c r="N799" s="310">
        <v>53547412</v>
      </c>
      <c r="O799" s="310">
        <v>38219286</v>
      </c>
      <c r="P799" s="310">
        <v>15328126</v>
      </c>
      <c r="Q799" s="303"/>
    </row>
    <row r="800" spans="1:17" s="304" customFormat="1" x14ac:dyDescent="0.25">
      <c r="A800" s="300">
        <v>793</v>
      </c>
      <c r="B800" s="300">
        <v>900179369</v>
      </c>
      <c r="C800" s="300" t="s">
        <v>1700</v>
      </c>
      <c r="D800" s="300" t="s">
        <v>758</v>
      </c>
      <c r="E800" s="300" t="s">
        <v>1417</v>
      </c>
      <c r="F800" s="301" t="s">
        <v>766</v>
      </c>
      <c r="G800" s="302">
        <v>112449614</v>
      </c>
      <c r="H800" s="302">
        <v>6810798</v>
      </c>
      <c r="I800" s="302">
        <v>74787200</v>
      </c>
      <c r="J800" s="302">
        <v>47718909</v>
      </c>
      <c r="K800" s="302">
        <v>27068291</v>
      </c>
      <c r="L800" s="302">
        <v>67731017</v>
      </c>
      <c r="M800" s="302">
        <v>2025044</v>
      </c>
      <c r="N800" s="302">
        <v>47554464</v>
      </c>
      <c r="O800" s="302">
        <v>22871721</v>
      </c>
      <c r="P800" s="302">
        <v>24682743</v>
      </c>
      <c r="Q800" s="303"/>
    </row>
    <row r="801" spans="1:17" s="304" customFormat="1" x14ac:dyDescent="0.25">
      <c r="A801" s="300">
        <v>794</v>
      </c>
      <c r="B801" s="300">
        <v>830038885</v>
      </c>
      <c r="C801" s="300" t="s">
        <v>1701</v>
      </c>
      <c r="D801" s="300" t="s">
        <v>758</v>
      </c>
      <c r="E801" s="300" t="s">
        <v>759</v>
      </c>
      <c r="F801" s="301" t="s">
        <v>766</v>
      </c>
      <c r="G801" s="302">
        <v>112107000</v>
      </c>
      <c r="H801" s="302">
        <v>21434790</v>
      </c>
      <c r="I801" s="302">
        <v>1651935070</v>
      </c>
      <c r="J801" s="302">
        <v>280110960</v>
      </c>
      <c r="K801" s="302">
        <v>1371824110</v>
      </c>
      <c r="L801" s="302">
        <v>132458843</v>
      </c>
      <c r="M801" s="302">
        <v>19696421</v>
      </c>
      <c r="N801" s="302">
        <v>1737548788</v>
      </c>
      <c r="O801" s="302">
        <v>351478699</v>
      </c>
      <c r="P801" s="302">
        <v>1386070092</v>
      </c>
      <c r="Q801" s="303"/>
    </row>
    <row r="802" spans="1:17" s="304" customFormat="1" x14ac:dyDescent="0.25">
      <c r="A802" s="300">
        <v>795</v>
      </c>
      <c r="B802" s="300">
        <v>860000531</v>
      </c>
      <c r="C802" s="300" t="s">
        <v>1702</v>
      </c>
      <c r="D802" s="300" t="s">
        <v>758</v>
      </c>
      <c r="E802" s="300" t="s">
        <v>1331</v>
      </c>
      <c r="F802" s="311" t="s">
        <v>877</v>
      </c>
      <c r="G802" s="302">
        <v>112098468</v>
      </c>
      <c r="H802" s="302">
        <v>24938270</v>
      </c>
      <c r="I802" s="302">
        <v>389368339</v>
      </c>
      <c r="J802" s="302">
        <v>212063842</v>
      </c>
      <c r="K802" s="302">
        <v>177304497</v>
      </c>
      <c r="L802" s="302">
        <v>113701921</v>
      </c>
      <c r="M802" s="302">
        <v>26765199</v>
      </c>
      <c r="N802" s="302">
        <v>239366753</v>
      </c>
      <c r="O802" s="302">
        <v>88921046</v>
      </c>
      <c r="P802" s="302">
        <v>150445707</v>
      </c>
      <c r="Q802" s="303"/>
    </row>
    <row r="803" spans="1:17" s="304" customFormat="1" x14ac:dyDescent="0.25">
      <c r="A803" s="300">
        <v>796</v>
      </c>
      <c r="B803" s="300">
        <v>800249704</v>
      </c>
      <c r="C803" s="300" t="s">
        <v>1703</v>
      </c>
      <c r="D803" s="300" t="s">
        <v>758</v>
      </c>
      <c r="E803" s="300" t="s">
        <v>880</v>
      </c>
      <c r="F803" s="301" t="s">
        <v>764</v>
      </c>
      <c r="G803" s="302">
        <v>111852585</v>
      </c>
      <c r="H803" s="302">
        <v>-2107407</v>
      </c>
      <c r="I803" s="302">
        <v>46339753</v>
      </c>
      <c r="J803" s="302">
        <v>36477314</v>
      </c>
      <c r="K803" s="302">
        <v>9862439</v>
      </c>
      <c r="L803" s="302">
        <v>124520733</v>
      </c>
      <c r="M803" s="302">
        <v>-383986</v>
      </c>
      <c r="N803" s="302">
        <v>77043606</v>
      </c>
      <c r="O803" s="302">
        <v>65073760</v>
      </c>
      <c r="P803" s="302">
        <v>11969846</v>
      </c>
      <c r="Q803" s="303"/>
    </row>
    <row r="804" spans="1:17" s="304" customFormat="1" x14ac:dyDescent="0.25">
      <c r="A804" s="300">
        <v>797</v>
      </c>
      <c r="B804" s="300">
        <v>805014351</v>
      </c>
      <c r="C804" s="300" t="s">
        <v>1704</v>
      </c>
      <c r="D804" s="300" t="s">
        <v>808</v>
      </c>
      <c r="E804" s="300" t="s">
        <v>1705</v>
      </c>
      <c r="F804" s="300" t="s">
        <v>764</v>
      </c>
      <c r="G804" s="302">
        <v>111598883</v>
      </c>
      <c r="H804" s="302">
        <v>1896841</v>
      </c>
      <c r="I804" s="302">
        <v>85329685</v>
      </c>
      <c r="J804" s="302">
        <v>59908459</v>
      </c>
      <c r="K804" s="302">
        <v>25421226</v>
      </c>
      <c r="L804" s="302">
        <v>109852058</v>
      </c>
      <c r="M804" s="302">
        <v>2250331</v>
      </c>
      <c r="N804" s="302">
        <v>77310330</v>
      </c>
      <c r="O804" s="302">
        <v>48962917</v>
      </c>
      <c r="P804" s="302">
        <v>28347413</v>
      </c>
      <c r="Q804" s="303"/>
    </row>
    <row r="805" spans="1:17" s="304" customFormat="1" x14ac:dyDescent="0.25">
      <c r="A805" s="300">
        <v>798</v>
      </c>
      <c r="B805" s="300">
        <v>830021253</v>
      </c>
      <c r="C805" s="300" t="s">
        <v>1706</v>
      </c>
      <c r="D805" s="300" t="s">
        <v>758</v>
      </c>
      <c r="E805" s="300" t="s">
        <v>970</v>
      </c>
      <c r="F805" s="301" t="s">
        <v>779</v>
      </c>
      <c r="G805" s="302">
        <v>111307498</v>
      </c>
      <c r="H805" s="302">
        <v>3577790</v>
      </c>
      <c r="I805" s="302">
        <v>114985948</v>
      </c>
      <c r="J805" s="302">
        <v>35269550</v>
      </c>
      <c r="K805" s="302">
        <v>79716398</v>
      </c>
      <c r="L805" s="302">
        <v>92584083</v>
      </c>
      <c r="M805" s="302">
        <v>3649422</v>
      </c>
      <c r="N805" s="302">
        <v>102336435</v>
      </c>
      <c r="O805" s="302">
        <v>25345880</v>
      </c>
      <c r="P805" s="302">
        <v>76990555</v>
      </c>
      <c r="Q805" s="303"/>
    </row>
    <row r="806" spans="1:17" s="304" customFormat="1" x14ac:dyDescent="0.25">
      <c r="A806" s="300">
        <v>799</v>
      </c>
      <c r="B806" s="300">
        <v>891101158</v>
      </c>
      <c r="C806" s="300" t="s">
        <v>1707</v>
      </c>
      <c r="D806" s="300" t="s">
        <v>758</v>
      </c>
      <c r="E806" s="300" t="s">
        <v>759</v>
      </c>
      <c r="F806" s="301" t="s">
        <v>764</v>
      </c>
      <c r="G806" s="302">
        <v>111162412.377</v>
      </c>
      <c r="H806" s="302">
        <v>981288.41399999999</v>
      </c>
      <c r="I806" s="302">
        <v>29855603.563999999</v>
      </c>
      <c r="J806" s="302">
        <v>17778427.366</v>
      </c>
      <c r="K806" s="302">
        <v>12077176.198000001</v>
      </c>
      <c r="L806" s="302">
        <v>108649112.72</v>
      </c>
      <c r="M806" s="302">
        <v>644064.10699999996</v>
      </c>
      <c r="N806" s="302">
        <v>29894741.824000001</v>
      </c>
      <c r="O806" s="302">
        <v>18909414.316</v>
      </c>
      <c r="P806" s="302">
        <v>10985327.507999999</v>
      </c>
      <c r="Q806" s="303"/>
    </row>
    <row r="807" spans="1:17" s="304" customFormat="1" x14ac:dyDescent="0.25">
      <c r="A807" s="300">
        <v>800</v>
      </c>
      <c r="B807" s="300">
        <v>8001850392</v>
      </c>
      <c r="C807" s="300" t="s">
        <v>1708</v>
      </c>
      <c r="D807" s="300" t="s">
        <v>758</v>
      </c>
      <c r="E807" s="300" t="s">
        <v>759</v>
      </c>
      <c r="F807" s="300" t="s">
        <v>766</v>
      </c>
      <c r="G807" s="302">
        <v>110680605</v>
      </c>
      <c r="H807" s="302">
        <v>0</v>
      </c>
      <c r="I807" s="302">
        <v>27805693</v>
      </c>
      <c r="J807" s="302">
        <v>13526506</v>
      </c>
      <c r="K807" s="302">
        <v>14279187</v>
      </c>
      <c r="L807" s="302">
        <v>81132633.998999998</v>
      </c>
      <c r="M807" s="302">
        <v>0</v>
      </c>
      <c r="N807" s="302">
        <v>26187211.699999999</v>
      </c>
      <c r="O807" s="302">
        <v>12646053.322000001</v>
      </c>
      <c r="P807" s="302">
        <v>13541158.378</v>
      </c>
      <c r="Q807" s="303"/>
    </row>
    <row r="808" spans="1:17" s="304" customFormat="1" x14ac:dyDescent="0.25">
      <c r="A808" s="300">
        <v>801</v>
      </c>
      <c r="B808" s="300">
        <v>816003186</v>
      </c>
      <c r="C808" s="300" t="s">
        <v>1709</v>
      </c>
      <c r="D808" s="300" t="s">
        <v>763</v>
      </c>
      <c r="E808" s="300" t="s">
        <v>880</v>
      </c>
      <c r="F808" s="300" t="s">
        <v>764</v>
      </c>
      <c r="G808" s="302">
        <v>110605095</v>
      </c>
      <c r="H808" s="302">
        <v>253574</v>
      </c>
      <c r="I808" s="302">
        <v>46417012</v>
      </c>
      <c r="J808" s="302">
        <v>29156699</v>
      </c>
      <c r="K808" s="302">
        <v>17260313</v>
      </c>
      <c r="L808" s="302">
        <v>126133916</v>
      </c>
      <c r="M808" s="302">
        <v>60811</v>
      </c>
      <c r="N808" s="302">
        <v>44022690</v>
      </c>
      <c r="O808" s="302">
        <v>27197211</v>
      </c>
      <c r="P808" s="302">
        <v>16825479</v>
      </c>
      <c r="Q808" s="303"/>
    </row>
    <row r="809" spans="1:17" s="304" customFormat="1" x14ac:dyDescent="0.25">
      <c r="A809" s="300">
        <v>802</v>
      </c>
      <c r="B809" s="300">
        <v>860002428</v>
      </c>
      <c r="C809" s="300" t="s">
        <v>1710</v>
      </c>
      <c r="D809" s="300" t="s">
        <v>808</v>
      </c>
      <c r="E809" s="300" t="s">
        <v>863</v>
      </c>
      <c r="F809" s="301" t="s">
        <v>764</v>
      </c>
      <c r="G809" s="302">
        <v>110594890</v>
      </c>
      <c r="H809" s="302">
        <v>-780486</v>
      </c>
      <c r="I809" s="302">
        <v>76845536</v>
      </c>
      <c r="J809" s="302">
        <v>25525268</v>
      </c>
      <c r="K809" s="302">
        <v>51320268</v>
      </c>
      <c r="L809" s="302">
        <v>93804620</v>
      </c>
      <c r="M809" s="302">
        <v>7572560</v>
      </c>
      <c r="N809" s="302">
        <v>69713380</v>
      </c>
      <c r="O809" s="302">
        <v>17612626</v>
      </c>
      <c r="P809" s="302">
        <v>52100754</v>
      </c>
      <c r="Q809" s="303"/>
    </row>
    <row r="810" spans="1:17" s="304" customFormat="1" x14ac:dyDescent="0.25">
      <c r="A810" s="300">
        <v>803</v>
      </c>
      <c r="B810" s="300">
        <v>800037835</v>
      </c>
      <c r="C810" s="300" t="s">
        <v>1711</v>
      </c>
      <c r="D810" s="300" t="s">
        <v>763</v>
      </c>
      <c r="E810" s="300" t="s">
        <v>786</v>
      </c>
      <c r="F810" s="301" t="s">
        <v>764</v>
      </c>
      <c r="G810" s="302">
        <v>110447384</v>
      </c>
      <c r="H810" s="302">
        <v>1327283</v>
      </c>
      <c r="I810" s="302">
        <v>20926734</v>
      </c>
      <c r="J810" s="302">
        <v>3796465</v>
      </c>
      <c r="K810" s="302">
        <v>17130269</v>
      </c>
      <c r="L810" s="302">
        <v>118220953</v>
      </c>
      <c r="M810" s="302">
        <v>2000172</v>
      </c>
      <c r="N810" s="302">
        <v>19035747</v>
      </c>
      <c r="O810" s="302">
        <v>4292963</v>
      </c>
      <c r="P810" s="302">
        <v>14742784</v>
      </c>
      <c r="Q810" s="303"/>
    </row>
    <row r="811" spans="1:17" s="304" customFormat="1" x14ac:dyDescent="0.25">
      <c r="A811" s="300">
        <v>804</v>
      </c>
      <c r="B811" s="300">
        <v>805019569</v>
      </c>
      <c r="C811" s="300" t="s">
        <v>1712</v>
      </c>
      <c r="D811" s="300" t="s">
        <v>808</v>
      </c>
      <c r="E811" s="300" t="s">
        <v>759</v>
      </c>
      <c r="F811" s="301" t="s">
        <v>764</v>
      </c>
      <c r="G811" s="302">
        <v>110291566.987</v>
      </c>
      <c r="H811" s="302">
        <v>140070.58744</v>
      </c>
      <c r="I811" s="302">
        <v>16930268.218510002</v>
      </c>
      <c r="J811" s="302">
        <v>16148178.575709999</v>
      </c>
      <c r="K811" s="302">
        <v>782089.64279999991</v>
      </c>
      <c r="L811" s="302">
        <v>109709902.23999999</v>
      </c>
      <c r="M811" s="302">
        <v>126862.567</v>
      </c>
      <c r="N811" s="302">
        <v>17080005.871509999</v>
      </c>
      <c r="O811" s="302">
        <v>16399928.045149999</v>
      </c>
      <c r="P811" s="302">
        <v>680077.82636000006</v>
      </c>
      <c r="Q811" s="303"/>
    </row>
    <row r="812" spans="1:17" s="304" customFormat="1" x14ac:dyDescent="0.25">
      <c r="A812" s="300">
        <v>805</v>
      </c>
      <c r="B812" s="300">
        <v>900303919</v>
      </c>
      <c r="C812" s="300" t="s">
        <v>1713</v>
      </c>
      <c r="D812" s="300" t="s">
        <v>758</v>
      </c>
      <c r="E812" s="300" t="s">
        <v>995</v>
      </c>
      <c r="F812" s="300" t="s">
        <v>779</v>
      </c>
      <c r="G812" s="310">
        <v>110215901</v>
      </c>
      <c r="H812" s="310">
        <v>6545298</v>
      </c>
      <c r="I812" s="310">
        <v>98164938</v>
      </c>
      <c r="J812" s="310">
        <v>19405782</v>
      </c>
      <c r="K812" s="310">
        <v>78759156</v>
      </c>
      <c r="L812" s="310">
        <v>98622561</v>
      </c>
      <c r="M812" s="310">
        <v>-5668312</v>
      </c>
      <c r="N812" s="310">
        <v>110639027</v>
      </c>
      <c r="O812" s="310">
        <v>36731091</v>
      </c>
      <c r="P812" s="310">
        <v>73907936</v>
      </c>
      <c r="Q812" s="303"/>
    </row>
    <row r="813" spans="1:17" s="304" customFormat="1" x14ac:dyDescent="0.25">
      <c r="A813" s="300">
        <v>806</v>
      </c>
      <c r="B813" s="300">
        <v>860066134</v>
      </c>
      <c r="C813" s="300" t="s">
        <v>1714</v>
      </c>
      <c r="D813" s="300" t="s">
        <v>758</v>
      </c>
      <c r="E813" s="300" t="s">
        <v>995</v>
      </c>
      <c r="F813" s="300" t="s">
        <v>779</v>
      </c>
      <c r="G813" s="302">
        <v>110184915</v>
      </c>
      <c r="H813" s="302">
        <v>3868072</v>
      </c>
      <c r="I813" s="302">
        <v>115537250</v>
      </c>
      <c r="J813" s="302">
        <v>74546446</v>
      </c>
      <c r="K813" s="302">
        <v>40990804</v>
      </c>
      <c r="L813" s="302">
        <v>93774205</v>
      </c>
      <c r="M813" s="302">
        <v>3705820</v>
      </c>
      <c r="N813" s="302">
        <v>85838397</v>
      </c>
      <c r="O813" s="302">
        <v>57237233</v>
      </c>
      <c r="P813" s="302">
        <v>28601164</v>
      </c>
      <c r="Q813" s="303"/>
    </row>
    <row r="814" spans="1:17" s="304" customFormat="1" x14ac:dyDescent="0.25">
      <c r="A814" s="300">
        <v>807</v>
      </c>
      <c r="B814" s="300">
        <v>860019063</v>
      </c>
      <c r="C814" s="300" t="s">
        <v>1715</v>
      </c>
      <c r="D814" s="300" t="s">
        <v>758</v>
      </c>
      <c r="E814" s="300" t="s">
        <v>880</v>
      </c>
      <c r="F814" s="301" t="s">
        <v>764</v>
      </c>
      <c r="G814" s="302">
        <v>109772183</v>
      </c>
      <c r="H814" s="302">
        <v>2965622</v>
      </c>
      <c r="I814" s="302">
        <v>104528221</v>
      </c>
      <c r="J814" s="302">
        <v>37180606</v>
      </c>
      <c r="K814" s="302">
        <v>67347615</v>
      </c>
      <c r="L814" s="302">
        <v>110455637</v>
      </c>
      <c r="M814" s="302">
        <v>4311092</v>
      </c>
      <c r="N814" s="302">
        <v>89893360</v>
      </c>
      <c r="O814" s="302">
        <v>26126447</v>
      </c>
      <c r="P814" s="302">
        <v>63766913</v>
      </c>
      <c r="Q814" s="303"/>
    </row>
    <row r="815" spans="1:17" s="304" customFormat="1" x14ac:dyDescent="0.25">
      <c r="A815" s="300">
        <v>808</v>
      </c>
      <c r="B815" s="300">
        <v>900106364</v>
      </c>
      <c r="C815" s="300" t="s">
        <v>1716</v>
      </c>
      <c r="D815" s="300" t="s">
        <v>808</v>
      </c>
      <c r="E815" s="300" t="s">
        <v>1065</v>
      </c>
      <c r="F815" s="301" t="s">
        <v>766</v>
      </c>
      <c r="G815" s="302">
        <v>109679469</v>
      </c>
      <c r="H815" s="302">
        <v>2252682</v>
      </c>
      <c r="I815" s="302">
        <v>94637487</v>
      </c>
      <c r="J815" s="302">
        <v>54038813</v>
      </c>
      <c r="K815" s="302">
        <v>40598674</v>
      </c>
      <c r="L815" s="302">
        <v>91782240</v>
      </c>
      <c r="M815" s="302">
        <v>156955</v>
      </c>
      <c r="N815" s="302">
        <v>55270095</v>
      </c>
      <c r="O815" s="302">
        <v>41752303</v>
      </c>
      <c r="P815" s="302">
        <v>13517792</v>
      </c>
      <c r="Q815" s="303"/>
    </row>
    <row r="816" spans="1:17" s="304" customFormat="1" x14ac:dyDescent="0.25">
      <c r="A816" s="300">
        <v>809</v>
      </c>
      <c r="B816" s="300">
        <v>830122276</v>
      </c>
      <c r="C816" s="300" t="s">
        <v>1717</v>
      </c>
      <c r="D816" s="300" t="s">
        <v>758</v>
      </c>
      <c r="E816" s="300" t="s">
        <v>759</v>
      </c>
      <c r="F816" s="301" t="s">
        <v>766</v>
      </c>
      <c r="G816" s="302">
        <v>109658502.99311</v>
      </c>
      <c r="H816" s="302">
        <v>122057.75654999999</v>
      </c>
      <c r="I816" s="302">
        <v>20463317.970249999</v>
      </c>
      <c r="J816" s="302">
        <v>15785416.527760001</v>
      </c>
      <c r="K816" s="302">
        <v>4677901.4424899993</v>
      </c>
      <c r="L816" s="302">
        <v>95129996.524169996</v>
      </c>
      <c r="M816" s="302">
        <v>302092.25737999997</v>
      </c>
      <c r="N816" s="302">
        <v>17217010.165890001</v>
      </c>
      <c r="O816" s="302">
        <v>12966937.70895</v>
      </c>
      <c r="P816" s="302">
        <v>4250072.4569399999</v>
      </c>
      <c r="Q816" s="303"/>
    </row>
    <row r="817" spans="1:17" s="304" customFormat="1" x14ac:dyDescent="0.25">
      <c r="A817" s="300">
        <v>810</v>
      </c>
      <c r="B817" s="300">
        <v>800198591</v>
      </c>
      <c r="C817" s="300" t="s">
        <v>1718</v>
      </c>
      <c r="D817" s="300" t="s">
        <v>758</v>
      </c>
      <c r="E817" s="300" t="s">
        <v>1719</v>
      </c>
      <c r="F817" s="301" t="s">
        <v>766</v>
      </c>
      <c r="G817" s="302">
        <v>109276944</v>
      </c>
      <c r="H817" s="302">
        <v>10168942</v>
      </c>
      <c r="I817" s="302">
        <v>45140712</v>
      </c>
      <c r="J817" s="302">
        <v>26382745</v>
      </c>
      <c r="K817" s="302">
        <v>18757967</v>
      </c>
      <c r="L817" s="302">
        <v>110512783</v>
      </c>
      <c r="M817" s="302">
        <v>4615528</v>
      </c>
      <c r="N817" s="302">
        <v>40191639</v>
      </c>
      <c r="O817" s="302">
        <v>26924702</v>
      </c>
      <c r="P817" s="302">
        <v>13266937</v>
      </c>
      <c r="Q817" s="303"/>
    </row>
    <row r="818" spans="1:17" s="304" customFormat="1" x14ac:dyDescent="0.25">
      <c r="A818" s="300">
        <v>811</v>
      </c>
      <c r="B818" s="300">
        <v>890403068</v>
      </c>
      <c r="C818" s="300" t="s">
        <v>1720</v>
      </c>
      <c r="D818" s="300" t="s">
        <v>768</v>
      </c>
      <c r="E818" s="300" t="s">
        <v>880</v>
      </c>
      <c r="F818" s="300" t="s">
        <v>764</v>
      </c>
      <c r="G818" s="310">
        <v>109142779</v>
      </c>
      <c r="H818" s="310">
        <v>713178</v>
      </c>
      <c r="I818" s="310">
        <v>46523145</v>
      </c>
      <c r="J818" s="310">
        <v>29345570</v>
      </c>
      <c r="K818" s="310">
        <v>17177575</v>
      </c>
      <c r="L818" s="310">
        <v>110742439</v>
      </c>
      <c r="M818" s="310">
        <v>355263</v>
      </c>
      <c r="N818" s="310">
        <v>46865821</v>
      </c>
      <c r="O818" s="310">
        <v>30373018</v>
      </c>
      <c r="P818" s="310">
        <v>16492803</v>
      </c>
      <c r="Q818" s="303"/>
    </row>
    <row r="819" spans="1:17" s="304" customFormat="1" x14ac:dyDescent="0.25">
      <c r="A819" s="300">
        <v>812</v>
      </c>
      <c r="B819" s="300">
        <v>830043084</v>
      </c>
      <c r="C819" s="300" t="s">
        <v>1721</v>
      </c>
      <c r="D819" s="300" t="s">
        <v>758</v>
      </c>
      <c r="E819" s="300" t="s">
        <v>1024</v>
      </c>
      <c r="F819" s="301" t="s">
        <v>760</v>
      </c>
      <c r="G819" s="302">
        <v>108966088</v>
      </c>
      <c r="H819" s="302">
        <v>-13973168</v>
      </c>
      <c r="I819" s="302">
        <v>150889571</v>
      </c>
      <c r="J819" s="302">
        <v>112982867</v>
      </c>
      <c r="K819" s="302">
        <v>37906704</v>
      </c>
      <c r="L819" s="302">
        <v>183633627</v>
      </c>
      <c r="M819" s="302">
        <v>2160317</v>
      </c>
      <c r="N819" s="302">
        <v>144143219</v>
      </c>
      <c r="O819" s="302">
        <v>93978292</v>
      </c>
      <c r="P819" s="302">
        <v>50164927</v>
      </c>
      <c r="Q819" s="303"/>
    </row>
    <row r="820" spans="1:17" s="304" customFormat="1" x14ac:dyDescent="0.25">
      <c r="A820" s="300">
        <v>813</v>
      </c>
      <c r="B820" s="300">
        <v>860051170</v>
      </c>
      <c r="C820" s="300" t="s">
        <v>1722</v>
      </c>
      <c r="D820" s="300" t="s">
        <v>758</v>
      </c>
      <c r="E820" s="300" t="s">
        <v>759</v>
      </c>
      <c r="F820" s="301" t="s">
        <v>764</v>
      </c>
      <c r="G820" s="302">
        <v>108401223.97588001</v>
      </c>
      <c r="H820" s="302">
        <v>-174180.97591000001</v>
      </c>
      <c r="I820" s="302">
        <v>48028224.107440002</v>
      </c>
      <c r="J820" s="302">
        <v>33203449.78404</v>
      </c>
      <c r="K820" s="302">
        <v>14824774.3234</v>
      </c>
      <c r="L820" s="302">
        <v>101351610.38091001</v>
      </c>
      <c r="M820" s="302">
        <v>-1594039.02192</v>
      </c>
      <c r="N820" s="302">
        <v>44580950.328529999</v>
      </c>
      <c r="O820" s="302">
        <v>30641109.898839999</v>
      </c>
      <c r="P820" s="302">
        <v>13939840.42969</v>
      </c>
      <c r="Q820" s="303"/>
    </row>
    <row r="821" spans="1:17" s="304" customFormat="1" x14ac:dyDescent="0.25">
      <c r="A821" s="300">
        <v>814</v>
      </c>
      <c r="B821" s="300">
        <v>830131993</v>
      </c>
      <c r="C821" s="300" t="s">
        <v>1723</v>
      </c>
      <c r="D821" s="300" t="s">
        <v>758</v>
      </c>
      <c r="E821" s="300" t="s">
        <v>1065</v>
      </c>
      <c r="F821" s="301" t="s">
        <v>766</v>
      </c>
      <c r="G821" s="302">
        <v>108383134</v>
      </c>
      <c r="H821" s="302">
        <v>6784438</v>
      </c>
      <c r="I821" s="302">
        <v>107219807</v>
      </c>
      <c r="J821" s="302">
        <v>89081765</v>
      </c>
      <c r="K821" s="302">
        <v>18138042</v>
      </c>
      <c r="L821" s="302">
        <v>88528007</v>
      </c>
      <c r="M821" s="302">
        <v>4839085</v>
      </c>
      <c r="N821" s="302">
        <v>91907622</v>
      </c>
      <c r="O821" s="302">
        <v>80554019</v>
      </c>
      <c r="P821" s="302">
        <v>11353603</v>
      </c>
      <c r="Q821" s="303"/>
    </row>
    <row r="822" spans="1:17" s="304" customFormat="1" x14ac:dyDescent="0.25">
      <c r="A822" s="300">
        <v>815</v>
      </c>
      <c r="B822" s="300">
        <v>806005008</v>
      </c>
      <c r="C822" s="300" t="s">
        <v>1724</v>
      </c>
      <c r="D822" s="300" t="s">
        <v>768</v>
      </c>
      <c r="E822" s="300" t="s">
        <v>759</v>
      </c>
      <c r="F822" s="301" t="s">
        <v>766</v>
      </c>
      <c r="G822" s="302">
        <v>108364558.531</v>
      </c>
      <c r="H822" s="302">
        <v>11249357.671</v>
      </c>
      <c r="I822" s="302">
        <v>123751296.351</v>
      </c>
      <c r="J822" s="302">
        <v>8876448.1280000005</v>
      </c>
      <c r="K822" s="302">
        <v>114874848.223</v>
      </c>
      <c r="L822" s="302">
        <v>116700024.59100001</v>
      </c>
      <c r="M822" s="302">
        <v>7144547.1380000003</v>
      </c>
      <c r="N822" s="302">
        <v>124974083.712</v>
      </c>
      <c r="O822" s="302">
        <v>12364584.448000001</v>
      </c>
      <c r="P822" s="302">
        <v>112609499.264</v>
      </c>
      <c r="Q822" s="303"/>
    </row>
    <row r="823" spans="1:17" s="304" customFormat="1" x14ac:dyDescent="0.25">
      <c r="A823" s="300">
        <v>816</v>
      </c>
      <c r="B823" s="300">
        <v>860527377</v>
      </c>
      <c r="C823" s="300" t="s">
        <v>1725</v>
      </c>
      <c r="D823" s="300" t="s">
        <v>758</v>
      </c>
      <c r="E823" s="300" t="s">
        <v>798</v>
      </c>
      <c r="F823" s="301" t="s">
        <v>764</v>
      </c>
      <c r="G823" s="302">
        <v>108129733</v>
      </c>
      <c r="H823" s="302">
        <v>10427358</v>
      </c>
      <c r="I823" s="302">
        <v>62404751</v>
      </c>
      <c r="J823" s="302">
        <v>34080250</v>
      </c>
      <c r="K823" s="302">
        <v>28324501</v>
      </c>
      <c r="L823" s="302">
        <v>76777953</v>
      </c>
      <c r="M823" s="302">
        <v>5097238</v>
      </c>
      <c r="N823" s="302">
        <v>49203701</v>
      </c>
      <c r="O823" s="302">
        <v>28306059</v>
      </c>
      <c r="P823" s="302">
        <v>20897642</v>
      </c>
      <c r="Q823" s="303"/>
    </row>
    <row r="824" spans="1:17" s="304" customFormat="1" x14ac:dyDescent="0.25">
      <c r="A824" s="300">
        <v>817</v>
      </c>
      <c r="B824" s="300">
        <v>890106278</v>
      </c>
      <c r="C824" s="300" t="s">
        <v>1726</v>
      </c>
      <c r="D824" s="300" t="s">
        <v>768</v>
      </c>
      <c r="E824" s="300" t="s">
        <v>949</v>
      </c>
      <c r="F824" s="300" t="s">
        <v>764</v>
      </c>
      <c r="G824" s="302">
        <v>108061485</v>
      </c>
      <c r="H824" s="302">
        <v>5152536</v>
      </c>
      <c r="I824" s="302">
        <v>105450813</v>
      </c>
      <c r="J824" s="302">
        <v>74662744</v>
      </c>
      <c r="K824" s="302">
        <v>30788069</v>
      </c>
      <c r="L824" s="302">
        <v>128617305</v>
      </c>
      <c r="M824" s="302">
        <v>8236451</v>
      </c>
      <c r="N824" s="302">
        <v>105426188</v>
      </c>
      <c r="O824" s="302">
        <v>72571111</v>
      </c>
      <c r="P824" s="302">
        <v>32855077</v>
      </c>
      <c r="Q824" s="303"/>
    </row>
    <row r="825" spans="1:17" s="304" customFormat="1" x14ac:dyDescent="0.25">
      <c r="A825" s="300">
        <v>818</v>
      </c>
      <c r="B825" s="300">
        <v>860030605</v>
      </c>
      <c r="C825" s="300" t="s">
        <v>1727</v>
      </c>
      <c r="D825" s="300" t="s">
        <v>758</v>
      </c>
      <c r="E825" s="300" t="s">
        <v>1107</v>
      </c>
      <c r="F825" s="301" t="s">
        <v>779</v>
      </c>
      <c r="G825" s="302">
        <v>107981053</v>
      </c>
      <c r="H825" s="302">
        <v>13260250</v>
      </c>
      <c r="I825" s="302">
        <v>103845659</v>
      </c>
      <c r="J825" s="302">
        <v>39221335</v>
      </c>
      <c r="K825" s="302">
        <v>64624324</v>
      </c>
      <c r="L825" s="302">
        <v>104247725</v>
      </c>
      <c r="M825" s="302">
        <v>11808480</v>
      </c>
      <c r="N825" s="302">
        <v>99602201</v>
      </c>
      <c r="O825" s="302">
        <v>36034733</v>
      </c>
      <c r="P825" s="302">
        <v>63567468</v>
      </c>
      <c r="Q825" s="303"/>
    </row>
    <row r="826" spans="1:17" s="304" customFormat="1" x14ac:dyDescent="0.25">
      <c r="A826" s="300">
        <v>819</v>
      </c>
      <c r="B826" s="300">
        <v>800022450</v>
      </c>
      <c r="C826" s="300" t="s">
        <v>1728</v>
      </c>
      <c r="D826" s="300" t="s">
        <v>768</v>
      </c>
      <c r="E826" s="300" t="s">
        <v>949</v>
      </c>
      <c r="F826" s="301" t="s">
        <v>764</v>
      </c>
      <c r="G826" s="302">
        <v>107942438</v>
      </c>
      <c r="H826" s="302">
        <v>5503588</v>
      </c>
      <c r="I826" s="302">
        <v>87427767</v>
      </c>
      <c r="J826" s="302">
        <v>54640535</v>
      </c>
      <c r="K826" s="302">
        <v>32787232</v>
      </c>
      <c r="L826" s="302">
        <v>119664605</v>
      </c>
      <c r="M826" s="302">
        <v>5041030</v>
      </c>
      <c r="N826" s="302">
        <v>75715938</v>
      </c>
      <c r="O826" s="302">
        <v>48937506</v>
      </c>
      <c r="P826" s="302">
        <v>26778432</v>
      </c>
      <c r="Q826" s="303"/>
    </row>
    <row r="827" spans="1:17" s="304" customFormat="1" x14ac:dyDescent="0.25">
      <c r="A827" s="300">
        <v>820</v>
      </c>
      <c r="B827" s="300">
        <v>890923691</v>
      </c>
      <c r="C827" s="300" t="s">
        <v>1729</v>
      </c>
      <c r="D827" s="300" t="s">
        <v>758</v>
      </c>
      <c r="E827" s="300" t="s">
        <v>1160</v>
      </c>
      <c r="F827" s="301" t="s">
        <v>764</v>
      </c>
      <c r="G827" s="302">
        <v>107734338</v>
      </c>
      <c r="H827" s="302">
        <v>549217</v>
      </c>
      <c r="I827" s="302">
        <v>81113951</v>
      </c>
      <c r="J827" s="302">
        <v>52023991</v>
      </c>
      <c r="K827" s="302">
        <v>29089960</v>
      </c>
      <c r="L827" s="302">
        <v>92346458</v>
      </c>
      <c r="M827" s="302">
        <v>1046109</v>
      </c>
      <c r="N827" s="302">
        <v>44796415</v>
      </c>
      <c r="O827" s="302">
        <v>31255673</v>
      </c>
      <c r="P827" s="302">
        <v>13540742</v>
      </c>
      <c r="Q827" s="303"/>
    </row>
    <row r="828" spans="1:17" s="304" customFormat="1" x14ac:dyDescent="0.25">
      <c r="A828" s="300">
        <v>821</v>
      </c>
      <c r="B828" s="300">
        <v>860032115</v>
      </c>
      <c r="C828" s="300" t="s">
        <v>1730</v>
      </c>
      <c r="D828" s="300" t="s">
        <v>758</v>
      </c>
      <c r="E828" s="300" t="s">
        <v>880</v>
      </c>
      <c r="F828" s="301" t="s">
        <v>764</v>
      </c>
      <c r="G828" s="302">
        <v>107348568</v>
      </c>
      <c r="H828" s="302">
        <v>1891558</v>
      </c>
      <c r="I828" s="302">
        <v>67975723</v>
      </c>
      <c r="J828" s="302">
        <v>20146959</v>
      </c>
      <c r="K828" s="302">
        <v>47828764</v>
      </c>
      <c r="L828" s="302">
        <v>119480036</v>
      </c>
      <c r="M828" s="302">
        <v>2972001</v>
      </c>
      <c r="N828" s="302">
        <v>73044277</v>
      </c>
      <c r="O828" s="302">
        <v>25406337</v>
      </c>
      <c r="P828" s="302">
        <v>47637940</v>
      </c>
      <c r="Q828" s="303"/>
    </row>
    <row r="829" spans="1:17" s="304" customFormat="1" x14ac:dyDescent="0.25">
      <c r="A829" s="300">
        <v>822</v>
      </c>
      <c r="B829" s="300">
        <v>900010068</v>
      </c>
      <c r="C829" s="300" t="s">
        <v>1731</v>
      </c>
      <c r="D829" s="300" t="s">
        <v>758</v>
      </c>
      <c r="E829" s="300" t="s">
        <v>1086</v>
      </c>
      <c r="F829" s="301" t="s">
        <v>766</v>
      </c>
      <c r="G829" s="302">
        <v>107300551</v>
      </c>
      <c r="H829" s="302">
        <v>1152861</v>
      </c>
      <c r="I829" s="302">
        <v>17018691</v>
      </c>
      <c r="J829" s="302">
        <v>11943429</v>
      </c>
      <c r="K829" s="302">
        <v>5075262</v>
      </c>
      <c r="L829" s="302">
        <v>97078746</v>
      </c>
      <c r="M829" s="302">
        <v>866345</v>
      </c>
      <c r="N829" s="302">
        <v>15375049</v>
      </c>
      <c r="O829" s="302">
        <v>11452648</v>
      </c>
      <c r="P829" s="302">
        <v>3922401</v>
      </c>
      <c r="Q829" s="303"/>
    </row>
    <row r="830" spans="1:17" s="304" customFormat="1" x14ac:dyDescent="0.25">
      <c r="A830" s="300">
        <v>823</v>
      </c>
      <c r="B830" s="300">
        <v>800156354</v>
      </c>
      <c r="C830" s="300" t="s">
        <v>1732</v>
      </c>
      <c r="D830" s="300" t="s">
        <v>758</v>
      </c>
      <c r="E830" s="300" t="s">
        <v>846</v>
      </c>
      <c r="F830" s="300" t="s">
        <v>760</v>
      </c>
      <c r="G830" s="302">
        <v>107245827</v>
      </c>
      <c r="H830" s="302">
        <v>3675478</v>
      </c>
      <c r="I830" s="302">
        <v>114698599</v>
      </c>
      <c r="J830" s="302">
        <v>18145701</v>
      </c>
      <c r="K830" s="302">
        <v>96552898</v>
      </c>
      <c r="L830" s="302">
        <v>92647334</v>
      </c>
      <c r="M830" s="302">
        <v>3384339</v>
      </c>
      <c r="N830" s="302">
        <v>94486001</v>
      </c>
      <c r="O830" s="302">
        <v>18309543</v>
      </c>
      <c r="P830" s="302">
        <v>76176458</v>
      </c>
      <c r="Q830" s="303"/>
    </row>
    <row r="831" spans="1:17" s="304" customFormat="1" x14ac:dyDescent="0.25">
      <c r="A831" s="300">
        <v>824</v>
      </c>
      <c r="B831" s="300">
        <v>900156826</v>
      </c>
      <c r="C831" s="300" t="s">
        <v>1733</v>
      </c>
      <c r="D831" s="300" t="s">
        <v>758</v>
      </c>
      <c r="E831" s="300" t="s">
        <v>776</v>
      </c>
      <c r="F831" s="301" t="s">
        <v>764</v>
      </c>
      <c r="G831" s="302">
        <v>106904020</v>
      </c>
      <c r="H831" s="302">
        <v>1885910</v>
      </c>
      <c r="I831" s="302">
        <v>61941310</v>
      </c>
      <c r="J831" s="302">
        <v>26708187</v>
      </c>
      <c r="K831" s="302">
        <v>35233123</v>
      </c>
      <c r="L831" s="302">
        <v>110821303</v>
      </c>
      <c r="M831" s="302">
        <v>408013</v>
      </c>
      <c r="N831" s="302">
        <v>67078904</v>
      </c>
      <c r="O831" s="302">
        <v>30014545</v>
      </c>
      <c r="P831" s="302">
        <v>37064359</v>
      </c>
      <c r="Q831" s="303"/>
    </row>
    <row r="832" spans="1:17" s="304" customFormat="1" x14ac:dyDescent="0.25">
      <c r="A832" s="300">
        <v>825</v>
      </c>
      <c r="B832" s="300">
        <v>800169165</v>
      </c>
      <c r="C832" s="300" t="s">
        <v>1734</v>
      </c>
      <c r="D832" s="300" t="s">
        <v>763</v>
      </c>
      <c r="E832" s="300" t="s">
        <v>957</v>
      </c>
      <c r="F832" s="301" t="s">
        <v>958</v>
      </c>
      <c r="G832" s="302">
        <v>106606827</v>
      </c>
      <c r="H832" s="302">
        <v>-12562969</v>
      </c>
      <c r="I832" s="302">
        <v>168894420</v>
      </c>
      <c r="J832" s="302">
        <v>62112563</v>
      </c>
      <c r="K832" s="302">
        <v>106781857</v>
      </c>
      <c r="L832" s="302">
        <v>129450495</v>
      </c>
      <c r="M832" s="302">
        <v>-4931198</v>
      </c>
      <c r="N832" s="302">
        <v>220035436</v>
      </c>
      <c r="O832" s="302">
        <v>50229122</v>
      </c>
      <c r="P832" s="302">
        <v>169806314</v>
      </c>
      <c r="Q832" s="303"/>
    </row>
    <row r="833" spans="1:17" s="304" customFormat="1" x14ac:dyDescent="0.25">
      <c r="A833" s="300">
        <v>826</v>
      </c>
      <c r="B833" s="300">
        <v>800133807</v>
      </c>
      <c r="C833" s="300" t="s">
        <v>1735</v>
      </c>
      <c r="D833" s="300" t="s">
        <v>758</v>
      </c>
      <c r="E833" s="300" t="s">
        <v>995</v>
      </c>
      <c r="F833" s="301" t="s">
        <v>779</v>
      </c>
      <c r="G833" s="302">
        <v>106376171</v>
      </c>
      <c r="H833" s="302">
        <v>4959528</v>
      </c>
      <c r="I833" s="302">
        <v>79579103</v>
      </c>
      <c r="J833" s="302">
        <v>36607094</v>
      </c>
      <c r="K833" s="302">
        <v>42972009</v>
      </c>
      <c r="L833" s="302">
        <v>97342560</v>
      </c>
      <c r="M833" s="302">
        <v>4047337</v>
      </c>
      <c r="N833" s="302">
        <v>69592334</v>
      </c>
      <c r="O833" s="302">
        <v>31579853</v>
      </c>
      <c r="P833" s="302">
        <v>38012481</v>
      </c>
      <c r="Q833" s="303"/>
    </row>
    <row r="834" spans="1:17" s="304" customFormat="1" x14ac:dyDescent="0.25">
      <c r="A834" s="300">
        <v>827</v>
      </c>
      <c r="B834" s="300">
        <v>800025839</v>
      </c>
      <c r="C834" s="300" t="s">
        <v>1736</v>
      </c>
      <c r="D834" s="300" t="s">
        <v>763</v>
      </c>
      <c r="E834" s="300" t="s">
        <v>1028</v>
      </c>
      <c r="F834" s="301" t="s">
        <v>764</v>
      </c>
      <c r="G834" s="302">
        <v>106351915</v>
      </c>
      <c r="H834" s="302">
        <v>1186077</v>
      </c>
      <c r="I834" s="302">
        <v>57488894</v>
      </c>
      <c r="J834" s="302">
        <v>45225011</v>
      </c>
      <c r="K834" s="302">
        <v>12263883</v>
      </c>
      <c r="L834" s="302">
        <v>120571693</v>
      </c>
      <c r="M834" s="302">
        <v>1082110</v>
      </c>
      <c r="N834" s="302">
        <v>52562741</v>
      </c>
      <c r="O834" s="302">
        <v>41698913</v>
      </c>
      <c r="P834" s="302">
        <v>10863828</v>
      </c>
      <c r="Q834" s="303"/>
    </row>
    <row r="835" spans="1:17" s="304" customFormat="1" x14ac:dyDescent="0.25">
      <c r="A835" s="300">
        <v>828</v>
      </c>
      <c r="B835" s="300">
        <v>890942310</v>
      </c>
      <c r="C835" s="300" t="s">
        <v>1737</v>
      </c>
      <c r="D835" s="300" t="s">
        <v>763</v>
      </c>
      <c r="E835" s="300" t="s">
        <v>880</v>
      </c>
      <c r="F835" s="301" t="s">
        <v>764</v>
      </c>
      <c r="G835" s="302">
        <v>106185598</v>
      </c>
      <c r="H835" s="302">
        <v>2589436</v>
      </c>
      <c r="I835" s="302">
        <v>40172991</v>
      </c>
      <c r="J835" s="302">
        <v>16303043</v>
      </c>
      <c r="K835" s="302">
        <v>23869948</v>
      </c>
      <c r="L835" s="302">
        <v>114279806</v>
      </c>
      <c r="M835" s="302">
        <v>1412935</v>
      </c>
      <c r="N835" s="302">
        <v>41045928</v>
      </c>
      <c r="O835" s="302">
        <v>20250256</v>
      </c>
      <c r="P835" s="302">
        <v>20795672</v>
      </c>
      <c r="Q835" s="303"/>
    </row>
    <row r="836" spans="1:17" s="304" customFormat="1" x14ac:dyDescent="0.25">
      <c r="A836" s="300">
        <v>829</v>
      </c>
      <c r="B836" s="300">
        <v>830013774</v>
      </c>
      <c r="C836" s="300" t="s">
        <v>1738</v>
      </c>
      <c r="D836" s="300" t="s">
        <v>758</v>
      </c>
      <c r="E836" s="300" t="s">
        <v>1065</v>
      </c>
      <c r="F836" s="301" t="s">
        <v>766</v>
      </c>
      <c r="G836" s="302">
        <v>105974929</v>
      </c>
      <c r="H836" s="302">
        <v>-3306367</v>
      </c>
      <c r="I836" s="302">
        <v>67737300</v>
      </c>
      <c r="J836" s="302">
        <v>38884753</v>
      </c>
      <c r="K836" s="302">
        <v>28852547</v>
      </c>
      <c r="L836" s="302">
        <v>113697011</v>
      </c>
      <c r="M836" s="302">
        <v>3265572</v>
      </c>
      <c r="N836" s="302">
        <v>80255132</v>
      </c>
      <c r="O836" s="302">
        <v>57689736</v>
      </c>
      <c r="P836" s="302">
        <v>22565396</v>
      </c>
      <c r="Q836" s="303"/>
    </row>
    <row r="837" spans="1:17" s="304" customFormat="1" x14ac:dyDescent="0.25">
      <c r="A837" s="300">
        <v>830</v>
      </c>
      <c r="B837" s="300">
        <v>900131745</v>
      </c>
      <c r="C837" s="300" t="s">
        <v>1739</v>
      </c>
      <c r="D837" s="300" t="s">
        <v>758</v>
      </c>
      <c r="E837" s="300" t="s">
        <v>1740</v>
      </c>
      <c r="F837" s="301" t="s">
        <v>766</v>
      </c>
      <c r="G837" s="302">
        <v>105940723</v>
      </c>
      <c r="H837" s="302">
        <v>17209183</v>
      </c>
      <c r="I837" s="302">
        <v>79767408</v>
      </c>
      <c r="J837" s="302">
        <v>42635903</v>
      </c>
      <c r="K837" s="302">
        <v>37131505</v>
      </c>
      <c r="L837" s="302">
        <v>98049387</v>
      </c>
      <c r="M837" s="302">
        <v>13122919</v>
      </c>
      <c r="N837" s="302">
        <v>74380531</v>
      </c>
      <c r="O837" s="302">
        <v>53463362</v>
      </c>
      <c r="P837" s="302">
        <v>20917169</v>
      </c>
      <c r="Q837" s="303"/>
    </row>
    <row r="838" spans="1:17" s="304" customFormat="1" x14ac:dyDescent="0.25">
      <c r="A838" s="312">
        <v>831</v>
      </c>
      <c r="B838" s="312">
        <v>900031253</v>
      </c>
      <c r="C838" s="312" t="s">
        <v>1741</v>
      </c>
      <c r="D838" s="312" t="s">
        <v>758</v>
      </c>
      <c r="E838" s="312" t="s">
        <v>876</v>
      </c>
      <c r="F838" s="313" t="s">
        <v>877</v>
      </c>
      <c r="G838" s="314">
        <v>105702907</v>
      </c>
      <c r="H838" s="314">
        <v>1195873</v>
      </c>
      <c r="I838" s="314">
        <v>124694297</v>
      </c>
      <c r="J838" s="314">
        <v>60369692</v>
      </c>
      <c r="K838" s="314">
        <v>64324605</v>
      </c>
      <c r="L838" s="314">
        <v>53438945</v>
      </c>
      <c r="M838" s="314">
        <v>582938</v>
      </c>
      <c r="N838" s="314">
        <v>130505149</v>
      </c>
      <c r="O838" s="314">
        <v>67376418</v>
      </c>
      <c r="P838" s="314">
        <v>63128731</v>
      </c>
      <c r="Q838" s="303"/>
    </row>
    <row r="839" spans="1:17" s="304" customFormat="1" x14ac:dyDescent="0.25">
      <c r="A839" s="300">
        <v>832</v>
      </c>
      <c r="B839" s="300">
        <v>800213075</v>
      </c>
      <c r="C839" s="300" t="s">
        <v>1742</v>
      </c>
      <c r="D839" s="300" t="s">
        <v>758</v>
      </c>
      <c r="E839" s="300" t="s">
        <v>1215</v>
      </c>
      <c r="F839" s="301" t="s">
        <v>766</v>
      </c>
      <c r="G839" s="302">
        <v>105700540</v>
      </c>
      <c r="H839" s="302">
        <v>944363</v>
      </c>
      <c r="I839" s="302">
        <v>80253497</v>
      </c>
      <c r="J839" s="302">
        <v>41285453</v>
      </c>
      <c r="K839" s="302">
        <v>38968044</v>
      </c>
      <c r="L839" s="302">
        <v>90926964</v>
      </c>
      <c r="M839" s="302">
        <v>317067</v>
      </c>
      <c r="N839" s="302">
        <v>68057330</v>
      </c>
      <c r="O839" s="302">
        <v>30033647</v>
      </c>
      <c r="P839" s="302">
        <v>38023683</v>
      </c>
      <c r="Q839" s="303"/>
    </row>
    <row r="840" spans="1:17" s="304" customFormat="1" x14ac:dyDescent="0.25">
      <c r="A840" s="300">
        <v>833</v>
      </c>
      <c r="B840" s="300">
        <v>890908493</v>
      </c>
      <c r="C840" s="300" t="s">
        <v>1743</v>
      </c>
      <c r="D840" s="300" t="s">
        <v>763</v>
      </c>
      <c r="E840" s="300" t="s">
        <v>856</v>
      </c>
      <c r="F840" s="301" t="s">
        <v>779</v>
      </c>
      <c r="G840" s="302">
        <v>105437524</v>
      </c>
      <c r="H840" s="302">
        <v>-1212223</v>
      </c>
      <c r="I840" s="302">
        <v>55420565</v>
      </c>
      <c r="J840" s="302">
        <v>35026453</v>
      </c>
      <c r="K840" s="302">
        <v>20394112</v>
      </c>
      <c r="L840" s="302">
        <v>100124433</v>
      </c>
      <c r="M840" s="302">
        <v>713877</v>
      </c>
      <c r="N840" s="302">
        <v>48841469</v>
      </c>
      <c r="O840" s="302">
        <v>26566232</v>
      </c>
      <c r="P840" s="302">
        <v>22275237</v>
      </c>
      <c r="Q840" s="303"/>
    </row>
    <row r="841" spans="1:17" s="304" customFormat="1" x14ac:dyDescent="0.25">
      <c r="A841" s="300">
        <v>834</v>
      </c>
      <c r="B841" s="308">
        <v>890000381</v>
      </c>
      <c r="C841" s="300" t="s">
        <v>1744</v>
      </c>
      <c r="D841" s="300" t="s">
        <v>763</v>
      </c>
      <c r="E841" s="300" t="s">
        <v>759</v>
      </c>
      <c r="F841" s="301" t="s">
        <v>766</v>
      </c>
      <c r="G841" s="302">
        <v>105421620</v>
      </c>
      <c r="H841" s="302">
        <v>4112955</v>
      </c>
      <c r="I841" s="302">
        <v>94031181</v>
      </c>
      <c r="J841" s="302">
        <v>39832390</v>
      </c>
      <c r="K841" s="302">
        <v>54198791</v>
      </c>
      <c r="L841" s="302">
        <v>103256103</v>
      </c>
      <c r="M841" s="302">
        <v>3643265</v>
      </c>
      <c r="N841" s="302">
        <v>85544543</v>
      </c>
      <c r="O841" s="302">
        <v>35350979</v>
      </c>
      <c r="P841" s="302">
        <v>50193564</v>
      </c>
      <c r="Q841" s="303"/>
    </row>
    <row r="842" spans="1:17" s="304" customFormat="1" x14ac:dyDescent="0.25">
      <c r="A842" s="300">
        <v>835</v>
      </c>
      <c r="B842" s="300">
        <v>800118334</v>
      </c>
      <c r="C842" s="300" t="s">
        <v>1745</v>
      </c>
      <c r="D842" s="300" t="s">
        <v>808</v>
      </c>
      <c r="E842" s="300" t="s">
        <v>868</v>
      </c>
      <c r="F842" s="301" t="s">
        <v>779</v>
      </c>
      <c r="G842" s="302">
        <v>105336327</v>
      </c>
      <c r="H842" s="302">
        <v>5317184</v>
      </c>
      <c r="I842" s="302">
        <v>76758374</v>
      </c>
      <c r="J842" s="302">
        <v>49812270</v>
      </c>
      <c r="K842" s="302">
        <v>26946104</v>
      </c>
      <c r="L842" s="302">
        <v>94038043</v>
      </c>
      <c r="M842" s="302">
        <v>5784969</v>
      </c>
      <c r="N842" s="302">
        <v>61371644</v>
      </c>
      <c r="O842" s="302">
        <v>36885874</v>
      </c>
      <c r="P842" s="302">
        <v>24485770</v>
      </c>
      <c r="Q842" s="303"/>
    </row>
    <row r="843" spans="1:17" s="304" customFormat="1" x14ac:dyDescent="0.25">
      <c r="A843" s="300">
        <v>836</v>
      </c>
      <c r="B843" s="300">
        <v>891600091</v>
      </c>
      <c r="C843" s="300" t="s">
        <v>1746</v>
      </c>
      <c r="D843" s="300" t="s">
        <v>808</v>
      </c>
      <c r="E843" s="300" t="s">
        <v>759</v>
      </c>
      <c r="F843" s="301" t="s">
        <v>766</v>
      </c>
      <c r="G843" s="309">
        <v>105174701</v>
      </c>
      <c r="H843" s="309">
        <v>5542745</v>
      </c>
      <c r="I843" s="309">
        <v>71488758</v>
      </c>
      <c r="J843" s="309">
        <v>20031811</v>
      </c>
      <c r="K843" s="309">
        <v>51456947</v>
      </c>
      <c r="L843" s="309">
        <v>108024247</v>
      </c>
      <c r="M843" s="309">
        <v>5259157</v>
      </c>
      <c r="N843" s="309">
        <v>68593460</v>
      </c>
      <c r="O843" s="309">
        <v>23187905</v>
      </c>
      <c r="P843" s="309">
        <v>45405555</v>
      </c>
      <c r="Q843" s="303"/>
    </row>
    <row r="844" spans="1:17" s="304" customFormat="1" x14ac:dyDescent="0.25">
      <c r="A844" s="300">
        <v>837</v>
      </c>
      <c r="B844" s="300">
        <v>800200934</v>
      </c>
      <c r="C844" s="300" t="s">
        <v>1747</v>
      </c>
      <c r="D844" s="300" t="s">
        <v>758</v>
      </c>
      <c r="E844" s="300" t="s">
        <v>1344</v>
      </c>
      <c r="F844" s="301" t="s">
        <v>764</v>
      </c>
      <c r="G844" s="302">
        <v>105039839</v>
      </c>
      <c r="H844" s="302">
        <v>787516</v>
      </c>
      <c r="I844" s="302">
        <v>93984166</v>
      </c>
      <c r="J844" s="302">
        <v>58005506</v>
      </c>
      <c r="K844" s="302">
        <v>35978660</v>
      </c>
      <c r="L844" s="302">
        <v>130925160</v>
      </c>
      <c r="M844" s="302">
        <v>6411942</v>
      </c>
      <c r="N844" s="302">
        <v>108926231</v>
      </c>
      <c r="O844" s="302">
        <v>68328725</v>
      </c>
      <c r="P844" s="302">
        <v>40597506</v>
      </c>
      <c r="Q844" s="303"/>
    </row>
    <row r="845" spans="1:17" s="304" customFormat="1" x14ac:dyDescent="0.25">
      <c r="A845" s="300">
        <v>838</v>
      </c>
      <c r="B845" s="300">
        <v>900046908</v>
      </c>
      <c r="C845" s="300" t="s">
        <v>1748</v>
      </c>
      <c r="D845" s="300" t="s">
        <v>758</v>
      </c>
      <c r="E845" s="300" t="s">
        <v>781</v>
      </c>
      <c r="F845" s="301" t="s">
        <v>766</v>
      </c>
      <c r="G845" s="302">
        <v>104498313</v>
      </c>
      <c r="H845" s="302">
        <v>21439529</v>
      </c>
      <c r="I845" s="302">
        <v>108760783</v>
      </c>
      <c r="J845" s="302">
        <v>43388650</v>
      </c>
      <c r="K845" s="302">
        <v>65372133</v>
      </c>
      <c r="L845" s="302">
        <v>112400926</v>
      </c>
      <c r="M845" s="302">
        <v>2174833</v>
      </c>
      <c r="N845" s="302">
        <v>82127851</v>
      </c>
      <c r="O845" s="302">
        <v>38195247</v>
      </c>
      <c r="P845" s="302">
        <v>43932604</v>
      </c>
      <c r="Q845" s="303"/>
    </row>
    <row r="846" spans="1:17" s="304" customFormat="1" x14ac:dyDescent="0.25">
      <c r="A846" s="300">
        <v>839</v>
      </c>
      <c r="B846" s="300">
        <v>890922487</v>
      </c>
      <c r="C846" s="300" t="s">
        <v>1749</v>
      </c>
      <c r="D846" s="300" t="s">
        <v>763</v>
      </c>
      <c r="E846" s="300" t="s">
        <v>1086</v>
      </c>
      <c r="F846" s="301" t="s">
        <v>766</v>
      </c>
      <c r="G846" s="302">
        <v>104482274</v>
      </c>
      <c r="H846" s="302">
        <v>536234</v>
      </c>
      <c r="I846" s="302">
        <v>14402958</v>
      </c>
      <c r="J846" s="302">
        <v>8241542</v>
      </c>
      <c r="K846" s="302">
        <v>6161416</v>
      </c>
      <c r="L846" s="302">
        <v>88421765</v>
      </c>
      <c r="M846" s="302">
        <v>232294</v>
      </c>
      <c r="N846" s="302">
        <v>13999803</v>
      </c>
      <c r="O846" s="302">
        <v>11380634</v>
      </c>
      <c r="P846" s="302">
        <v>2619169</v>
      </c>
      <c r="Q846" s="303"/>
    </row>
    <row r="847" spans="1:17" s="304" customFormat="1" x14ac:dyDescent="0.25">
      <c r="A847" s="300">
        <v>840</v>
      </c>
      <c r="B847" s="300">
        <v>860006583</v>
      </c>
      <c r="C847" s="300" t="s">
        <v>1750</v>
      </c>
      <c r="D847" s="300" t="s">
        <v>758</v>
      </c>
      <c r="E847" s="300" t="s">
        <v>1259</v>
      </c>
      <c r="F847" s="301" t="s">
        <v>764</v>
      </c>
      <c r="G847" s="302">
        <v>104442707</v>
      </c>
      <c r="H847" s="302">
        <v>-1204036</v>
      </c>
      <c r="I847" s="302">
        <v>88755521</v>
      </c>
      <c r="J847" s="302">
        <v>86301760</v>
      </c>
      <c r="K847" s="302">
        <v>2453761</v>
      </c>
      <c r="L847" s="302">
        <v>99463336</v>
      </c>
      <c r="M847" s="302">
        <v>354570</v>
      </c>
      <c r="N847" s="302">
        <v>86293476</v>
      </c>
      <c r="O847" s="302">
        <v>82635679</v>
      </c>
      <c r="P847" s="302">
        <v>3657797</v>
      </c>
      <c r="Q847" s="303"/>
    </row>
    <row r="848" spans="1:17" s="304" customFormat="1" x14ac:dyDescent="0.25">
      <c r="A848" s="300">
        <v>841</v>
      </c>
      <c r="B848" s="300">
        <v>805003576</v>
      </c>
      <c r="C848" s="300" t="s">
        <v>1751</v>
      </c>
      <c r="D848" s="300" t="s">
        <v>768</v>
      </c>
      <c r="E848" s="300" t="s">
        <v>1065</v>
      </c>
      <c r="F848" s="301" t="s">
        <v>766</v>
      </c>
      <c r="G848" s="302">
        <v>104436374</v>
      </c>
      <c r="H848" s="302">
        <v>1187552</v>
      </c>
      <c r="I848" s="302">
        <v>73366009</v>
      </c>
      <c r="J848" s="302">
        <v>46455165</v>
      </c>
      <c r="K848" s="302">
        <v>26910844</v>
      </c>
      <c r="L848" s="302">
        <v>98229296</v>
      </c>
      <c r="M848" s="302">
        <v>1017806</v>
      </c>
      <c r="N848" s="302">
        <v>65984816</v>
      </c>
      <c r="O848" s="302">
        <v>45944748</v>
      </c>
      <c r="P848" s="302">
        <v>20040068</v>
      </c>
      <c r="Q848" s="303"/>
    </row>
    <row r="849" spans="1:17" s="304" customFormat="1" x14ac:dyDescent="0.25">
      <c r="A849" s="300">
        <v>842</v>
      </c>
      <c r="B849" s="300">
        <v>816006799</v>
      </c>
      <c r="C849" s="300" t="s">
        <v>1752</v>
      </c>
      <c r="D849" s="300" t="s">
        <v>763</v>
      </c>
      <c r="E849" s="300" t="s">
        <v>1753</v>
      </c>
      <c r="F849" s="301" t="s">
        <v>779</v>
      </c>
      <c r="G849" s="310">
        <v>104381143</v>
      </c>
      <c r="H849" s="310">
        <v>2109293</v>
      </c>
      <c r="I849" s="310">
        <v>85937238</v>
      </c>
      <c r="J849" s="310">
        <v>66821344</v>
      </c>
      <c r="K849" s="310">
        <v>19115894</v>
      </c>
      <c r="L849" s="310">
        <v>100263247</v>
      </c>
      <c r="M849" s="310">
        <v>4617081</v>
      </c>
      <c r="N849" s="310">
        <v>63839995</v>
      </c>
      <c r="O849" s="310">
        <v>47253725</v>
      </c>
      <c r="P849" s="310">
        <v>16586270</v>
      </c>
      <c r="Q849" s="303"/>
    </row>
    <row r="850" spans="1:17" s="304" customFormat="1" x14ac:dyDescent="0.25">
      <c r="A850" s="300">
        <v>843</v>
      </c>
      <c r="B850" s="300">
        <v>800106404</v>
      </c>
      <c r="C850" s="300" t="s">
        <v>1754</v>
      </c>
      <c r="D850" s="300" t="s">
        <v>808</v>
      </c>
      <c r="E850" s="300" t="s">
        <v>1531</v>
      </c>
      <c r="F850" s="301" t="s">
        <v>766</v>
      </c>
      <c r="G850" s="302">
        <v>104332923</v>
      </c>
      <c r="H850" s="302">
        <v>427995</v>
      </c>
      <c r="I850" s="302">
        <v>13330058</v>
      </c>
      <c r="J850" s="302">
        <v>10410281</v>
      </c>
      <c r="K850" s="302">
        <v>2919777</v>
      </c>
      <c r="L850" s="302">
        <v>102235154</v>
      </c>
      <c r="M850" s="302">
        <v>291444</v>
      </c>
      <c r="N850" s="302">
        <v>12760305</v>
      </c>
      <c r="O850" s="302">
        <v>10203367</v>
      </c>
      <c r="P850" s="302">
        <v>2556938</v>
      </c>
      <c r="Q850" s="303"/>
    </row>
    <row r="851" spans="1:17" s="304" customFormat="1" x14ac:dyDescent="0.25">
      <c r="A851" s="300">
        <v>844</v>
      </c>
      <c r="B851" s="300">
        <v>860048626</v>
      </c>
      <c r="C851" s="300" t="s">
        <v>1755</v>
      </c>
      <c r="D851" s="300" t="s">
        <v>758</v>
      </c>
      <c r="E851" s="300" t="s">
        <v>1100</v>
      </c>
      <c r="F851" s="301" t="s">
        <v>779</v>
      </c>
      <c r="G851" s="302">
        <v>104191970</v>
      </c>
      <c r="H851" s="302">
        <v>2179061</v>
      </c>
      <c r="I851" s="302">
        <v>142324644</v>
      </c>
      <c r="J851" s="302">
        <v>48766412</v>
      </c>
      <c r="K851" s="302">
        <v>93558232</v>
      </c>
      <c r="L851" s="302">
        <v>99748969</v>
      </c>
      <c r="M851" s="302">
        <v>2792966</v>
      </c>
      <c r="N851" s="302">
        <v>126259604</v>
      </c>
      <c r="O851" s="302">
        <v>35555641</v>
      </c>
      <c r="P851" s="302">
        <v>90703963</v>
      </c>
      <c r="Q851" s="303"/>
    </row>
    <row r="852" spans="1:17" s="304" customFormat="1" x14ac:dyDescent="0.25">
      <c r="A852" s="300">
        <v>845</v>
      </c>
      <c r="B852" s="300">
        <v>860059851</v>
      </c>
      <c r="C852" s="300" t="s">
        <v>1756</v>
      </c>
      <c r="D852" s="300" t="s">
        <v>758</v>
      </c>
      <c r="E852" s="300" t="s">
        <v>1417</v>
      </c>
      <c r="F852" s="301" t="s">
        <v>766</v>
      </c>
      <c r="G852" s="302">
        <v>104175780</v>
      </c>
      <c r="H852" s="302">
        <v>6176457</v>
      </c>
      <c r="I852" s="302">
        <v>46940010</v>
      </c>
      <c r="J852" s="302">
        <v>19974992</v>
      </c>
      <c r="K852" s="302">
        <v>26965018</v>
      </c>
      <c r="L852" s="302">
        <v>100431532</v>
      </c>
      <c r="M852" s="302">
        <v>6454984</v>
      </c>
      <c r="N852" s="302">
        <v>34247188</v>
      </c>
      <c r="O852" s="302">
        <v>19476608</v>
      </c>
      <c r="P852" s="302">
        <v>14770580</v>
      </c>
      <c r="Q852" s="303"/>
    </row>
    <row r="853" spans="1:17" s="304" customFormat="1" x14ac:dyDescent="0.25">
      <c r="A853" s="300">
        <v>846</v>
      </c>
      <c r="B853" s="300">
        <v>860048429</v>
      </c>
      <c r="C853" s="300" t="s">
        <v>1757</v>
      </c>
      <c r="D853" s="300" t="s">
        <v>758</v>
      </c>
      <c r="E853" s="300" t="s">
        <v>1059</v>
      </c>
      <c r="F853" s="301" t="s">
        <v>764</v>
      </c>
      <c r="G853" s="302">
        <v>104129733</v>
      </c>
      <c r="H853" s="302">
        <v>88178</v>
      </c>
      <c r="I853" s="302">
        <v>60754494</v>
      </c>
      <c r="J853" s="302">
        <v>33253366</v>
      </c>
      <c r="K853" s="302">
        <v>27501128</v>
      </c>
      <c r="L853" s="302">
        <v>113074970</v>
      </c>
      <c r="M853" s="302">
        <v>513649</v>
      </c>
      <c r="N853" s="302">
        <v>61969376</v>
      </c>
      <c r="O853" s="302">
        <v>30556427</v>
      </c>
      <c r="P853" s="302">
        <v>31412949</v>
      </c>
      <c r="Q853" s="303"/>
    </row>
    <row r="854" spans="1:17" s="304" customFormat="1" x14ac:dyDescent="0.25">
      <c r="A854" s="300">
        <v>847</v>
      </c>
      <c r="B854" s="300">
        <v>900334525</v>
      </c>
      <c r="C854" s="300" t="s">
        <v>1758</v>
      </c>
      <c r="D854" s="300" t="s">
        <v>758</v>
      </c>
      <c r="E854" s="300" t="s">
        <v>784</v>
      </c>
      <c r="F854" s="301" t="s">
        <v>764</v>
      </c>
      <c r="G854" s="310">
        <v>104000516</v>
      </c>
      <c r="H854" s="310">
        <v>-54802401</v>
      </c>
      <c r="I854" s="310">
        <v>137377060</v>
      </c>
      <c r="J854" s="310">
        <v>103275360</v>
      </c>
      <c r="K854" s="310">
        <v>34101700</v>
      </c>
      <c r="L854" s="310">
        <v>97920111</v>
      </c>
      <c r="M854" s="310">
        <v>-52161089</v>
      </c>
      <c r="N854" s="310">
        <v>117216866</v>
      </c>
      <c r="O854" s="310">
        <v>45626705</v>
      </c>
      <c r="P854" s="310">
        <v>71590161</v>
      </c>
      <c r="Q854" s="303"/>
    </row>
    <row r="855" spans="1:17" s="304" customFormat="1" x14ac:dyDescent="0.25">
      <c r="A855" s="300">
        <v>848</v>
      </c>
      <c r="B855" s="300">
        <v>900207854</v>
      </c>
      <c r="C855" s="300" t="s">
        <v>1759</v>
      </c>
      <c r="D855" s="300" t="s">
        <v>763</v>
      </c>
      <c r="E855" s="300" t="s">
        <v>884</v>
      </c>
      <c r="F855" s="301" t="s">
        <v>764</v>
      </c>
      <c r="G855" s="302">
        <v>103750062</v>
      </c>
      <c r="H855" s="302">
        <v>2231258</v>
      </c>
      <c r="I855" s="302">
        <v>51718681</v>
      </c>
      <c r="J855" s="302">
        <v>38978742</v>
      </c>
      <c r="K855" s="302">
        <v>12739939</v>
      </c>
      <c r="L855" s="302">
        <v>64011991</v>
      </c>
      <c r="M855" s="302">
        <v>1870679</v>
      </c>
      <c r="N855" s="302">
        <v>37030129</v>
      </c>
      <c r="O855" s="302">
        <v>30021447</v>
      </c>
      <c r="P855" s="302">
        <v>7008682</v>
      </c>
      <c r="Q855" s="303"/>
    </row>
    <row r="856" spans="1:17" s="304" customFormat="1" x14ac:dyDescent="0.25">
      <c r="A856" s="300">
        <v>849</v>
      </c>
      <c r="B856" s="300">
        <v>890803029</v>
      </c>
      <c r="C856" s="300" t="s">
        <v>1760</v>
      </c>
      <c r="D856" s="300" t="s">
        <v>758</v>
      </c>
      <c r="E856" s="300" t="s">
        <v>776</v>
      </c>
      <c r="F856" s="301" t="s">
        <v>764</v>
      </c>
      <c r="G856" s="302">
        <v>103447860</v>
      </c>
      <c r="H856" s="302">
        <v>3980627</v>
      </c>
      <c r="I856" s="302">
        <v>71980191</v>
      </c>
      <c r="J856" s="302">
        <v>25085051</v>
      </c>
      <c r="K856" s="302">
        <v>46895140</v>
      </c>
      <c r="L856" s="302">
        <v>118627796</v>
      </c>
      <c r="M856" s="302">
        <v>4193857</v>
      </c>
      <c r="N856" s="302">
        <v>78724657</v>
      </c>
      <c r="O856" s="302">
        <v>35708639</v>
      </c>
      <c r="P856" s="302">
        <v>43016018</v>
      </c>
      <c r="Q856" s="303"/>
    </row>
    <row r="857" spans="1:17" s="304" customFormat="1" x14ac:dyDescent="0.25">
      <c r="A857" s="300">
        <v>850</v>
      </c>
      <c r="B857" s="300">
        <v>805028991</v>
      </c>
      <c r="C857" s="300" t="s">
        <v>1761</v>
      </c>
      <c r="D857" s="300" t="s">
        <v>808</v>
      </c>
      <c r="E857" s="300" t="s">
        <v>786</v>
      </c>
      <c r="F857" s="301" t="s">
        <v>764</v>
      </c>
      <c r="G857" s="302">
        <v>103163006</v>
      </c>
      <c r="H857" s="302">
        <v>1090661</v>
      </c>
      <c r="I857" s="302">
        <v>22570086</v>
      </c>
      <c r="J857" s="302">
        <v>17162898</v>
      </c>
      <c r="K857" s="302">
        <v>5407188</v>
      </c>
      <c r="L857" s="302">
        <v>97425791</v>
      </c>
      <c r="M857" s="302">
        <v>937547</v>
      </c>
      <c r="N857" s="302">
        <v>19642231</v>
      </c>
      <c r="O857" s="302">
        <v>15076973</v>
      </c>
      <c r="P857" s="302">
        <v>4565258</v>
      </c>
      <c r="Q857" s="303"/>
    </row>
    <row r="858" spans="1:17" s="304" customFormat="1" x14ac:dyDescent="0.25">
      <c r="A858" s="300">
        <v>851</v>
      </c>
      <c r="B858" s="300">
        <v>800094968</v>
      </c>
      <c r="C858" s="300" t="s">
        <v>1762</v>
      </c>
      <c r="D858" s="300" t="s">
        <v>808</v>
      </c>
      <c r="E858" s="300" t="s">
        <v>1290</v>
      </c>
      <c r="F858" s="311" t="s">
        <v>877</v>
      </c>
      <c r="G858" s="302">
        <v>103002805</v>
      </c>
      <c r="H858" s="302">
        <v>14554176</v>
      </c>
      <c r="I858" s="302">
        <v>197025365</v>
      </c>
      <c r="J858" s="302">
        <v>132822559</v>
      </c>
      <c r="K858" s="302">
        <v>64202806</v>
      </c>
      <c r="L858" s="302">
        <v>91378768</v>
      </c>
      <c r="M858" s="302">
        <v>4133839</v>
      </c>
      <c r="N858" s="302">
        <v>121287417</v>
      </c>
      <c r="O858" s="302">
        <v>83979319</v>
      </c>
      <c r="P858" s="302">
        <v>37308098</v>
      </c>
      <c r="Q858" s="303"/>
    </row>
    <row r="859" spans="1:17" s="304" customFormat="1" x14ac:dyDescent="0.25">
      <c r="A859" s="300">
        <v>852</v>
      </c>
      <c r="B859" s="300">
        <v>860002595</v>
      </c>
      <c r="C859" s="300" t="s">
        <v>1763</v>
      </c>
      <c r="D859" s="300" t="s">
        <v>758</v>
      </c>
      <c r="E859" s="300" t="s">
        <v>1143</v>
      </c>
      <c r="F859" s="301" t="s">
        <v>779</v>
      </c>
      <c r="G859" s="302">
        <v>102987296</v>
      </c>
      <c r="H859" s="302">
        <v>4748008</v>
      </c>
      <c r="I859" s="302">
        <v>90940860</v>
      </c>
      <c r="J859" s="302">
        <v>31632437</v>
      </c>
      <c r="K859" s="302">
        <v>59308423</v>
      </c>
      <c r="L859" s="302">
        <v>99919586</v>
      </c>
      <c r="M859" s="302">
        <v>6832226</v>
      </c>
      <c r="N859" s="302">
        <v>81326713</v>
      </c>
      <c r="O859" s="302">
        <v>34877555</v>
      </c>
      <c r="P859" s="302">
        <v>46449158</v>
      </c>
      <c r="Q859" s="303"/>
    </row>
    <row r="860" spans="1:17" s="304" customFormat="1" x14ac:dyDescent="0.25">
      <c r="A860" s="300">
        <v>853</v>
      </c>
      <c r="B860" s="300">
        <v>900277370</v>
      </c>
      <c r="C860" s="300" t="s">
        <v>1764</v>
      </c>
      <c r="D860" s="300" t="s">
        <v>758</v>
      </c>
      <c r="E860" s="300" t="s">
        <v>1245</v>
      </c>
      <c r="F860" s="301" t="s">
        <v>764</v>
      </c>
      <c r="G860" s="302">
        <v>102924840</v>
      </c>
      <c r="H860" s="302">
        <v>-4793769</v>
      </c>
      <c r="I860" s="302">
        <v>32584424</v>
      </c>
      <c r="J860" s="302">
        <v>30351374</v>
      </c>
      <c r="K860" s="302">
        <v>2233050</v>
      </c>
      <c r="L860" s="302">
        <v>81387144</v>
      </c>
      <c r="M860" s="302">
        <v>302627</v>
      </c>
      <c r="N860" s="302">
        <v>25935499</v>
      </c>
      <c r="O860" s="302">
        <v>25452172</v>
      </c>
      <c r="P860" s="302">
        <v>483327</v>
      </c>
      <c r="Q860" s="303"/>
    </row>
    <row r="861" spans="1:17" s="304" customFormat="1" x14ac:dyDescent="0.25">
      <c r="A861" s="300">
        <v>854</v>
      </c>
      <c r="B861" s="300">
        <v>830041784</v>
      </c>
      <c r="C861" s="300" t="s">
        <v>1765</v>
      </c>
      <c r="D861" s="300" t="s">
        <v>758</v>
      </c>
      <c r="E861" s="300" t="s">
        <v>1014</v>
      </c>
      <c r="F861" s="301" t="s">
        <v>766</v>
      </c>
      <c r="G861" s="302">
        <v>102770055</v>
      </c>
      <c r="H861" s="302">
        <v>120150</v>
      </c>
      <c r="I861" s="302">
        <v>76834067</v>
      </c>
      <c r="J861" s="302">
        <v>59942852</v>
      </c>
      <c r="K861" s="302">
        <v>16891215</v>
      </c>
      <c r="L861" s="302">
        <v>86070841</v>
      </c>
      <c r="M861" s="302">
        <v>-2840587</v>
      </c>
      <c r="N861" s="302">
        <v>60462369</v>
      </c>
      <c r="O861" s="302">
        <v>43707265</v>
      </c>
      <c r="P861" s="302">
        <v>16755104</v>
      </c>
      <c r="Q861" s="303"/>
    </row>
    <row r="862" spans="1:17" s="304" customFormat="1" x14ac:dyDescent="0.25">
      <c r="A862" s="300">
        <v>855</v>
      </c>
      <c r="B862" s="300">
        <v>800020220</v>
      </c>
      <c r="C862" s="300" t="s">
        <v>1766</v>
      </c>
      <c r="D862" s="300" t="s">
        <v>758</v>
      </c>
      <c r="E862" s="300" t="s">
        <v>965</v>
      </c>
      <c r="F862" s="301" t="s">
        <v>779</v>
      </c>
      <c r="G862" s="302">
        <v>102521664</v>
      </c>
      <c r="H862" s="302">
        <v>1434187</v>
      </c>
      <c r="I862" s="302">
        <v>54669639</v>
      </c>
      <c r="J862" s="302">
        <v>26433986</v>
      </c>
      <c r="K862" s="302">
        <v>28235653</v>
      </c>
      <c r="L862" s="302">
        <v>119114298</v>
      </c>
      <c r="M862" s="302">
        <v>3133361</v>
      </c>
      <c r="N862" s="302">
        <v>56375265</v>
      </c>
      <c r="O862" s="302">
        <v>30599300</v>
      </c>
      <c r="P862" s="302">
        <v>25775965</v>
      </c>
      <c r="Q862" s="303"/>
    </row>
    <row r="863" spans="1:17" s="304" customFormat="1" x14ac:dyDescent="0.25">
      <c r="A863" s="300">
        <v>856</v>
      </c>
      <c r="B863" s="300">
        <v>802007207</v>
      </c>
      <c r="C863" s="300" t="s">
        <v>1767</v>
      </c>
      <c r="D863" s="300" t="s">
        <v>768</v>
      </c>
      <c r="E863" s="300" t="s">
        <v>880</v>
      </c>
      <c r="F863" s="301" t="s">
        <v>764</v>
      </c>
      <c r="G863" s="302">
        <v>102433795</v>
      </c>
      <c r="H863" s="302">
        <v>2457972</v>
      </c>
      <c r="I863" s="302">
        <v>31302660</v>
      </c>
      <c r="J863" s="302">
        <v>21591919</v>
      </c>
      <c r="K863" s="302">
        <v>9710741</v>
      </c>
      <c r="L863" s="302">
        <v>97008934</v>
      </c>
      <c r="M863" s="302">
        <v>857599</v>
      </c>
      <c r="N863" s="302">
        <v>31596427</v>
      </c>
      <c r="O863" s="302">
        <v>24561705</v>
      </c>
      <c r="P863" s="302">
        <v>7034722</v>
      </c>
      <c r="Q863" s="303"/>
    </row>
    <row r="864" spans="1:17" s="304" customFormat="1" x14ac:dyDescent="0.25">
      <c r="A864" s="300">
        <v>857</v>
      </c>
      <c r="B864" s="300">
        <v>860000760</v>
      </c>
      <c r="C864" s="300" t="s">
        <v>1768</v>
      </c>
      <c r="D864" s="300" t="s">
        <v>758</v>
      </c>
      <c r="E864" s="300" t="s">
        <v>863</v>
      </c>
      <c r="F864" s="301" t="s">
        <v>764</v>
      </c>
      <c r="G864" s="302">
        <v>102430712</v>
      </c>
      <c r="H864" s="302">
        <v>-687022</v>
      </c>
      <c r="I864" s="302">
        <v>86550962</v>
      </c>
      <c r="J864" s="302">
        <v>15794286</v>
      </c>
      <c r="K864" s="302">
        <v>70756676</v>
      </c>
      <c r="L864" s="302">
        <v>118186349</v>
      </c>
      <c r="M864" s="302">
        <v>8639</v>
      </c>
      <c r="N864" s="302">
        <v>89080690</v>
      </c>
      <c r="O864" s="302">
        <v>21399650</v>
      </c>
      <c r="P864" s="302">
        <v>67681040</v>
      </c>
      <c r="Q864" s="303"/>
    </row>
    <row r="865" spans="1:17" s="304" customFormat="1" x14ac:dyDescent="0.25">
      <c r="A865" s="300">
        <v>858</v>
      </c>
      <c r="B865" s="300">
        <v>800096812</v>
      </c>
      <c r="C865" s="300" t="s">
        <v>1769</v>
      </c>
      <c r="D865" s="300" t="s">
        <v>808</v>
      </c>
      <c r="E865" s="300" t="s">
        <v>1155</v>
      </c>
      <c r="F865" s="301" t="s">
        <v>779</v>
      </c>
      <c r="G865" s="302">
        <v>102403441</v>
      </c>
      <c r="H865" s="302">
        <v>-7801213</v>
      </c>
      <c r="I865" s="302">
        <v>145540298</v>
      </c>
      <c r="J865" s="302">
        <v>119091450</v>
      </c>
      <c r="K865" s="302">
        <v>26448848</v>
      </c>
      <c r="L865" s="302">
        <v>103509129</v>
      </c>
      <c r="M865" s="302">
        <v>-20297502</v>
      </c>
      <c r="N865" s="302">
        <v>151050845</v>
      </c>
      <c r="O865" s="302">
        <v>114215855</v>
      </c>
      <c r="P865" s="302">
        <v>36834990</v>
      </c>
      <c r="Q865" s="303"/>
    </row>
    <row r="866" spans="1:17" s="304" customFormat="1" x14ac:dyDescent="0.25">
      <c r="A866" s="300">
        <v>859</v>
      </c>
      <c r="B866" s="300">
        <v>899999082</v>
      </c>
      <c r="C866" s="300" t="s">
        <v>1770</v>
      </c>
      <c r="D866" s="300" t="s">
        <v>758</v>
      </c>
      <c r="E866" s="300" t="s">
        <v>759</v>
      </c>
      <c r="F866" s="301" t="s">
        <v>766</v>
      </c>
      <c r="G866" s="302">
        <v>102360718</v>
      </c>
      <c r="H866" s="302">
        <v>843559518</v>
      </c>
      <c r="I866" s="302">
        <v>11867210904</v>
      </c>
      <c r="J866" s="302">
        <v>2061250805</v>
      </c>
      <c r="K866" s="302">
        <v>9805960099</v>
      </c>
      <c r="L866" s="302">
        <v>102684579</v>
      </c>
      <c r="M866" s="302">
        <v>690701179</v>
      </c>
      <c r="N866" s="302">
        <v>10777728331</v>
      </c>
      <c r="O866" s="302">
        <v>1783069411</v>
      </c>
      <c r="P866" s="302">
        <v>8994658920</v>
      </c>
      <c r="Q866" s="303"/>
    </row>
    <row r="867" spans="1:17" s="304" customFormat="1" x14ac:dyDescent="0.25">
      <c r="A867" s="312">
        <v>860</v>
      </c>
      <c r="B867" s="312">
        <v>806008737</v>
      </c>
      <c r="C867" s="312" t="s">
        <v>1771</v>
      </c>
      <c r="D867" s="312" t="s">
        <v>758</v>
      </c>
      <c r="E867" s="312" t="s">
        <v>876</v>
      </c>
      <c r="F867" s="313" t="s">
        <v>877</v>
      </c>
      <c r="G867" s="314">
        <v>102342316</v>
      </c>
      <c r="H867" s="314">
        <v>2001973</v>
      </c>
      <c r="I867" s="314">
        <v>200697881</v>
      </c>
      <c r="J867" s="314">
        <v>104593172</v>
      </c>
      <c r="K867" s="314">
        <v>96104709</v>
      </c>
      <c r="L867" s="314">
        <v>100004736</v>
      </c>
      <c r="M867" s="314">
        <v>3742602</v>
      </c>
      <c r="N867" s="314">
        <v>192734244</v>
      </c>
      <c r="O867" s="314">
        <v>99570059</v>
      </c>
      <c r="P867" s="314">
        <v>93164185</v>
      </c>
      <c r="Q867" s="303"/>
    </row>
    <row r="868" spans="1:17" s="304" customFormat="1" x14ac:dyDescent="0.25">
      <c r="A868" s="300">
        <v>861</v>
      </c>
      <c r="B868" s="300">
        <v>900296550</v>
      </c>
      <c r="C868" s="300" t="s">
        <v>1772</v>
      </c>
      <c r="D868" s="300" t="s">
        <v>758</v>
      </c>
      <c r="E868" s="300" t="s">
        <v>1773</v>
      </c>
      <c r="F868" s="301" t="s">
        <v>760</v>
      </c>
      <c r="G868" s="302">
        <v>102065893</v>
      </c>
      <c r="H868" s="302">
        <v>-2820897</v>
      </c>
      <c r="I868" s="302">
        <v>499407667</v>
      </c>
      <c r="J868" s="302">
        <v>260773472</v>
      </c>
      <c r="K868" s="302">
        <v>238634195</v>
      </c>
      <c r="L868" s="302">
        <v>124672789</v>
      </c>
      <c r="M868" s="302">
        <v>-10156704</v>
      </c>
      <c r="N868" s="302">
        <v>468399695</v>
      </c>
      <c r="O868" s="302">
        <v>233629500</v>
      </c>
      <c r="P868" s="302">
        <v>234770195</v>
      </c>
      <c r="Q868" s="303"/>
    </row>
    <row r="869" spans="1:17" s="304" customFormat="1" x14ac:dyDescent="0.25">
      <c r="A869" s="300">
        <v>862</v>
      </c>
      <c r="B869" s="300">
        <v>860020309</v>
      </c>
      <c r="C869" s="300" t="s">
        <v>1774</v>
      </c>
      <c r="D869" s="300" t="s">
        <v>758</v>
      </c>
      <c r="E869" s="300" t="s">
        <v>776</v>
      </c>
      <c r="F869" s="301" t="s">
        <v>764</v>
      </c>
      <c r="G869" s="302">
        <v>102039192</v>
      </c>
      <c r="H869" s="302">
        <v>10734047</v>
      </c>
      <c r="I869" s="302">
        <v>81249393</v>
      </c>
      <c r="J869" s="302">
        <v>38448286</v>
      </c>
      <c r="K869" s="302">
        <v>42801107</v>
      </c>
      <c r="L869" s="302">
        <v>98061577</v>
      </c>
      <c r="M869" s="302">
        <v>11655731</v>
      </c>
      <c r="N869" s="302">
        <v>76778676</v>
      </c>
      <c r="O869" s="302">
        <v>44711616</v>
      </c>
      <c r="P869" s="302">
        <v>32067060</v>
      </c>
      <c r="Q869" s="303"/>
    </row>
    <row r="870" spans="1:17" s="304" customFormat="1" x14ac:dyDescent="0.25">
      <c r="A870" s="300">
        <v>863</v>
      </c>
      <c r="B870" s="300">
        <v>830000853</v>
      </c>
      <c r="C870" s="300" t="s">
        <v>1775</v>
      </c>
      <c r="D870" s="300" t="s">
        <v>758</v>
      </c>
      <c r="E870" s="300" t="s">
        <v>805</v>
      </c>
      <c r="F870" s="301" t="s">
        <v>766</v>
      </c>
      <c r="G870" s="302">
        <v>101991473</v>
      </c>
      <c r="H870" s="302">
        <v>10775727</v>
      </c>
      <c r="I870" s="302">
        <v>311440944</v>
      </c>
      <c r="J870" s="302">
        <v>101328439</v>
      </c>
      <c r="K870" s="302">
        <v>210112505</v>
      </c>
      <c r="L870" s="302">
        <v>115768472</v>
      </c>
      <c r="M870" s="302">
        <v>7062286</v>
      </c>
      <c r="N870" s="302">
        <v>353105905</v>
      </c>
      <c r="O870" s="302">
        <v>146946251</v>
      </c>
      <c r="P870" s="302">
        <v>206159654</v>
      </c>
      <c r="Q870" s="303"/>
    </row>
    <row r="871" spans="1:17" s="304" customFormat="1" x14ac:dyDescent="0.25">
      <c r="A871" s="300">
        <v>864</v>
      </c>
      <c r="B871" s="300">
        <v>900273686</v>
      </c>
      <c r="C871" s="300" t="s">
        <v>1776</v>
      </c>
      <c r="D871" s="300" t="s">
        <v>763</v>
      </c>
      <c r="E871" s="300" t="s">
        <v>786</v>
      </c>
      <c r="F871" s="301" t="s">
        <v>764</v>
      </c>
      <c r="G871" s="302">
        <v>101866486</v>
      </c>
      <c r="H871" s="302">
        <v>1712146</v>
      </c>
      <c r="I871" s="302">
        <v>33988744</v>
      </c>
      <c r="J871" s="302">
        <v>17331670</v>
      </c>
      <c r="K871" s="302">
        <v>16657074</v>
      </c>
      <c r="L871" s="302">
        <v>96722417</v>
      </c>
      <c r="M871" s="302">
        <v>1333232</v>
      </c>
      <c r="N871" s="302">
        <v>33401905</v>
      </c>
      <c r="O871" s="302">
        <v>18287751</v>
      </c>
      <c r="P871" s="302">
        <v>15114154</v>
      </c>
      <c r="Q871" s="303"/>
    </row>
    <row r="872" spans="1:17" s="304" customFormat="1" x14ac:dyDescent="0.25">
      <c r="A872" s="300">
        <v>865</v>
      </c>
      <c r="B872" s="300">
        <v>890904138</v>
      </c>
      <c r="C872" s="300" t="s">
        <v>1777</v>
      </c>
      <c r="D872" s="300" t="s">
        <v>763</v>
      </c>
      <c r="E872" s="300" t="s">
        <v>1107</v>
      </c>
      <c r="F872" s="301" t="s">
        <v>779</v>
      </c>
      <c r="G872" s="302">
        <v>101858353</v>
      </c>
      <c r="H872" s="302">
        <v>8676877</v>
      </c>
      <c r="I872" s="302">
        <v>151516974</v>
      </c>
      <c r="J872" s="302">
        <v>54665201</v>
      </c>
      <c r="K872" s="302">
        <v>96851773</v>
      </c>
      <c r="L872" s="302">
        <v>98526503</v>
      </c>
      <c r="M872" s="302">
        <v>2545494</v>
      </c>
      <c r="N872" s="302">
        <v>150663307</v>
      </c>
      <c r="O872" s="302">
        <v>63390037</v>
      </c>
      <c r="P872" s="302">
        <v>87273270</v>
      </c>
      <c r="Q872" s="303"/>
    </row>
    <row r="873" spans="1:17" s="304" customFormat="1" x14ac:dyDescent="0.25">
      <c r="A873" s="300">
        <v>866</v>
      </c>
      <c r="B873" s="300">
        <v>890327282</v>
      </c>
      <c r="C873" s="300" t="s">
        <v>1778</v>
      </c>
      <c r="D873" s="300" t="s">
        <v>808</v>
      </c>
      <c r="E873" s="300" t="s">
        <v>880</v>
      </c>
      <c r="F873" s="301" t="s">
        <v>764</v>
      </c>
      <c r="G873" s="302">
        <v>101825764</v>
      </c>
      <c r="H873" s="302">
        <v>473978</v>
      </c>
      <c r="I873" s="302">
        <v>47031476</v>
      </c>
      <c r="J873" s="302">
        <v>25686123</v>
      </c>
      <c r="K873" s="302">
        <v>21345353</v>
      </c>
      <c r="L873" s="302">
        <v>85137040</v>
      </c>
      <c r="M873" s="302">
        <v>367593</v>
      </c>
      <c r="N873" s="302">
        <v>40223137</v>
      </c>
      <c r="O873" s="302">
        <v>21897241</v>
      </c>
      <c r="P873" s="302">
        <v>18325896</v>
      </c>
      <c r="Q873" s="303"/>
    </row>
    <row r="874" spans="1:17" s="304" customFormat="1" x14ac:dyDescent="0.25">
      <c r="A874" s="300">
        <v>867</v>
      </c>
      <c r="B874" s="300">
        <v>890901352</v>
      </c>
      <c r="C874" s="300" t="s">
        <v>1779</v>
      </c>
      <c r="D874" s="300" t="s">
        <v>763</v>
      </c>
      <c r="E874" s="300" t="s">
        <v>1780</v>
      </c>
      <c r="F874" s="301" t="s">
        <v>779</v>
      </c>
      <c r="G874" s="302">
        <v>101544527</v>
      </c>
      <c r="H874" s="302">
        <v>13552053</v>
      </c>
      <c r="I874" s="302">
        <v>135270958</v>
      </c>
      <c r="J874" s="302">
        <v>39283716</v>
      </c>
      <c r="K874" s="302">
        <v>95987242</v>
      </c>
      <c r="L874" s="302">
        <v>91812508</v>
      </c>
      <c r="M874" s="302">
        <v>12488607</v>
      </c>
      <c r="N874" s="302">
        <v>128721643</v>
      </c>
      <c r="O874" s="302">
        <v>39689344</v>
      </c>
      <c r="P874" s="302">
        <v>89032299</v>
      </c>
      <c r="Q874" s="303"/>
    </row>
    <row r="875" spans="1:17" s="304" customFormat="1" x14ac:dyDescent="0.25">
      <c r="A875" s="300">
        <v>868</v>
      </c>
      <c r="B875" s="300">
        <v>860002464</v>
      </c>
      <c r="C875" s="300" t="s">
        <v>1781</v>
      </c>
      <c r="D875" s="300" t="s">
        <v>758</v>
      </c>
      <c r="E875" s="300" t="s">
        <v>759</v>
      </c>
      <c r="F875" s="301" t="s">
        <v>766</v>
      </c>
      <c r="G875" s="302">
        <v>101293160</v>
      </c>
      <c r="H875" s="302">
        <v>21637830</v>
      </c>
      <c r="I875" s="302">
        <v>518809110</v>
      </c>
      <c r="J875" s="302">
        <v>33929060</v>
      </c>
      <c r="K875" s="302">
        <v>484880050</v>
      </c>
      <c r="L875" s="302">
        <v>94254966</v>
      </c>
      <c r="M875" s="302">
        <v>20964480</v>
      </c>
      <c r="N875" s="302">
        <v>454943362</v>
      </c>
      <c r="O875" s="302">
        <v>24873058</v>
      </c>
      <c r="P875" s="302">
        <v>430070306</v>
      </c>
      <c r="Q875" s="303"/>
    </row>
    <row r="876" spans="1:17" s="304" customFormat="1" x14ac:dyDescent="0.25">
      <c r="A876" s="300">
        <v>869</v>
      </c>
      <c r="B876" s="300">
        <v>891301549</v>
      </c>
      <c r="C876" s="300" t="s">
        <v>1782</v>
      </c>
      <c r="D876" s="300" t="s">
        <v>808</v>
      </c>
      <c r="E876" s="300" t="s">
        <v>957</v>
      </c>
      <c r="F876" s="301" t="s">
        <v>958</v>
      </c>
      <c r="G876" s="302">
        <v>101272157</v>
      </c>
      <c r="H876" s="302">
        <v>1681326</v>
      </c>
      <c r="I876" s="302">
        <v>77269770</v>
      </c>
      <c r="J876" s="302">
        <v>51613009</v>
      </c>
      <c r="K876" s="302">
        <v>25656761</v>
      </c>
      <c r="L876" s="302">
        <v>57993288</v>
      </c>
      <c r="M876" s="302">
        <v>2126320</v>
      </c>
      <c r="N876" s="302">
        <v>39797777</v>
      </c>
      <c r="O876" s="302">
        <v>21738697</v>
      </c>
      <c r="P876" s="302">
        <v>18059080</v>
      </c>
      <c r="Q876" s="303"/>
    </row>
    <row r="877" spans="1:17" s="304" customFormat="1" x14ac:dyDescent="0.25">
      <c r="A877" s="300">
        <v>870</v>
      </c>
      <c r="B877" s="300">
        <v>860002302</v>
      </c>
      <c r="C877" s="300" t="s">
        <v>1783</v>
      </c>
      <c r="D877" s="300" t="s">
        <v>758</v>
      </c>
      <c r="E877" s="300" t="s">
        <v>894</v>
      </c>
      <c r="F877" s="301" t="s">
        <v>779</v>
      </c>
      <c r="G877" s="302">
        <v>101219320</v>
      </c>
      <c r="H877" s="302">
        <v>16280527</v>
      </c>
      <c r="I877" s="302">
        <v>187032478</v>
      </c>
      <c r="J877" s="302">
        <v>40166493</v>
      </c>
      <c r="K877" s="302">
        <v>146865985</v>
      </c>
      <c r="L877" s="302">
        <v>107544995</v>
      </c>
      <c r="M877" s="302">
        <v>14244066</v>
      </c>
      <c r="N877" s="302">
        <v>168329379</v>
      </c>
      <c r="O877" s="302">
        <v>29076546</v>
      </c>
      <c r="P877" s="302">
        <v>139252833</v>
      </c>
      <c r="Q877" s="303"/>
    </row>
    <row r="878" spans="1:17" s="304" customFormat="1" x14ac:dyDescent="0.25">
      <c r="A878" s="300">
        <v>871</v>
      </c>
      <c r="B878" s="300">
        <v>800120681</v>
      </c>
      <c r="C878" s="300" t="s">
        <v>1784</v>
      </c>
      <c r="D878" s="300" t="s">
        <v>758</v>
      </c>
      <c r="E878" s="300" t="s">
        <v>1705</v>
      </c>
      <c r="F878" s="301" t="s">
        <v>779</v>
      </c>
      <c r="G878" s="302">
        <v>101095741</v>
      </c>
      <c r="H878" s="302">
        <v>952188</v>
      </c>
      <c r="I878" s="302">
        <v>61730554</v>
      </c>
      <c r="J878" s="302">
        <v>33906129</v>
      </c>
      <c r="K878" s="302">
        <v>27824425</v>
      </c>
      <c r="L878" s="302">
        <v>92248471</v>
      </c>
      <c r="M878" s="302">
        <v>660756</v>
      </c>
      <c r="N878" s="302">
        <v>53219065</v>
      </c>
      <c r="O878" s="302">
        <v>26900757</v>
      </c>
      <c r="P878" s="302">
        <v>26318308</v>
      </c>
      <c r="Q878" s="303"/>
    </row>
    <row r="879" spans="1:17" s="304" customFormat="1" x14ac:dyDescent="0.25">
      <c r="A879" s="300">
        <v>872</v>
      </c>
      <c r="B879" s="300">
        <v>830113603</v>
      </c>
      <c r="C879" s="300" t="s">
        <v>1785</v>
      </c>
      <c r="D879" s="300" t="s">
        <v>758</v>
      </c>
      <c r="E879" s="300" t="s">
        <v>1055</v>
      </c>
      <c r="F879" s="301" t="s">
        <v>766</v>
      </c>
      <c r="G879" s="302">
        <v>100999156</v>
      </c>
      <c r="H879" s="302">
        <v>152411762</v>
      </c>
      <c r="I879" s="302">
        <v>4187666288</v>
      </c>
      <c r="J879" s="302">
        <v>15863566</v>
      </c>
      <c r="K879" s="302">
        <v>4171802722</v>
      </c>
      <c r="L879" s="302">
        <v>78642998</v>
      </c>
      <c r="M879" s="302">
        <v>128882985</v>
      </c>
      <c r="N879" s="302">
        <v>3785813996</v>
      </c>
      <c r="O879" s="302">
        <v>7396871</v>
      </c>
      <c r="P879" s="302">
        <v>3778417125</v>
      </c>
      <c r="Q879" s="303"/>
    </row>
    <row r="880" spans="1:17" s="304" customFormat="1" x14ac:dyDescent="0.25">
      <c r="A880" s="300">
        <v>873</v>
      </c>
      <c r="B880" s="300">
        <v>830108963</v>
      </c>
      <c r="C880" s="300" t="s">
        <v>1786</v>
      </c>
      <c r="D880" s="300" t="s">
        <v>758</v>
      </c>
      <c r="E880" s="300" t="s">
        <v>1331</v>
      </c>
      <c r="F880" s="311" t="s">
        <v>877</v>
      </c>
      <c r="G880" s="302">
        <v>100905294</v>
      </c>
      <c r="H880" s="302">
        <v>250819</v>
      </c>
      <c r="I880" s="302">
        <v>85655758</v>
      </c>
      <c r="J880" s="302">
        <v>73063732</v>
      </c>
      <c r="K880" s="302">
        <v>12592026</v>
      </c>
      <c r="L880" s="302">
        <v>259827421</v>
      </c>
      <c r="M880" s="302">
        <v>7577137</v>
      </c>
      <c r="N880" s="302">
        <v>102123436</v>
      </c>
      <c r="O880" s="302">
        <v>82837163</v>
      </c>
      <c r="P880" s="302">
        <v>19286273</v>
      </c>
      <c r="Q880" s="303"/>
    </row>
    <row r="881" spans="1:17" s="304" customFormat="1" x14ac:dyDescent="0.25">
      <c r="A881" s="300">
        <v>874</v>
      </c>
      <c r="B881" s="300">
        <v>816002018</v>
      </c>
      <c r="C881" s="300" t="s">
        <v>1787</v>
      </c>
      <c r="D881" s="300" t="s">
        <v>763</v>
      </c>
      <c r="E881" s="300" t="s">
        <v>781</v>
      </c>
      <c r="F881" s="301" t="s">
        <v>766</v>
      </c>
      <c r="G881" s="302">
        <v>100676809</v>
      </c>
      <c r="H881" s="302">
        <v>10026795</v>
      </c>
      <c r="I881" s="302">
        <v>225399007</v>
      </c>
      <c r="J881" s="302">
        <v>59364703</v>
      </c>
      <c r="K881" s="302">
        <v>166034304</v>
      </c>
      <c r="L881" s="302">
        <v>101639877</v>
      </c>
      <c r="M881" s="302">
        <v>10908679</v>
      </c>
      <c r="N881" s="302">
        <v>241292417</v>
      </c>
      <c r="O881" s="302">
        <v>70237704</v>
      </c>
      <c r="P881" s="302">
        <v>171054713</v>
      </c>
      <c r="Q881" s="303"/>
    </row>
    <row r="882" spans="1:17" s="304" customFormat="1" x14ac:dyDescent="0.25">
      <c r="A882" s="300">
        <v>875</v>
      </c>
      <c r="B882" s="300">
        <v>900203566</v>
      </c>
      <c r="C882" s="300" t="s">
        <v>1788</v>
      </c>
      <c r="D882" s="300" t="s">
        <v>808</v>
      </c>
      <c r="E882" s="300" t="s">
        <v>786</v>
      </c>
      <c r="F882" s="301" t="s">
        <v>764</v>
      </c>
      <c r="G882" s="302">
        <v>100584799</v>
      </c>
      <c r="H882" s="302">
        <v>404483</v>
      </c>
      <c r="I882" s="302">
        <v>24717502</v>
      </c>
      <c r="J882" s="302">
        <v>12042225</v>
      </c>
      <c r="K882" s="302">
        <v>12675277</v>
      </c>
      <c r="L882" s="302">
        <v>95470370</v>
      </c>
      <c r="M882" s="302">
        <v>102318</v>
      </c>
      <c r="N882" s="302">
        <v>24329253</v>
      </c>
      <c r="O882" s="302">
        <v>13680508</v>
      </c>
      <c r="P882" s="302">
        <v>10648745</v>
      </c>
      <c r="Q882" s="303"/>
    </row>
    <row r="883" spans="1:17" s="304" customFormat="1" x14ac:dyDescent="0.25">
      <c r="A883" s="300">
        <v>876</v>
      </c>
      <c r="B883" s="300">
        <v>890300604</v>
      </c>
      <c r="C883" s="300" t="s">
        <v>1789</v>
      </c>
      <c r="D883" s="300" t="s">
        <v>808</v>
      </c>
      <c r="E883" s="300" t="s">
        <v>759</v>
      </c>
      <c r="F883" s="311" t="s">
        <v>877</v>
      </c>
      <c r="G883" s="302">
        <v>100568890</v>
      </c>
      <c r="H883" s="302">
        <v>-26421940</v>
      </c>
      <c r="I883" s="302">
        <v>229166360</v>
      </c>
      <c r="J883" s="302">
        <v>212446080</v>
      </c>
      <c r="K883" s="302">
        <v>16720280</v>
      </c>
      <c r="L883" s="302">
        <v>157305539</v>
      </c>
      <c r="M883" s="302">
        <v>-6546594</v>
      </c>
      <c r="N883" s="302">
        <v>260315094</v>
      </c>
      <c r="O883" s="302">
        <v>214048245</v>
      </c>
      <c r="P883" s="302">
        <v>46266849</v>
      </c>
      <c r="Q883" s="303"/>
    </row>
    <row r="884" spans="1:17" s="304" customFormat="1" x14ac:dyDescent="0.25">
      <c r="A884" s="300">
        <v>877</v>
      </c>
      <c r="B884" s="300">
        <v>890302546</v>
      </c>
      <c r="C884" s="300" t="s">
        <v>1790</v>
      </c>
      <c r="D884" s="300" t="s">
        <v>758</v>
      </c>
      <c r="E884" s="300" t="s">
        <v>1176</v>
      </c>
      <c r="F884" s="301" t="s">
        <v>764</v>
      </c>
      <c r="G884" s="302">
        <v>100338782</v>
      </c>
      <c r="H884" s="302">
        <v>161531</v>
      </c>
      <c r="I884" s="302">
        <v>39208877</v>
      </c>
      <c r="J884" s="302">
        <v>20675445</v>
      </c>
      <c r="K884" s="302">
        <v>18533432</v>
      </c>
      <c r="L884" s="302">
        <v>94256146</v>
      </c>
      <c r="M884" s="302">
        <v>478436</v>
      </c>
      <c r="N884" s="302">
        <v>37830632</v>
      </c>
      <c r="O884" s="302">
        <v>19458731</v>
      </c>
      <c r="P884" s="302">
        <v>18371901</v>
      </c>
      <c r="Q884" s="303"/>
    </row>
    <row r="885" spans="1:17" s="304" customFormat="1" x14ac:dyDescent="0.25">
      <c r="A885" s="300">
        <v>878</v>
      </c>
      <c r="B885" s="300">
        <v>890802586</v>
      </c>
      <c r="C885" s="300" t="s">
        <v>1791</v>
      </c>
      <c r="D885" s="300" t="s">
        <v>763</v>
      </c>
      <c r="E885" s="300" t="s">
        <v>970</v>
      </c>
      <c r="F885" s="301" t="s">
        <v>779</v>
      </c>
      <c r="G885" s="302">
        <v>100333856</v>
      </c>
      <c r="H885" s="302">
        <v>1632012</v>
      </c>
      <c r="I885" s="302">
        <v>75202660</v>
      </c>
      <c r="J885" s="302">
        <v>48056873</v>
      </c>
      <c r="K885" s="302">
        <v>27145787</v>
      </c>
      <c r="L885" s="302">
        <v>101214705</v>
      </c>
      <c r="M885" s="302">
        <v>1002779</v>
      </c>
      <c r="N885" s="302">
        <v>67436782</v>
      </c>
      <c r="O885" s="302">
        <v>42190457</v>
      </c>
      <c r="P885" s="302">
        <v>25246325</v>
      </c>
      <c r="Q885" s="303"/>
    </row>
    <row r="886" spans="1:17" s="304" customFormat="1" x14ac:dyDescent="0.25">
      <c r="A886" s="300">
        <v>879</v>
      </c>
      <c r="B886" s="300">
        <v>890937070</v>
      </c>
      <c r="C886" s="300" t="s">
        <v>1792</v>
      </c>
      <c r="D886" s="300" t="s">
        <v>763</v>
      </c>
      <c r="E886" s="300" t="s">
        <v>1086</v>
      </c>
      <c r="F886" s="301" t="s">
        <v>766</v>
      </c>
      <c r="G886" s="302">
        <v>100297677</v>
      </c>
      <c r="H886" s="302">
        <v>116778</v>
      </c>
      <c r="I886" s="302">
        <v>17589863</v>
      </c>
      <c r="J886" s="302">
        <v>13210326</v>
      </c>
      <c r="K886" s="302">
        <v>4379537</v>
      </c>
      <c r="L886" s="302">
        <v>86726516</v>
      </c>
      <c r="M886" s="302">
        <v>-665166</v>
      </c>
      <c r="N886" s="302">
        <v>22091584</v>
      </c>
      <c r="O886" s="302">
        <v>17963613</v>
      </c>
      <c r="P886" s="302">
        <v>4127971</v>
      </c>
      <c r="Q886" s="303"/>
    </row>
    <row r="887" spans="1:17" s="304" customFormat="1" x14ac:dyDescent="0.25">
      <c r="A887" s="300">
        <v>880</v>
      </c>
      <c r="B887" s="300">
        <v>800093117</v>
      </c>
      <c r="C887" s="300" t="s">
        <v>1793</v>
      </c>
      <c r="D887" s="300" t="s">
        <v>763</v>
      </c>
      <c r="E887" s="300" t="s">
        <v>1794</v>
      </c>
      <c r="F887" s="311" t="s">
        <v>877</v>
      </c>
      <c r="G887" s="302">
        <v>100277884</v>
      </c>
      <c r="H887" s="302">
        <v>17033967</v>
      </c>
      <c r="I887" s="302">
        <v>500718077</v>
      </c>
      <c r="J887" s="302">
        <v>214535416</v>
      </c>
      <c r="K887" s="302">
        <v>286182661</v>
      </c>
      <c r="L887" s="302">
        <v>81105699</v>
      </c>
      <c r="M887" s="302">
        <v>44555346</v>
      </c>
      <c r="N887" s="302">
        <v>436923725</v>
      </c>
      <c r="O887" s="302">
        <v>190568252</v>
      </c>
      <c r="P887" s="302">
        <v>246355473</v>
      </c>
      <c r="Q887" s="303"/>
    </row>
    <row r="888" spans="1:17" s="304" customFormat="1" x14ac:dyDescent="0.25">
      <c r="A888" s="300">
        <v>881</v>
      </c>
      <c r="B888" s="300">
        <v>900115530</v>
      </c>
      <c r="C888" s="300" t="s">
        <v>1795</v>
      </c>
      <c r="D888" s="300" t="s">
        <v>808</v>
      </c>
      <c r="E888" s="300" t="s">
        <v>773</v>
      </c>
      <c r="F888" s="301" t="s">
        <v>764</v>
      </c>
      <c r="G888" s="302">
        <v>100267165</v>
      </c>
      <c r="H888" s="302">
        <v>1080953</v>
      </c>
      <c r="I888" s="302">
        <v>25628275</v>
      </c>
      <c r="J888" s="302">
        <v>17324731</v>
      </c>
      <c r="K888" s="302">
        <v>8303544</v>
      </c>
      <c r="L888" s="302">
        <v>122769291</v>
      </c>
      <c r="M888" s="302">
        <v>247927</v>
      </c>
      <c r="N888" s="302">
        <v>16715055</v>
      </c>
      <c r="O888" s="302">
        <v>10807556</v>
      </c>
      <c r="P888" s="302">
        <v>5907499</v>
      </c>
      <c r="Q888" s="303"/>
    </row>
    <row r="889" spans="1:17" s="304" customFormat="1" x14ac:dyDescent="0.25">
      <c r="A889" s="300">
        <v>882</v>
      </c>
      <c r="B889" s="300">
        <v>900245577</v>
      </c>
      <c r="C889" s="300" t="s">
        <v>1796</v>
      </c>
      <c r="D889" s="300" t="s">
        <v>758</v>
      </c>
      <c r="E889" s="300" t="s">
        <v>1259</v>
      </c>
      <c r="F889" s="301" t="s">
        <v>764</v>
      </c>
      <c r="G889" s="302">
        <v>100151614</v>
      </c>
      <c r="H889" s="302">
        <v>1353021</v>
      </c>
      <c r="I889" s="302">
        <v>68148087</v>
      </c>
      <c r="J889" s="302">
        <v>59855599</v>
      </c>
      <c r="K889" s="302">
        <v>8292488</v>
      </c>
      <c r="L889" s="302">
        <v>58344774</v>
      </c>
      <c r="M889" s="302">
        <v>1321961</v>
      </c>
      <c r="N889" s="302">
        <v>37236159</v>
      </c>
      <c r="O889" s="302">
        <v>30347317</v>
      </c>
      <c r="P889" s="302">
        <v>6888842</v>
      </c>
      <c r="Q889" s="303"/>
    </row>
    <row r="890" spans="1:17" s="304" customFormat="1" x14ac:dyDescent="0.25">
      <c r="A890" s="300">
        <v>883</v>
      </c>
      <c r="B890" s="300">
        <v>900007650</v>
      </c>
      <c r="C890" s="300" t="s">
        <v>1797</v>
      </c>
      <c r="D890" s="300" t="s">
        <v>763</v>
      </c>
      <c r="E890" s="300" t="s">
        <v>1798</v>
      </c>
      <c r="F890" s="301" t="s">
        <v>779</v>
      </c>
      <c r="G890" s="302">
        <v>99787251</v>
      </c>
      <c r="H890" s="302">
        <v>915870</v>
      </c>
      <c r="I890" s="302">
        <v>99659261</v>
      </c>
      <c r="J890" s="302">
        <v>83052393</v>
      </c>
      <c r="K890" s="302">
        <v>16606868</v>
      </c>
      <c r="L890" s="302">
        <v>111153235</v>
      </c>
      <c r="M890" s="302">
        <v>2801352</v>
      </c>
      <c r="N890" s="302">
        <v>108285751</v>
      </c>
      <c r="O890" s="302">
        <v>92594753</v>
      </c>
      <c r="P890" s="302">
        <v>15690998</v>
      </c>
      <c r="Q890" s="303"/>
    </row>
    <row r="891" spans="1:17" s="304" customFormat="1" x14ac:dyDescent="0.25">
      <c r="A891" s="300">
        <v>884</v>
      </c>
      <c r="B891" s="300">
        <v>890913990</v>
      </c>
      <c r="C891" s="300" t="s">
        <v>1799</v>
      </c>
      <c r="D891" s="300" t="s">
        <v>768</v>
      </c>
      <c r="E891" s="300" t="s">
        <v>1086</v>
      </c>
      <c r="F891" s="300" t="s">
        <v>766</v>
      </c>
      <c r="G891" s="302">
        <v>99769628</v>
      </c>
      <c r="H891" s="302">
        <v>484783</v>
      </c>
      <c r="I891" s="302">
        <v>10383323</v>
      </c>
      <c r="J891" s="302">
        <v>5845757</v>
      </c>
      <c r="K891" s="302">
        <v>4537566</v>
      </c>
      <c r="L891" s="302">
        <v>102124845</v>
      </c>
      <c r="M891" s="302">
        <v>132321</v>
      </c>
      <c r="N891" s="302">
        <v>10121074</v>
      </c>
      <c r="O891" s="302">
        <v>6038292</v>
      </c>
      <c r="P891" s="302">
        <v>4082782</v>
      </c>
      <c r="Q891" s="303"/>
    </row>
    <row r="892" spans="1:17" s="304" customFormat="1" x14ac:dyDescent="0.25">
      <c r="A892" s="300">
        <v>885</v>
      </c>
      <c r="B892" s="300">
        <v>830057903</v>
      </c>
      <c r="C892" s="300" t="s">
        <v>1800</v>
      </c>
      <c r="D892" s="300" t="s">
        <v>758</v>
      </c>
      <c r="E892" s="300" t="s">
        <v>1531</v>
      </c>
      <c r="F892" s="301" t="s">
        <v>766</v>
      </c>
      <c r="G892" s="302">
        <v>99733023</v>
      </c>
      <c r="H892" s="302">
        <v>1218878</v>
      </c>
      <c r="I892" s="302">
        <v>43664058</v>
      </c>
      <c r="J892" s="302">
        <v>39129732</v>
      </c>
      <c r="K892" s="302">
        <v>4534326</v>
      </c>
      <c r="L892" s="302">
        <v>89643338</v>
      </c>
      <c r="M892" s="302">
        <v>865608</v>
      </c>
      <c r="N892" s="302">
        <v>27093802</v>
      </c>
      <c r="O892" s="302">
        <v>23807570</v>
      </c>
      <c r="P892" s="302">
        <v>3286232</v>
      </c>
      <c r="Q892" s="303"/>
    </row>
    <row r="893" spans="1:17" s="304" customFormat="1" x14ac:dyDescent="0.25">
      <c r="A893" s="300">
        <v>886</v>
      </c>
      <c r="B893" s="300">
        <v>860079793</v>
      </c>
      <c r="C893" s="300" t="s">
        <v>1801</v>
      </c>
      <c r="D893" s="300" t="s">
        <v>758</v>
      </c>
      <c r="E893" s="300" t="s">
        <v>1802</v>
      </c>
      <c r="F893" s="301" t="s">
        <v>766</v>
      </c>
      <c r="G893" s="302">
        <v>99703268</v>
      </c>
      <c r="H893" s="302">
        <v>13841267</v>
      </c>
      <c r="I893" s="302">
        <v>74627918</v>
      </c>
      <c r="J893" s="302">
        <v>44568733</v>
      </c>
      <c r="K893" s="302">
        <v>30059185</v>
      </c>
      <c r="L893" s="302">
        <v>92529489</v>
      </c>
      <c r="M893" s="302">
        <v>15037779</v>
      </c>
      <c r="N893" s="302">
        <v>56421719</v>
      </c>
      <c r="O893" s="302">
        <v>25166022</v>
      </c>
      <c r="P893" s="302">
        <v>31255697</v>
      </c>
      <c r="Q893" s="303"/>
    </row>
    <row r="894" spans="1:17" s="304" customFormat="1" x14ac:dyDescent="0.25">
      <c r="A894" s="300">
        <v>887</v>
      </c>
      <c r="B894" s="300">
        <v>802000849</v>
      </c>
      <c r="C894" s="300" t="s">
        <v>1803</v>
      </c>
      <c r="D894" s="300" t="s">
        <v>768</v>
      </c>
      <c r="E894" s="300" t="s">
        <v>880</v>
      </c>
      <c r="F894" s="301" t="s">
        <v>764</v>
      </c>
      <c r="G894" s="302">
        <v>99450723</v>
      </c>
      <c r="H894" s="302">
        <v>813280</v>
      </c>
      <c r="I894" s="302">
        <v>71221663</v>
      </c>
      <c r="J894" s="302">
        <v>32367863</v>
      </c>
      <c r="K894" s="302">
        <v>38853800</v>
      </c>
      <c r="L894" s="302">
        <v>82496439</v>
      </c>
      <c r="M894" s="302">
        <v>884293</v>
      </c>
      <c r="N894" s="302">
        <v>47651452</v>
      </c>
      <c r="O894" s="302">
        <v>33698542</v>
      </c>
      <c r="P894" s="302">
        <v>13952910</v>
      </c>
      <c r="Q894" s="303"/>
    </row>
    <row r="895" spans="1:17" s="304" customFormat="1" x14ac:dyDescent="0.25">
      <c r="A895" s="300">
        <v>888</v>
      </c>
      <c r="B895" s="300">
        <v>890001600</v>
      </c>
      <c r="C895" s="300" t="s">
        <v>1804</v>
      </c>
      <c r="D895" s="300" t="s">
        <v>763</v>
      </c>
      <c r="E895" s="300" t="s">
        <v>1655</v>
      </c>
      <c r="F895" s="301" t="s">
        <v>764</v>
      </c>
      <c r="G895" s="302">
        <v>99418045</v>
      </c>
      <c r="H895" s="302">
        <v>4992501</v>
      </c>
      <c r="I895" s="302">
        <v>35344956</v>
      </c>
      <c r="J895" s="302">
        <v>10007111</v>
      </c>
      <c r="K895" s="302">
        <v>25337845</v>
      </c>
      <c r="L895" s="302">
        <v>95248500</v>
      </c>
      <c r="M895" s="302">
        <v>4461731</v>
      </c>
      <c r="N895" s="302">
        <v>32512709</v>
      </c>
      <c r="O895" s="302">
        <v>13400854</v>
      </c>
      <c r="P895" s="302">
        <v>19111855</v>
      </c>
      <c r="Q895" s="303"/>
    </row>
    <row r="896" spans="1:17" s="304" customFormat="1" x14ac:dyDescent="0.25">
      <c r="A896" s="300">
        <v>889</v>
      </c>
      <c r="B896" s="300">
        <v>830104866</v>
      </c>
      <c r="C896" s="300" t="s">
        <v>1805</v>
      </c>
      <c r="D896" s="300" t="s">
        <v>758</v>
      </c>
      <c r="E896" s="300" t="s">
        <v>771</v>
      </c>
      <c r="F896" s="301" t="s">
        <v>760</v>
      </c>
      <c r="G896" s="302">
        <v>99216899</v>
      </c>
      <c r="H896" s="302">
        <v>63867103</v>
      </c>
      <c r="I896" s="302">
        <v>404585895</v>
      </c>
      <c r="J896" s="302">
        <v>67386085</v>
      </c>
      <c r="K896" s="302">
        <v>337199810</v>
      </c>
      <c r="L896" s="302">
        <v>81202441</v>
      </c>
      <c r="M896" s="302">
        <v>58990222</v>
      </c>
      <c r="N896" s="302">
        <v>258284296</v>
      </c>
      <c r="O896" s="302">
        <v>26627210</v>
      </c>
      <c r="P896" s="302">
        <v>231657086</v>
      </c>
      <c r="Q896" s="303"/>
    </row>
    <row r="897" spans="1:17" s="304" customFormat="1" x14ac:dyDescent="0.25">
      <c r="A897" s="300">
        <v>890</v>
      </c>
      <c r="B897" s="300">
        <v>860072045</v>
      </c>
      <c r="C897" s="300" t="s">
        <v>1806</v>
      </c>
      <c r="D897" s="300" t="s">
        <v>758</v>
      </c>
      <c r="E897" s="300" t="s">
        <v>1331</v>
      </c>
      <c r="F897" s="311" t="s">
        <v>877</v>
      </c>
      <c r="G897" s="302">
        <v>99020688</v>
      </c>
      <c r="H897" s="302">
        <v>870998</v>
      </c>
      <c r="I897" s="302">
        <v>84102443</v>
      </c>
      <c r="J897" s="302">
        <v>58764348</v>
      </c>
      <c r="K897" s="302">
        <v>25338095</v>
      </c>
      <c r="L897" s="302">
        <v>96031381</v>
      </c>
      <c r="M897" s="302">
        <v>1291421</v>
      </c>
      <c r="N897" s="302">
        <v>82194685</v>
      </c>
      <c r="O897" s="302">
        <v>56349657</v>
      </c>
      <c r="P897" s="302">
        <v>25845028</v>
      </c>
      <c r="Q897" s="303"/>
    </row>
    <row r="898" spans="1:17" s="304" customFormat="1" x14ac:dyDescent="0.25">
      <c r="A898" s="300">
        <v>891</v>
      </c>
      <c r="B898" s="300">
        <v>800185295</v>
      </c>
      <c r="C898" s="300" t="s">
        <v>1807</v>
      </c>
      <c r="D898" s="300" t="s">
        <v>758</v>
      </c>
      <c r="E898" s="300" t="s">
        <v>1331</v>
      </c>
      <c r="F898" s="311" t="s">
        <v>877</v>
      </c>
      <c r="G898" s="302">
        <v>98726917</v>
      </c>
      <c r="H898" s="302">
        <v>57932326</v>
      </c>
      <c r="I898" s="302">
        <v>363436017</v>
      </c>
      <c r="J898" s="302">
        <v>191999575</v>
      </c>
      <c r="K898" s="302">
        <v>171436442</v>
      </c>
      <c r="L898" s="302">
        <v>98458351</v>
      </c>
      <c r="M898" s="302">
        <v>43766767</v>
      </c>
      <c r="N898" s="302">
        <v>265455418</v>
      </c>
      <c r="O898" s="302">
        <v>155106091</v>
      </c>
      <c r="P898" s="302">
        <v>110349327</v>
      </c>
      <c r="Q898" s="303"/>
    </row>
    <row r="899" spans="1:17" s="304" customFormat="1" x14ac:dyDescent="0.25">
      <c r="A899" s="300">
        <v>892</v>
      </c>
      <c r="B899" s="300">
        <v>807004323</v>
      </c>
      <c r="C899" s="300" t="s">
        <v>1808</v>
      </c>
      <c r="D899" s="300" t="s">
        <v>891</v>
      </c>
      <c r="E899" s="300" t="s">
        <v>759</v>
      </c>
      <c r="F899" s="301" t="s">
        <v>766</v>
      </c>
      <c r="G899" s="302">
        <v>98659413.454029992</v>
      </c>
      <c r="H899" s="302">
        <v>729280.86462999997</v>
      </c>
      <c r="I899" s="302">
        <v>81035787.011860013</v>
      </c>
      <c r="J899" s="302">
        <v>57052299.931429997</v>
      </c>
      <c r="K899" s="302">
        <v>23983487.081030004</v>
      </c>
      <c r="L899" s="302">
        <v>80751228.643999994</v>
      </c>
      <c r="M899" s="302">
        <v>-433284.45299999998</v>
      </c>
      <c r="N899" s="302">
        <v>70526642.875169992</v>
      </c>
      <c r="O899" s="302">
        <v>49962447.865649991</v>
      </c>
      <c r="P899" s="302">
        <v>20564195.008140001</v>
      </c>
      <c r="Q899" s="303"/>
    </row>
    <row r="900" spans="1:17" s="304" customFormat="1" x14ac:dyDescent="0.25">
      <c r="A900" s="300">
        <v>893</v>
      </c>
      <c r="B900" s="300">
        <v>811010832</v>
      </c>
      <c r="C900" s="300" t="s">
        <v>1809</v>
      </c>
      <c r="D900" s="300" t="s">
        <v>763</v>
      </c>
      <c r="E900" s="300" t="s">
        <v>880</v>
      </c>
      <c r="F900" s="301" t="s">
        <v>764</v>
      </c>
      <c r="G900" s="302">
        <v>98354373</v>
      </c>
      <c r="H900" s="302">
        <v>388987</v>
      </c>
      <c r="I900" s="302">
        <v>21626730</v>
      </c>
      <c r="J900" s="302">
        <v>17202540</v>
      </c>
      <c r="K900" s="302">
        <v>4424190</v>
      </c>
      <c r="L900" s="302">
        <v>87535756</v>
      </c>
      <c r="M900" s="302">
        <v>289729</v>
      </c>
      <c r="N900" s="302">
        <v>20698456</v>
      </c>
      <c r="O900" s="302">
        <v>16656200</v>
      </c>
      <c r="P900" s="302">
        <v>4042256</v>
      </c>
      <c r="Q900" s="303"/>
    </row>
    <row r="901" spans="1:17" s="304" customFormat="1" x14ac:dyDescent="0.25">
      <c r="A901" s="300">
        <v>894</v>
      </c>
      <c r="B901" s="300">
        <v>860030380</v>
      </c>
      <c r="C901" s="300" t="s">
        <v>1810</v>
      </c>
      <c r="D901" s="300" t="s">
        <v>758</v>
      </c>
      <c r="E901" s="300" t="s">
        <v>1811</v>
      </c>
      <c r="F901" s="301" t="s">
        <v>766</v>
      </c>
      <c r="G901" s="302">
        <v>98284781</v>
      </c>
      <c r="H901" s="302">
        <v>1996762</v>
      </c>
      <c r="I901" s="302">
        <v>45382084</v>
      </c>
      <c r="J901" s="302">
        <v>37026155</v>
      </c>
      <c r="K901" s="302">
        <v>8355929</v>
      </c>
      <c r="L901" s="302">
        <v>96977528</v>
      </c>
      <c r="M901" s="302">
        <v>151547</v>
      </c>
      <c r="N901" s="302">
        <v>52503076</v>
      </c>
      <c r="O901" s="302">
        <v>46143910</v>
      </c>
      <c r="P901" s="302">
        <v>6359166</v>
      </c>
      <c r="Q901" s="303"/>
    </row>
    <row r="902" spans="1:17" s="304" customFormat="1" x14ac:dyDescent="0.25">
      <c r="A902" s="300">
        <v>895</v>
      </c>
      <c r="B902" s="300">
        <v>811035741</v>
      </c>
      <c r="C902" s="300" t="s">
        <v>1812</v>
      </c>
      <c r="D902" s="300" t="s">
        <v>763</v>
      </c>
      <c r="E902" s="300" t="s">
        <v>776</v>
      </c>
      <c r="F902" s="301" t="s">
        <v>764</v>
      </c>
      <c r="G902" s="302">
        <v>98228372</v>
      </c>
      <c r="H902" s="302">
        <v>-2877249</v>
      </c>
      <c r="I902" s="302">
        <v>485709816</v>
      </c>
      <c r="J902" s="302">
        <v>191061157</v>
      </c>
      <c r="K902" s="302">
        <v>294648659</v>
      </c>
      <c r="L902" s="302">
        <v>155980871</v>
      </c>
      <c r="M902" s="302">
        <v>868980</v>
      </c>
      <c r="N902" s="302">
        <v>498566772</v>
      </c>
      <c r="O902" s="302">
        <v>212006473</v>
      </c>
      <c r="P902" s="302">
        <v>286560299</v>
      </c>
      <c r="Q902" s="303"/>
    </row>
    <row r="903" spans="1:17" s="304" customFormat="1" x14ac:dyDescent="0.25">
      <c r="A903" s="300">
        <v>896</v>
      </c>
      <c r="B903" s="300">
        <v>811004805</v>
      </c>
      <c r="C903" s="300" t="s">
        <v>1813</v>
      </c>
      <c r="D903" s="300" t="s">
        <v>763</v>
      </c>
      <c r="E903" s="300" t="s">
        <v>1078</v>
      </c>
      <c r="F903" s="301" t="s">
        <v>779</v>
      </c>
      <c r="G903" s="302">
        <v>98017423</v>
      </c>
      <c r="H903" s="302">
        <v>20159135</v>
      </c>
      <c r="I903" s="302">
        <v>136086464</v>
      </c>
      <c r="J903" s="302">
        <v>80085120</v>
      </c>
      <c r="K903" s="302">
        <v>56001344</v>
      </c>
      <c r="L903" s="302">
        <v>57779244</v>
      </c>
      <c r="M903" s="302">
        <v>-7822952</v>
      </c>
      <c r="N903" s="302">
        <v>145223679</v>
      </c>
      <c r="O903" s="302">
        <v>108872229</v>
      </c>
      <c r="P903" s="302">
        <v>36351450</v>
      </c>
      <c r="Q903" s="303"/>
    </row>
    <row r="904" spans="1:17" s="304" customFormat="1" x14ac:dyDescent="0.25">
      <c r="A904" s="300">
        <v>897</v>
      </c>
      <c r="B904" s="300">
        <v>900061224</v>
      </c>
      <c r="C904" s="300" t="s">
        <v>1814</v>
      </c>
      <c r="D904" s="300" t="s">
        <v>808</v>
      </c>
      <c r="E904" s="300" t="s">
        <v>786</v>
      </c>
      <c r="F904" s="301" t="s">
        <v>764</v>
      </c>
      <c r="G904" s="302">
        <v>97898977</v>
      </c>
      <c r="H904" s="302">
        <v>991406</v>
      </c>
      <c r="I904" s="302">
        <v>14550680</v>
      </c>
      <c r="J904" s="302">
        <v>6557344</v>
      </c>
      <c r="K904" s="302">
        <v>7993336</v>
      </c>
      <c r="L904" s="302">
        <v>84367152</v>
      </c>
      <c r="M904" s="302">
        <v>696087</v>
      </c>
      <c r="N904" s="302">
        <v>14432747</v>
      </c>
      <c r="O904" s="302">
        <v>7430872</v>
      </c>
      <c r="P904" s="302">
        <v>7001875</v>
      </c>
      <c r="Q904" s="303"/>
    </row>
    <row r="905" spans="1:17" s="304" customFormat="1" x14ac:dyDescent="0.25">
      <c r="A905" s="300">
        <v>898</v>
      </c>
      <c r="B905" s="300">
        <v>860000794</v>
      </c>
      <c r="C905" s="300" t="s">
        <v>1815</v>
      </c>
      <c r="D905" s="300" t="s">
        <v>758</v>
      </c>
      <c r="E905" s="300" t="s">
        <v>1816</v>
      </c>
      <c r="F905" s="301" t="s">
        <v>779</v>
      </c>
      <c r="G905" s="302">
        <v>97836751</v>
      </c>
      <c r="H905" s="302">
        <v>23510</v>
      </c>
      <c r="I905" s="302">
        <v>100629971</v>
      </c>
      <c r="J905" s="302">
        <v>34976246</v>
      </c>
      <c r="K905" s="302">
        <v>65653725</v>
      </c>
      <c r="L905" s="302">
        <v>105139891</v>
      </c>
      <c r="M905" s="302">
        <v>221274</v>
      </c>
      <c r="N905" s="302">
        <v>108839874</v>
      </c>
      <c r="O905" s="302">
        <v>53601207</v>
      </c>
      <c r="P905" s="302">
        <v>55238667</v>
      </c>
      <c r="Q905" s="303"/>
    </row>
    <row r="906" spans="1:17" s="304" customFormat="1" x14ac:dyDescent="0.25">
      <c r="A906" s="300">
        <v>899</v>
      </c>
      <c r="B906" s="300">
        <v>891900129</v>
      </c>
      <c r="C906" s="300" t="s">
        <v>1817</v>
      </c>
      <c r="D906" s="300" t="s">
        <v>808</v>
      </c>
      <c r="E906" s="300" t="s">
        <v>951</v>
      </c>
      <c r="F906" s="301" t="s">
        <v>779</v>
      </c>
      <c r="G906" s="302">
        <v>97679092</v>
      </c>
      <c r="H906" s="302">
        <v>-5358758</v>
      </c>
      <c r="I906" s="302">
        <v>409868685</v>
      </c>
      <c r="J906" s="302">
        <v>63349262</v>
      </c>
      <c r="K906" s="302">
        <v>346519423</v>
      </c>
      <c r="L906" s="302">
        <v>113034173</v>
      </c>
      <c r="M906" s="302">
        <v>1361853</v>
      </c>
      <c r="N906" s="302">
        <v>400572593</v>
      </c>
      <c r="O906" s="302">
        <v>51118790</v>
      </c>
      <c r="P906" s="302">
        <v>349453803</v>
      </c>
      <c r="Q906" s="303"/>
    </row>
    <row r="907" spans="1:17" s="304" customFormat="1" x14ac:dyDescent="0.25">
      <c r="A907" s="300">
        <v>900</v>
      </c>
      <c r="B907" s="300">
        <v>890926803</v>
      </c>
      <c r="C907" s="300" t="s">
        <v>1818</v>
      </c>
      <c r="D907" s="300" t="s">
        <v>763</v>
      </c>
      <c r="E907" s="300" t="s">
        <v>848</v>
      </c>
      <c r="F907" s="301" t="s">
        <v>779</v>
      </c>
      <c r="G907" s="302">
        <v>97559075</v>
      </c>
      <c r="H907" s="302">
        <v>-4528399</v>
      </c>
      <c r="I907" s="302">
        <v>68892330</v>
      </c>
      <c r="J907" s="302">
        <v>56866279</v>
      </c>
      <c r="K907" s="302">
        <v>12026051</v>
      </c>
      <c r="L907" s="302">
        <v>116295620</v>
      </c>
      <c r="M907" s="302">
        <v>1133302</v>
      </c>
      <c r="N907" s="302">
        <v>90576350</v>
      </c>
      <c r="O907" s="302">
        <v>74506092</v>
      </c>
      <c r="P907" s="302">
        <v>16070258</v>
      </c>
      <c r="Q907" s="303"/>
    </row>
    <row r="908" spans="1:17" s="304" customFormat="1" x14ac:dyDescent="0.25">
      <c r="A908" s="300">
        <v>901</v>
      </c>
      <c r="B908" s="300">
        <v>900216225</v>
      </c>
      <c r="C908" s="300" t="s">
        <v>1819</v>
      </c>
      <c r="D908" s="300" t="s">
        <v>758</v>
      </c>
      <c r="E908" s="300" t="s">
        <v>916</v>
      </c>
      <c r="F908" s="301" t="s">
        <v>779</v>
      </c>
      <c r="G908" s="302">
        <v>97483926</v>
      </c>
      <c r="H908" s="302">
        <v>12096821</v>
      </c>
      <c r="I908" s="302">
        <v>87852536</v>
      </c>
      <c r="J908" s="302">
        <v>18527056</v>
      </c>
      <c r="K908" s="302">
        <v>69325480</v>
      </c>
      <c r="L908" s="302">
        <v>95694741</v>
      </c>
      <c r="M908" s="302">
        <v>9913847</v>
      </c>
      <c r="N908" s="302">
        <v>74176662</v>
      </c>
      <c r="O908" s="302">
        <v>16948003</v>
      </c>
      <c r="P908" s="302">
        <v>57228659</v>
      </c>
      <c r="Q908" s="303"/>
    </row>
    <row r="909" spans="1:17" s="304" customFormat="1" x14ac:dyDescent="0.25">
      <c r="A909" s="300">
        <v>902</v>
      </c>
      <c r="B909" s="300">
        <v>890900098</v>
      </c>
      <c r="C909" s="300" t="s">
        <v>1820</v>
      </c>
      <c r="D909" s="300" t="s">
        <v>763</v>
      </c>
      <c r="E909" s="300" t="s">
        <v>983</v>
      </c>
      <c r="F909" s="301" t="s">
        <v>779</v>
      </c>
      <c r="G909" s="302">
        <v>97441626</v>
      </c>
      <c r="H909" s="302">
        <v>-9936978</v>
      </c>
      <c r="I909" s="302">
        <v>87369766</v>
      </c>
      <c r="J909" s="302">
        <v>53537128</v>
      </c>
      <c r="K909" s="302">
        <v>33832638</v>
      </c>
      <c r="L909" s="302">
        <v>92354270</v>
      </c>
      <c r="M909" s="302">
        <v>801450</v>
      </c>
      <c r="N909" s="302">
        <v>73510559</v>
      </c>
      <c r="O909" s="302">
        <v>39908652</v>
      </c>
      <c r="P909" s="302">
        <v>33601907</v>
      </c>
      <c r="Q909" s="303"/>
    </row>
    <row r="910" spans="1:17" s="304" customFormat="1" x14ac:dyDescent="0.25">
      <c r="A910" s="300">
        <v>903</v>
      </c>
      <c r="B910" s="300">
        <v>805031788</v>
      </c>
      <c r="C910" s="300" t="s">
        <v>1821</v>
      </c>
      <c r="D910" s="300" t="s">
        <v>808</v>
      </c>
      <c r="E910" s="300" t="s">
        <v>873</v>
      </c>
      <c r="F910" s="301" t="s">
        <v>779</v>
      </c>
      <c r="G910" s="302">
        <v>97308758</v>
      </c>
      <c r="H910" s="302">
        <v>-39902449</v>
      </c>
      <c r="I910" s="302">
        <v>81098615</v>
      </c>
      <c r="J910" s="302">
        <v>94821619</v>
      </c>
      <c r="K910" s="302">
        <v>-13723004</v>
      </c>
      <c r="L910" s="302">
        <v>105363434</v>
      </c>
      <c r="M910" s="302">
        <v>755365</v>
      </c>
      <c r="N910" s="302">
        <v>104653194</v>
      </c>
      <c r="O910" s="302">
        <v>93145791</v>
      </c>
      <c r="P910" s="302">
        <v>11507403</v>
      </c>
      <c r="Q910" s="303"/>
    </row>
    <row r="911" spans="1:17" s="304" customFormat="1" x14ac:dyDescent="0.25">
      <c r="A911" s="300">
        <v>904</v>
      </c>
      <c r="B911" s="300">
        <v>860001986</v>
      </c>
      <c r="C911" s="300" t="s">
        <v>1822</v>
      </c>
      <c r="D911" s="300" t="s">
        <v>758</v>
      </c>
      <c r="E911" s="300" t="s">
        <v>1417</v>
      </c>
      <c r="F911" s="301" t="s">
        <v>766</v>
      </c>
      <c r="G911" s="302">
        <v>97058227</v>
      </c>
      <c r="H911" s="302">
        <v>4504080</v>
      </c>
      <c r="I911" s="302">
        <v>44656768</v>
      </c>
      <c r="J911" s="302">
        <v>28463807</v>
      </c>
      <c r="K911" s="302">
        <v>16192961</v>
      </c>
      <c r="L911" s="302">
        <v>76887651</v>
      </c>
      <c r="M911" s="302">
        <v>3880114</v>
      </c>
      <c r="N911" s="302">
        <v>36662840</v>
      </c>
      <c r="O911" s="302">
        <v>23401276</v>
      </c>
      <c r="P911" s="302">
        <v>13261564</v>
      </c>
      <c r="Q911" s="303"/>
    </row>
    <row r="912" spans="1:17" s="304" customFormat="1" x14ac:dyDescent="0.25">
      <c r="A912" s="300">
        <v>905</v>
      </c>
      <c r="B912" s="300">
        <v>830035702</v>
      </c>
      <c r="C912" s="300" t="s">
        <v>1823</v>
      </c>
      <c r="D912" s="300" t="s">
        <v>758</v>
      </c>
      <c r="E912" s="300" t="s">
        <v>1588</v>
      </c>
      <c r="F912" s="311" t="s">
        <v>877</v>
      </c>
      <c r="G912" s="302">
        <v>97047956</v>
      </c>
      <c r="H912" s="302">
        <v>926637</v>
      </c>
      <c r="I912" s="302">
        <v>102736195</v>
      </c>
      <c r="J912" s="302">
        <v>78742329</v>
      </c>
      <c r="K912" s="302">
        <v>23993866</v>
      </c>
      <c r="L912" s="302">
        <v>83878696</v>
      </c>
      <c r="M912" s="302">
        <v>1755759</v>
      </c>
      <c r="N912" s="302">
        <v>71989393</v>
      </c>
      <c r="O912" s="302">
        <v>48665106</v>
      </c>
      <c r="P912" s="302">
        <v>23324287</v>
      </c>
      <c r="Q912" s="303"/>
    </row>
    <row r="913" spans="1:17" s="304" customFormat="1" x14ac:dyDescent="0.25">
      <c r="A913" s="300">
        <v>906</v>
      </c>
      <c r="B913" s="300">
        <v>900154988</v>
      </c>
      <c r="C913" s="300" t="s">
        <v>1824</v>
      </c>
      <c r="D913" s="300" t="s">
        <v>763</v>
      </c>
      <c r="E913" s="300" t="s">
        <v>919</v>
      </c>
      <c r="F913" s="301" t="s">
        <v>779</v>
      </c>
      <c r="G913" s="302">
        <v>96972103</v>
      </c>
      <c r="H913" s="302">
        <v>6544489</v>
      </c>
      <c r="I913" s="302">
        <v>121791672</v>
      </c>
      <c r="J913" s="302">
        <v>96692072</v>
      </c>
      <c r="K913" s="302">
        <v>25099600</v>
      </c>
      <c r="L913" s="302">
        <v>90900656</v>
      </c>
      <c r="M913" s="302">
        <v>-1717153</v>
      </c>
      <c r="N913" s="302">
        <v>99866938</v>
      </c>
      <c r="O913" s="302">
        <v>81311827</v>
      </c>
      <c r="P913" s="302">
        <v>18555111</v>
      </c>
      <c r="Q913" s="303"/>
    </row>
    <row r="914" spans="1:17" s="304" customFormat="1" x14ac:dyDescent="0.25">
      <c r="A914" s="300">
        <v>907</v>
      </c>
      <c r="B914" s="300">
        <v>900103457</v>
      </c>
      <c r="C914" s="300" t="s">
        <v>1825</v>
      </c>
      <c r="D914" s="300" t="s">
        <v>758</v>
      </c>
      <c r="E914" s="300" t="s">
        <v>1531</v>
      </c>
      <c r="F914" s="301" t="s">
        <v>766</v>
      </c>
      <c r="G914" s="302">
        <v>96739778</v>
      </c>
      <c r="H914" s="302">
        <v>466734</v>
      </c>
      <c r="I914" s="302">
        <v>78846053</v>
      </c>
      <c r="J914" s="302">
        <v>61123618</v>
      </c>
      <c r="K914" s="302">
        <v>17722435</v>
      </c>
      <c r="L914" s="302">
        <v>71760262</v>
      </c>
      <c r="M914" s="302">
        <v>5287022</v>
      </c>
      <c r="N914" s="302">
        <v>45256389</v>
      </c>
      <c r="O914" s="302">
        <v>30161490</v>
      </c>
      <c r="P914" s="302">
        <v>15094899</v>
      </c>
      <c r="Q914" s="303"/>
    </row>
    <row r="915" spans="1:17" s="304" customFormat="1" x14ac:dyDescent="0.25">
      <c r="A915" s="300">
        <v>908</v>
      </c>
      <c r="B915" s="300">
        <v>890801094</v>
      </c>
      <c r="C915" s="300" t="s">
        <v>1826</v>
      </c>
      <c r="D915" s="300" t="s">
        <v>763</v>
      </c>
      <c r="E915" s="300" t="s">
        <v>759</v>
      </c>
      <c r="F915" s="301" t="s">
        <v>764</v>
      </c>
      <c r="G915" s="302">
        <v>96738004.130999997</v>
      </c>
      <c r="H915" s="302">
        <v>500989.78399999999</v>
      </c>
      <c r="I915" s="302">
        <v>31495020.818999998</v>
      </c>
      <c r="J915" s="302">
        <v>4940550.3760000002</v>
      </c>
      <c r="K915" s="302">
        <v>26554470.443</v>
      </c>
      <c r="L915" s="302">
        <v>85152063.555000007</v>
      </c>
      <c r="M915" s="302">
        <v>-396045.94799999997</v>
      </c>
      <c r="N915" s="302">
        <v>33248305.566</v>
      </c>
      <c r="O915" s="302">
        <v>7360928.193</v>
      </c>
      <c r="P915" s="302">
        <v>25887377.373</v>
      </c>
      <c r="Q915" s="303"/>
    </row>
    <row r="916" spans="1:17" s="304" customFormat="1" x14ac:dyDescent="0.25">
      <c r="A916" s="300">
        <v>909</v>
      </c>
      <c r="B916" s="300">
        <v>804017043</v>
      </c>
      <c r="C916" s="300" t="s">
        <v>1827</v>
      </c>
      <c r="D916" s="300" t="s">
        <v>891</v>
      </c>
      <c r="E916" s="300" t="s">
        <v>1057</v>
      </c>
      <c r="F916" s="301" t="s">
        <v>779</v>
      </c>
      <c r="G916" s="302">
        <v>96701448</v>
      </c>
      <c r="H916" s="302">
        <v>4787961</v>
      </c>
      <c r="I916" s="302">
        <v>48235700</v>
      </c>
      <c r="J916" s="302">
        <v>6391318</v>
      </c>
      <c r="K916" s="302">
        <v>41844382</v>
      </c>
      <c r="L916" s="302">
        <v>98247950</v>
      </c>
      <c r="M916" s="302">
        <v>3953033</v>
      </c>
      <c r="N916" s="302">
        <v>50874824</v>
      </c>
      <c r="O916" s="302">
        <v>12730916</v>
      </c>
      <c r="P916" s="302">
        <v>38143908</v>
      </c>
      <c r="Q916" s="303"/>
    </row>
    <row r="917" spans="1:17" s="304" customFormat="1" x14ac:dyDescent="0.25">
      <c r="A917" s="300">
        <v>910</v>
      </c>
      <c r="B917" s="300">
        <v>890318919</v>
      </c>
      <c r="C917" s="300" t="s">
        <v>1828</v>
      </c>
      <c r="D917" s="300" t="s">
        <v>808</v>
      </c>
      <c r="E917" s="300" t="s">
        <v>776</v>
      </c>
      <c r="F917" s="301" t="s">
        <v>764</v>
      </c>
      <c r="G917" s="302">
        <v>96578825</v>
      </c>
      <c r="H917" s="302">
        <v>3250396</v>
      </c>
      <c r="I917" s="302">
        <v>151090184</v>
      </c>
      <c r="J917" s="302">
        <v>84275901</v>
      </c>
      <c r="K917" s="302">
        <v>66814283</v>
      </c>
      <c r="L917" s="302">
        <v>87081222</v>
      </c>
      <c r="M917" s="302">
        <v>3717964</v>
      </c>
      <c r="N917" s="302">
        <v>138927988</v>
      </c>
      <c r="O917" s="302">
        <v>75662843</v>
      </c>
      <c r="P917" s="302">
        <v>63265145</v>
      </c>
      <c r="Q917" s="303"/>
    </row>
    <row r="918" spans="1:17" s="304" customFormat="1" x14ac:dyDescent="0.25">
      <c r="A918" s="300">
        <v>911</v>
      </c>
      <c r="B918" s="300">
        <v>800184925</v>
      </c>
      <c r="C918" s="300" t="s">
        <v>1829</v>
      </c>
      <c r="D918" s="300" t="s">
        <v>758</v>
      </c>
      <c r="E918" s="300" t="s">
        <v>814</v>
      </c>
      <c r="F918" s="301" t="s">
        <v>764</v>
      </c>
      <c r="G918" s="302">
        <v>96261669</v>
      </c>
      <c r="H918" s="302">
        <v>-125264801</v>
      </c>
      <c r="I918" s="302">
        <v>51631206</v>
      </c>
      <c r="J918" s="302">
        <v>32045239</v>
      </c>
      <c r="K918" s="302">
        <v>19585967</v>
      </c>
      <c r="L918" s="302">
        <v>95775656</v>
      </c>
      <c r="M918" s="302">
        <v>-147313</v>
      </c>
      <c r="N918" s="302">
        <v>52690054</v>
      </c>
      <c r="O918" s="302">
        <v>31851452</v>
      </c>
      <c r="P918" s="302">
        <v>20838602</v>
      </c>
      <c r="Q918" s="303"/>
    </row>
    <row r="919" spans="1:17" s="304" customFormat="1" x14ac:dyDescent="0.25">
      <c r="A919" s="300">
        <v>912</v>
      </c>
      <c r="B919" s="300">
        <v>800103903</v>
      </c>
      <c r="C919" s="300" t="s">
        <v>1830</v>
      </c>
      <c r="D919" s="300" t="s">
        <v>758</v>
      </c>
      <c r="E919" s="300" t="s">
        <v>1155</v>
      </c>
      <c r="F919" s="301" t="s">
        <v>779</v>
      </c>
      <c r="G919" s="302">
        <v>96203105</v>
      </c>
      <c r="H919" s="302">
        <v>-1462991</v>
      </c>
      <c r="I919" s="302">
        <v>117047629</v>
      </c>
      <c r="J919" s="302">
        <v>57712760</v>
      </c>
      <c r="K919" s="302">
        <v>59334869</v>
      </c>
      <c r="L919" s="302">
        <v>96383395</v>
      </c>
      <c r="M919" s="302">
        <v>4724205</v>
      </c>
      <c r="N919" s="302">
        <v>106362854</v>
      </c>
      <c r="O919" s="302">
        <v>36300484</v>
      </c>
      <c r="P919" s="302">
        <v>70062370</v>
      </c>
      <c r="Q919" s="303"/>
    </row>
    <row r="920" spans="1:17" s="304" customFormat="1" x14ac:dyDescent="0.25">
      <c r="A920" s="300">
        <v>913</v>
      </c>
      <c r="B920" s="300">
        <v>832001292</v>
      </c>
      <c r="C920" s="300" t="s">
        <v>1831</v>
      </c>
      <c r="D920" s="300" t="s">
        <v>758</v>
      </c>
      <c r="E920" s="300" t="s">
        <v>957</v>
      </c>
      <c r="F920" s="301" t="s">
        <v>958</v>
      </c>
      <c r="G920" s="302">
        <v>95939926</v>
      </c>
      <c r="H920" s="302">
        <v>5632759</v>
      </c>
      <c r="I920" s="302">
        <v>27417192</v>
      </c>
      <c r="J920" s="302">
        <v>15351213</v>
      </c>
      <c r="K920" s="302">
        <v>12065979</v>
      </c>
      <c r="L920" s="302">
        <v>85665858</v>
      </c>
      <c r="M920" s="302">
        <v>3176356</v>
      </c>
      <c r="N920" s="302">
        <v>19606163</v>
      </c>
      <c r="O920" s="302">
        <v>9873263</v>
      </c>
      <c r="P920" s="302">
        <v>9732900</v>
      </c>
      <c r="Q920" s="303"/>
    </row>
    <row r="921" spans="1:17" s="304" customFormat="1" x14ac:dyDescent="0.25">
      <c r="A921" s="300">
        <v>914</v>
      </c>
      <c r="B921" s="300">
        <v>900253413</v>
      </c>
      <c r="C921" s="300" t="s">
        <v>1832</v>
      </c>
      <c r="D921" s="300" t="s">
        <v>758</v>
      </c>
      <c r="E921" s="300" t="s">
        <v>863</v>
      </c>
      <c r="F921" s="301" t="s">
        <v>779</v>
      </c>
      <c r="G921" s="302">
        <v>95670929</v>
      </c>
      <c r="H921" s="302">
        <v>5798041</v>
      </c>
      <c r="I921" s="302">
        <v>58442799</v>
      </c>
      <c r="J921" s="302">
        <v>24602419</v>
      </c>
      <c r="K921" s="302">
        <v>33840380</v>
      </c>
      <c r="L921" s="302">
        <v>84321732</v>
      </c>
      <c r="M921" s="302">
        <v>5131105</v>
      </c>
      <c r="N921" s="302">
        <v>59014710</v>
      </c>
      <c r="O921" s="302">
        <v>26972371</v>
      </c>
      <c r="P921" s="302">
        <v>32042339</v>
      </c>
      <c r="Q921" s="303"/>
    </row>
    <row r="922" spans="1:17" s="304" customFormat="1" x14ac:dyDescent="0.25">
      <c r="A922" s="300">
        <v>915</v>
      </c>
      <c r="B922" s="300">
        <v>800041723</v>
      </c>
      <c r="C922" s="300" t="s">
        <v>1833</v>
      </c>
      <c r="D922" s="300" t="s">
        <v>758</v>
      </c>
      <c r="E922" s="300" t="s">
        <v>1078</v>
      </c>
      <c r="F922" s="301" t="s">
        <v>779</v>
      </c>
      <c r="G922" s="302">
        <v>95550382</v>
      </c>
      <c r="H922" s="302">
        <v>13124617</v>
      </c>
      <c r="I922" s="302">
        <v>104717994</v>
      </c>
      <c r="J922" s="302">
        <v>63824134</v>
      </c>
      <c r="K922" s="302">
        <v>40893860</v>
      </c>
      <c r="L922" s="302">
        <v>95382179</v>
      </c>
      <c r="M922" s="302">
        <v>3780625</v>
      </c>
      <c r="N922" s="302">
        <v>94789346</v>
      </c>
      <c r="O922" s="302">
        <v>73213935</v>
      </c>
      <c r="P922" s="302">
        <v>21575411</v>
      </c>
      <c r="Q922" s="303"/>
    </row>
    <row r="923" spans="1:17" s="304" customFormat="1" x14ac:dyDescent="0.25">
      <c r="A923" s="300">
        <v>916</v>
      </c>
      <c r="B923" s="300">
        <v>900030538</v>
      </c>
      <c r="C923" s="300" t="s">
        <v>1834</v>
      </c>
      <c r="D923" s="300" t="s">
        <v>758</v>
      </c>
      <c r="E923" s="300" t="s">
        <v>909</v>
      </c>
      <c r="F923" s="301" t="s">
        <v>764</v>
      </c>
      <c r="G923" s="302">
        <v>95537102</v>
      </c>
      <c r="H923" s="302">
        <v>-10784262</v>
      </c>
      <c r="I923" s="302">
        <v>37815575</v>
      </c>
      <c r="J923" s="302">
        <v>45591786</v>
      </c>
      <c r="K923" s="302">
        <v>-7776211</v>
      </c>
      <c r="L923" s="302">
        <v>78340816</v>
      </c>
      <c r="M923" s="302">
        <v>-2559186</v>
      </c>
      <c r="N923" s="302">
        <v>51616808</v>
      </c>
      <c r="O923" s="302">
        <v>48608757</v>
      </c>
      <c r="P923" s="302">
        <v>3008051</v>
      </c>
      <c r="Q923" s="303"/>
    </row>
    <row r="924" spans="1:17" s="304" customFormat="1" x14ac:dyDescent="0.25">
      <c r="A924" s="300">
        <v>917</v>
      </c>
      <c r="B924" s="300">
        <v>900146783</v>
      </c>
      <c r="C924" s="300" t="s">
        <v>1835</v>
      </c>
      <c r="D924" s="300" t="s">
        <v>758</v>
      </c>
      <c r="E924" s="300" t="s">
        <v>876</v>
      </c>
      <c r="F924" s="301" t="s">
        <v>766</v>
      </c>
      <c r="G924" s="302">
        <v>95438493</v>
      </c>
      <c r="H924" s="302">
        <v>2400721</v>
      </c>
      <c r="I924" s="302">
        <v>114847738</v>
      </c>
      <c r="J924" s="302">
        <v>106471566</v>
      </c>
      <c r="K924" s="302">
        <v>8376172</v>
      </c>
      <c r="L924" s="302">
        <v>59523897</v>
      </c>
      <c r="M924" s="302">
        <v>7697853</v>
      </c>
      <c r="N924" s="302">
        <v>83948561</v>
      </c>
      <c r="O924" s="302">
        <v>77973111</v>
      </c>
      <c r="P924" s="302">
        <v>5975450</v>
      </c>
      <c r="Q924" s="303"/>
    </row>
    <row r="925" spans="1:17" s="304" customFormat="1" x14ac:dyDescent="0.25">
      <c r="A925" s="300">
        <v>918</v>
      </c>
      <c r="B925" s="300">
        <v>860509265</v>
      </c>
      <c r="C925" s="300" t="s">
        <v>1836</v>
      </c>
      <c r="D925" s="300" t="s">
        <v>758</v>
      </c>
      <c r="E925" s="300" t="s">
        <v>1780</v>
      </c>
      <c r="F925" s="301" t="s">
        <v>779</v>
      </c>
      <c r="G925" s="302">
        <v>95436456</v>
      </c>
      <c r="H925" s="302">
        <v>14669404</v>
      </c>
      <c r="I925" s="302">
        <v>125598903</v>
      </c>
      <c r="J925" s="302">
        <v>33445527</v>
      </c>
      <c r="K925" s="302">
        <v>92153376</v>
      </c>
      <c r="L925" s="302">
        <v>93959631</v>
      </c>
      <c r="M925" s="302">
        <v>16470420</v>
      </c>
      <c r="N925" s="302">
        <v>110323698</v>
      </c>
      <c r="O925" s="302">
        <v>32216312</v>
      </c>
      <c r="P925" s="302">
        <v>78107386</v>
      </c>
      <c r="Q925" s="303"/>
    </row>
    <row r="926" spans="1:17" s="304" customFormat="1" x14ac:dyDescent="0.25">
      <c r="A926" s="300">
        <v>919</v>
      </c>
      <c r="B926" s="300">
        <v>890922586</v>
      </c>
      <c r="C926" s="300" t="s">
        <v>1837</v>
      </c>
      <c r="D926" s="300" t="s">
        <v>763</v>
      </c>
      <c r="E926" s="300" t="s">
        <v>1838</v>
      </c>
      <c r="F926" s="301" t="s">
        <v>764</v>
      </c>
      <c r="G926" s="302">
        <v>95368335</v>
      </c>
      <c r="H926" s="302">
        <v>91764</v>
      </c>
      <c r="I926" s="302">
        <v>46504890</v>
      </c>
      <c r="J926" s="302">
        <v>28932313</v>
      </c>
      <c r="K926" s="302">
        <v>17572577</v>
      </c>
      <c r="L926" s="302">
        <v>82234916</v>
      </c>
      <c r="M926" s="302">
        <v>7972</v>
      </c>
      <c r="N926" s="302">
        <v>38536190</v>
      </c>
      <c r="O926" s="302">
        <v>21141797</v>
      </c>
      <c r="P926" s="302">
        <v>17394393</v>
      </c>
      <c r="Q926" s="303"/>
    </row>
    <row r="927" spans="1:17" s="304" customFormat="1" x14ac:dyDescent="0.25">
      <c r="A927" s="300">
        <v>920</v>
      </c>
      <c r="B927" s="300">
        <v>890101138</v>
      </c>
      <c r="C927" s="300" t="s">
        <v>1839</v>
      </c>
      <c r="D927" s="300" t="s">
        <v>758</v>
      </c>
      <c r="E927" s="300" t="s">
        <v>1133</v>
      </c>
      <c r="F927" s="301" t="s">
        <v>764</v>
      </c>
      <c r="G927" s="302">
        <v>95231765</v>
      </c>
      <c r="H927" s="302">
        <v>5720608</v>
      </c>
      <c r="I927" s="302">
        <v>80368529</v>
      </c>
      <c r="J927" s="302">
        <v>25622717</v>
      </c>
      <c r="K927" s="302">
        <v>54745812</v>
      </c>
      <c r="L927" s="302">
        <v>94504994</v>
      </c>
      <c r="M927" s="302">
        <v>4659999</v>
      </c>
      <c r="N927" s="302">
        <v>76247242</v>
      </c>
      <c r="O927" s="302">
        <v>28801182</v>
      </c>
      <c r="P927" s="302">
        <v>47446060</v>
      </c>
      <c r="Q927" s="303"/>
    </row>
    <row r="928" spans="1:17" s="304" customFormat="1" x14ac:dyDescent="0.25">
      <c r="A928" s="300">
        <v>921</v>
      </c>
      <c r="B928" s="300">
        <v>860054886</v>
      </c>
      <c r="C928" s="300" t="s">
        <v>1840</v>
      </c>
      <c r="D928" s="300" t="s">
        <v>758</v>
      </c>
      <c r="E928" s="300" t="s">
        <v>1207</v>
      </c>
      <c r="F928" s="301" t="s">
        <v>779</v>
      </c>
      <c r="G928" s="302">
        <v>95181263</v>
      </c>
      <c r="H928" s="302">
        <v>702513</v>
      </c>
      <c r="I928" s="302">
        <v>86750405</v>
      </c>
      <c r="J928" s="302">
        <v>39103496</v>
      </c>
      <c r="K928" s="302">
        <v>47646909</v>
      </c>
      <c r="L928" s="302">
        <v>103572738</v>
      </c>
      <c r="M928" s="302">
        <v>1842019</v>
      </c>
      <c r="N928" s="302">
        <v>92195472</v>
      </c>
      <c r="O928" s="302">
        <v>45625914</v>
      </c>
      <c r="P928" s="302">
        <v>46569558</v>
      </c>
      <c r="Q928" s="303"/>
    </row>
    <row r="929" spans="1:17" s="304" customFormat="1" x14ac:dyDescent="0.25">
      <c r="A929" s="300">
        <v>922</v>
      </c>
      <c r="B929" s="300">
        <v>800086042</v>
      </c>
      <c r="C929" s="300" t="s">
        <v>1841</v>
      </c>
      <c r="D929" s="300" t="s">
        <v>758</v>
      </c>
      <c r="E929" s="300" t="s">
        <v>1290</v>
      </c>
      <c r="F929" s="311" t="s">
        <v>877</v>
      </c>
      <c r="G929" s="302">
        <v>95161925</v>
      </c>
      <c r="H929" s="302">
        <v>19581018</v>
      </c>
      <c r="I929" s="302">
        <v>265582193</v>
      </c>
      <c r="J929" s="302">
        <v>141739471</v>
      </c>
      <c r="K929" s="302">
        <v>123842722</v>
      </c>
      <c r="L929" s="302">
        <v>71180705</v>
      </c>
      <c r="M929" s="302">
        <v>5095989</v>
      </c>
      <c r="N929" s="302">
        <v>211241216</v>
      </c>
      <c r="O929" s="302">
        <v>126078383</v>
      </c>
      <c r="P929" s="302">
        <v>85162833</v>
      </c>
      <c r="Q929" s="303"/>
    </row>
    <row r="930" spans="1:17" s="304" customFormat="1" x14ac:dyDescent="0.25">
      <c r="A930" s="300">
        <v>923</v>
      </c>
      <c r="B930" s="300">
        <v>800150223</v>
      </c>
      <c r="C930" s="300" t="s">
        <v>1842</v>
      </c>
      <c r="D930" s="300" t="s">
        <v>758</v>
      </c>
      <c r="E930" s="300" t="s">
        <v>1190</v>
      </c>
      <c r="F930" s="301" t="s">
        <v>764</v>
      </c>
      <c r="G930" s="302">
        <v>94967986</v>
      </c>
      <c r="H930" s="302">
        <v>690887</v>
      </c>
      <c r="I930" s="302">
        <v>102691875</v>
      </c>
      <c r="J930" s="302">
        <v>51470724</v>
      </c>
      <c r="K930" s="302">
        <v>51221151</v>
      </c>
      <c r="L930" s="302">
        <v>101409794</v>
      </c>
      <c r="M930" s="302">
        <v>1529279</v>
      </c>
      <c r="N930" s="302">
        <v>107578115</v>
      </c>
      <c r="O930" s="302">
        <v>56294368</v>
      </c>
      <c r="P930" s="302">
        <v>51283747</v>
      </c>
      <c r="Q930" s="303"/>
    </row>
    <row r="931" spans="1:17" s="304" customFormat="1" x14ac:dyDescent="0.25">
      <c r="A931" s="300">
        <v>924</v>
      </c>
      <c r="B931" s="300">
        <v>890400372</v>
      </c>
      <c r="C931" s="300" t="s">
        <v>1843</v>
      </c>
      <c r="D931" s="300" t="s">
        <v>768</v>
      </c>
      <c r="E931" s="300" t="s">
        <v>965</v>
      </c>
      <c r="F931" s="301" t="s">
        <v>779</v>
      </c>
      <c r="G931" s="302">
        <v>94903750</v>
      </c>
      <c r="H931" s="302">
        <v>3419959</v>
      </c>
      <c r="I931" s="302">
        <v>51832043</v>
      </c>
      <c r="J931" s="302">
        <v>4864930</v>
      </c>
      <c r="K931" s="302">
        <v>46967113</v>
      </c>
      <c r="L931" s="302">
        <v>92704446</v>
      </c>
      <c r="M931" s="302">
        <v>4161109</v>
      </c>
      <c r="N931" s="302">
        <v>58287529</v>
      </c>
      <c r="O931" s="302">
        <v>13937190</v>
      </c>
      <c r="P931" s="302">
        <v>44350339</v>
      </c>
      <c r="Q931" s="303"/>
    </row>
    <row r="932" spans="1:17" s="304" customFormat="1" x14ac:dyDescent="0.25">
      <c r="A932" s="300">
        <v>925</v>
      </c>
      <c r="B932" s="300">
        <v>830058533</v>
      </c>
      <c r="C932" s="300" t="s">
        <v>1844</v>
      </c>
      <c r="D932" s="300" t="s">
        <v>758</v>
      </c>
      <c r="E932" s="300" t="s">
        <v>1140</v>
      </c>
      <c r="F932" s="301" t="s">
        <v>779</v>
      </c>
      <c r="G932" s="302">
        <v>94851702</v>
      </c>
      <c r="H932" s="302">
        <v>775535</v>
      </c>
      <c r="I932" s="302">
        <v>76904691</v>
      </c>
      <c r="J932" s="302">
        <v>26465038</v>
      </c>
      <c r="K932" s="302">
        <v>50439653</v>
      </c>
      <c r="L932" s="302">
        <v>93097216</v>
      </c>
      <c r="M932" s="302">
        <v>70148</v>
      </c>
      <c r="N932" s="302">
        <v>73938988</v>
      </c>
      <c r="O932" s="302">
        <v>37478423</v>
      </c>
      <c r="P932" s="302">
        <v>36460565</v>
      </c>
      <c r="Q932" s="303"/>
    </row>
    <row r="933" spans="1:17" s="304" customFormat="1" x14ac:dyDescent="0.25">
      <c r="A933" s="300">
        <v>926</v>
      </c>
      <c r="B933" s="300">
        <v>830050604</v>
      </c>
      <c r="C933" s="300" t="s">
        <v>1845</v>
      </c>
      <c r="D933" s="300" t="s">
        <v>758</v>
      </c>
      <c r="E933" s="300" t="s">
        <v>1133</v>
      </c>
      <c r="F933" s="301" t="s">
        <v>764</v>
      </c>
      <c r="G933" s="302">
        <v>94793904</v>
      </c>
      <c r="H933" s="302">
        <v>418315</v>
      </c>
      <c r="I933" s="302">
        <v>61866905</v>
      </c>
      <c r="J933" s="302">
        <v>39121137</v>
      </c>
      <c r="K933" s="302">
        <v>22745768</v>
      </c>
      <c r="L933" s="302">
        <v>102908316</v>
      </c>
      <c r="M933" s="302">
        <v>3209126</v>
      </c>
      <c r="N933" s="302">
        <v>58796593</v>
      </c>
      <c r="O933" s="302">
        <v>38828913</v>
      </c>
      <c r="P933" s="302">
        <v>19967680</v>
      </c>
      <c r="Q933" s="303"/>
    </row>
    <row r="934" spans="1:17" s="304" customFormat="1" x14ac:dyDescent="0.25">
      <c r="A934" s="300">
        <v>927</v>
      </c>
      <c r="B934" s="300">
        <v>860401826</v>
      </c>
      <c r="C934" s="300" t="s">
        <v>1846</v>
      </c>
      <c r="D934" s="300" t="s">
        <v>758</v>
      </c>
      <c r="E934" s="300" t="s">
        <v>853</v>
      </c>
      <c r="F934" s="301" t="s">
        <v>779</v>
      </c>
      <c r="G934" s="302">
        <v>94778090</v>
      </c>
      <c r="H934" s="302">
        <v>750362</v>
      </c>
      <c r="I934" s="302">
        <v>37163284</v>
      </c>
      <c r="J934" s="302">
        <v>25854856</v>
      </c>
      <c r="K934" s="302">
        <v>11308428</v>
      </c>
      <c r="L934" s="302">
        <v>72640722</v>
      </c>
      <c r="M934" s="302">
        <v>177967</v>
      </c>
      <c r="N934" s="302">
        <v>25543944</v>
      </c>
      <c r="O934" s="302">
        <v>14427039</v>
      </c>
      <c r="P934" s="302">
        <v>11116905</v>
      </c>
      <c r="Q934" s="303"/>
    </row>
    <row r="935" spans="1:17" s="304" customFormat="1" x14ac:dyDescent="0.25">
      <c r="A935" s="300">
        <v>928</v>
      </c>
      <c r="B935" s="300">
        <v>900319374</v>
      </c>
      <c r="C935" s="300" t="s">
        <v>1847</v>
      </c>
      <c r="D935" s="300" t="s">
        <v>763</v>
      </c>
      <c r="E935" s="300" t="s">
        <v>1055</v>
      </c>
      <c r="F935" s="301" t="s">
        <v>766</v>
      </c>
      <c r="G935" s="302">
        <v>94720449</v>
      </c>
      <c r="H935" s="302">
        <v>205392</v>
      </c>
      <c r="I935" s="302">
        <v>37682553</v>
      </c>
      <c r="J935" s="302">
        <v>189778</v>
      </c>
      <c r="K935" s="302">
        <v>37492775</v>
      </c>
      <c r="L935" s="302">
        <v>185838325</v>
      </c>
      <c r="M935" s="302">
        <v>3960432</v>
      </c>
      <c r="N935" s="302">
        <v>38576966</v>
      </c>
      <c r="O935" s="302">
        <v>701022</v>
      </c>
      <c r="P935" s="302">
        <v>37875944</v>
      </c>
      <c r="Q935" s="303"/>
    </row>
    <row r="936" spans="1:17" s="304" customFormat="1" x14ac:dyDescent="0.25">
      <c r="A936" s="300">
        <v>929</v>
      </c>
      <c r="B936" s="300">
        <v>830043648</v>
      </c>
      <c r="C936" s="300" t="s">
        <v>1848</v>
      </c>
      <c r="D936" s="300" t="s">
        <v>758</v>
      </c>
      <c r="E936" s="300" t="s">
        <v>876</v>
      </c>
      <c r="F936" s="311" t="s">
        <v>877</v>
      </c>
      <c r="G936" s="302">
        <v>94579523</v>
      </c>
      <c r="H936" s="302">
        <v>1799054</v>
      </c>
      <c r="I936" s="302">
        <v>93909508</v>
      </c>
      <c r="J936" s="302">
        <v>71498057</v>
      </c>
      <c r="K936" s="302">
        <v>22411451</v>
      </c>
      <c r="L936" s="302">
        <v>62251968</v>
      </c>
      <c r="M936" s="302">
        <v>6010448</v>
      </c>
      <c r="N936" s="302">
        <v>75127992</v>
      </c>
      <c r="O936" s="302">
        <v>62631644</v>
      </c>
      <c r="P936" s="302">
        <v>12496348</v>
      </c>
      <c r="Q936" s="303"/>
    </row>
    <row r="937" spans="1:17" s="304" customFormat="1" x14ac:dyDescent="0.25">
      <c r="A937" s="300">
        <v>930</v>
      </c>
      <c r="B937" s="300">
        <v>830142761</v>
      </c>
      <c r="C937" s="300" t="s">
        <v>1849</v>
      </c>
      <c r="D937" s="300" t="s">
        <v>758</v>
      </c>
      <c r="E937" s="300" t="s">
        <v>788</v>
      </c>
      <c r="F937" s="301" t="s">
        <v>760</v>
      </c>
      <c r="G937" s="302">
        <v>94414391</v>
      </c>
      <c r="H937" s="302">
        <v>52469</v>
      </c>
      <c r="I937" s="302">
        <v>46207896</v>
      </c>
      <c r="J937" s="302">
        <v>39337417</v>
      </c>
      <c r="K937" s="302">
        <v>6870479</v>
      </c>
      <c r="L937" s="302">
        <v>73661282</v>
      </c>
      <c r="M937" s="302">
        <v>-2286400</v>
      </c>
      <c r="N937" s="302">
        <v>38828333</v>
      </c>
      <c r="O937" s="302">
        <v>32088063</v>
      </c>
      <c r="P937" s="302">
        <v>6740270</v>
      </c>
      <c r="Q937" s="303"/>
    </row>
    <row r="938" spans="1:17" s="304" customFormat="1" x14ac:dyDescent="0.25">
      <c r="A938" s="300">
        <v>931</v>
      </c>
      <c r="B938" s="300">
        <v>830041688</v>
      </c>
      <c r="C938" s="300" t="s">
        <v>1850</v>
      </c>
      <c r="D938" s="300" t="s">
        <v>758</v>
      </c>
      <c r="E938" s="300" t="s">
        <v>776</v>
      </c>
      <c r="F938" s="301" t="s">
        <v>764</v>
      </c>
      <c r="G938" s="302">
        <v>94307113</v>
      </c>
      <c r="H938" s="302">
        <v>9701542</v>
      </c>
      <c r="I938" s="302">
        <v>81335662</v>
      </c>
      <c r="J938" s="302">
        <v>46463975</v>
      </c>
      <c r="K938" s="302">
        <v>34871687</v>
      </c>
      <c r="L938" s="302">
        <v>61883534</v>
      </c>
      <c r="M938" s="302">
        <v>7296751</v>
      </c>
      <c r="N938" s="302">
        <v>47123417</v>
      </c>
      <c r="O938" s="302">
        <v>13024702</v>
      </c>
      <c r="P938" s="302">
        <v>34098715</v>
      </c>
      <c r="Q938" s="303"/>
    </row>
    <row r="939" spans="1:17" s="304" customFormat="1" x14ac:dyDescent="0.25">
      <c r="A939" s="300">
        <v>932</v>
      </c>
      <c r="B939" s="300">
        <v>892000146</v>
      </c>
      <c r="C939" s="300" t="s">
        <v>1851</v>
      </c>
      <c r="D939" s="300" t="s">
        <v>1149</v>
      </c>
      <c r="E939" s="300" t="s">
        <v>759</v>
      </c>
      <c r="F939" s="301" t="s">
        <v>766</v>
      </c>
      <c r="G939" s="302">
        <v>94202229.788899988</v>
      </c>
      <c r="H939" s="302">
        <v>-3453900</v>
      </c>
      <c r="I939" s="302">
        <v>124236674.25304002</v>
      </c>
      <c r="J939" s="302">
        <v>58676024.853630014</v>
      </c>
      <c r="K939" s="302">
        <v>65560649.399410002</v>
      </c>
      <c r="L939" s="302">
        <v>82170542</v>
      </c>
      <c r="M939" s="302">
        <v>1734138</v>
      </c>
      <c r="N939" s="302">
        <v>112236563</v>
      </c>
      <c r="O939" s="302">
        <v>43350789</v>
      </c>
      <c r="P939" s="302">
        <v>68885774</v>
      </c>
      <c r="Q939" s="303"/>
    </row>
    <row r="940" spans="1:17" s="304" customFormat="1" x14ac:dyDescent="0.25">
      <c r="A940" s="300">
        <v>933</v>
      </c>
      <c r="B940" s="300">
        <v>900009522</v>
      </c>
      <c r="C940" s="300" t="s">
        <v>1852</v>
      </c>
      <c r="D940" s="300" t="s">
        <v>758</v>
      </c>
      <c r="E940" s="300" t="s">
        <v>1084</v>
      </c>
      <c r="F940" s="301" t="s">
        <v>764</v>
      </c>
      <c r="G940" s="302">
        <v>94186749</v>
      </c>
      <c r="H940" s="302">
        <v>-357159</v>
      </c>
      <c r="I940" s="302">
        <v>38385385</v>
      </c>
      <c r="J940" s="302">
        <v>27945456</v>
      </c>
      <c r="K940" s="302">
        <v>10439929</v>
      </c>
      <c r="L940" s="302">
        <v>72736274</v>
      </c>
      <c r="M940" s="302">
        <v>97352</v>
      </c>
      <c r="N940" s="302">
        <v>32682682</v>
      </c>
      <c r="O940" s="302">
        <v>26794630</v>
      </c>
      <c r="P940" s="302">
        <v>5888052</v>
      </c>
      <c r="Q940" s="303"/>
    </row>
    <row r="941" spans="1:17" s="304" customFormat="1" x14ac:dyDescent="0.25">
      <c r="A941" s="300">
        <v>934</v>
      </c>
      <c r="B941" s="300">
        <v>860002274</v>
      </c>
      <c r="C941" s="300" t="s">
        <v>1853</v>
      </c>
      <c r="D941" s="300" t="s">
        <v>758</v>
      </c>
      <c r="E941" s="300" t="s">
        <v>1854</v>
      </c>
      <c r="F941" s="301" t="s">
        <v>779</v>
      </c>
      <c r="G941" s="302">
        <v>94130190</v>
      </c>
      <c r="H941" s="302">
        <v>6745248</v>
      </c>
      <c r="I941" s="302">
        <v>94247844</v>
      </c>
      <c r="J941" s="302">
        <v>33388743</v>
      </c>
      <c r="K941" s="302">
        <v>60859101</v>
      </c>
      <c r="L941" s="302">
        <v>87098887</v>
      </c>
      <c r="M941" s="302">
        <v>7572679</v>
      </c>
      <c r="N941" s="302">
        <v>75245401</v>
      </c>
      <c r="O941" s="302">
        <v>29713906</v>
      </c>
      <c r="P941" s="302">
        <v>45531495</v>
      </c>
      <c r="Q941" s="303"/>
    </row>
    <row r="942" spans="1:17" s="304" customFormat="1" x14ac:dyDescent="0.25">
      <c r="A942" s="300">
        <v>935</v>
      </c>
      <c r="B942" s="300">
        <v>800135548</v>
      </c>
      <c r="C942" s="300" t="s">
        <v>1855</v>
      </c>
      <c r="D942" s="300" t="s">
        <v>758</v>
      </c>
      <c r="E942" s="300" t="s">
        <v>1190</v>
      </c>
      <c r="F942" s="301" t="s">
        <v>764</v>
      </c>
      <c r="G942" s="302">
        <v>93997684</v>
      </c>
      <c r="H942" s="302">
        <v>43348037</v>
      </c>
      <c r="I942" s="302">
        <v>185114348</v>
      </c>
      <c r="J942" s="302">
        <v>92701211</v>
      </c>
      <c r="K942" s="302">
        <v>92413137</v>
      </c>
      <c r="L942" s="302">
        <v>93997684</v>
      </c>
      <c r="M942" s="302">
        <v>43348037</v>
      </c>
      <c r="N942" s="302">
        <v>185114348</v>
      </c>
      <c r="O942" s="302">
        <v>92701211</v>
      </c>
      <c r="P942" s="302">
        <v>92413137</v>
      </c>
      <c r="Q942" s="303"/>
    </row>
    <row r="943" spans="1:17" s="304" customFormat="1" x14ac:dyDescent="0.25">
      <c r="A943" s="300">
        <v>936</v>
      </c>
      <c r="B943" s="300">
        <v>900226975</v>
      </c>
      <c r="C943" s="300" t="s">
        <v>1856</v>
      </c>
      <c r="D943" s="300" t="s">
        <v>758</v>
      </c>
      <c r="E943" s="300" t="s">
        <v>1417</v>
      </c>
      <c r="F943" s="301" t="s">
        <v>766</v>
      </c>
      <c r="G943" s="302">
        <v>93996723</v>
      </c>
      <c r="H943" s="302">
        <v>10034613</v>
      </c>
      <c r="I943" s="302">
        <v>93277137</v>
      </c>
      <c r="J943" s="302">
        <v>50790752</v>
      </c>
      <c r="K943" s="302">
        <v>42486385</v>
      </c>
      <c r="L943" s="302">
        <v>86104491</v>
      </c>
      <c r="M943" s="302">
        <v>1465361</v>
      </c>
      <c r="N943" s="302">
        <v>42402477</v>
      </c>
      <c r="O943" s="302">
        <v>17967389</v>
      </c>
      <c r="P943" s="302">
        <v>24435088</v>
      </c>
      <c r="Q943" s="303"/>
    </row>
    <row r="944" spans="1:17" s="304" customFormat="1" x14ac:dyDescent="0.25">
      <c r="A944" s="300">
        <v>937</v>
      </c>
      <c r="B944" s="300">
        <v>811033557</v>
      </c>
      <c r="C944" s="300" t="s">
        <v>1857</v>
      </c>
      <c r="D944" s="300" t="s">
        <v>763</v>
      </c>
      <c r="E944" s="300" t="s">
        <v>1086</v>
      </c>
      <c r="F944" s="301" t="s">
        <v>766</v>
      </c>
      <c r="G944" s="302">
        <v>93821559</v>
      </c>
      <c r="H944" s="302">
        <v>586944</v>
      </c>
      <c r="I944" s="302">
        <v>6788520</v>
      </c>
      <c r="J944" s="302">
        <v>4300440</v>
      </c>
      <c r="K944" s="302">
        <v>2488080</v>
      </c>
      <c r="L944" s="302">
        <v>81997352</v>
      </c>
      <c r="M944" s="302">
        <v>451970</v>
      </c>
      <c r="N944" s="302">
        <v>7996321</v>
      </c>
      <c r="O944" s="302">
        <v>5878678</v>
      </c>
      <c r="P944" s="302">
        <v>2117643</v>
      </c>
      <c r="Q944" s="303"/>
    </row>
    <row r="945" spans="1:17" s="304" customFormat="1" x14ac:dyDescent="0.25">
      <c r="A945" s="300">
        <v>938</v>
      </c>
      <c r="B945" s="300">
        <v>800121199</v>
      </c>
      <c r="C945" s="300" t="s">
        <v>1858</v>
      </c>
      <c r="D945" s="300" t="s">
        <v>763</v>
      </c>
      <c r="E945" s="300" t="s">
        <v>949</v>
      </c>
      <c r="F945" s="301" t="s">
        <v>764</v>
      </c>
      <c r="G945" s="302">
        <v>93720707</v>
      </c>
      <c r="H945" s="302">
        <v>1320244</v>
      </c>
      <c r="I945" s="302">
        <v>31716415</v>
      </c>
      <c r="J945" s="302">
        <v>23096765</v>
      </c>
      <c r="K945" s="302">
        <v>8619650</v>
      </c>
      <c r="L945" s="302">
        <v>92355007</v>
      </c>
      <c r="M945" s="302">
        <v>746453</v>
      </c>
      <c r="N945" s="302">
        <v>30308911</v>
      </c>
      <c r="O945" s="302">
        <v>21927106</v>
      </c>
      <c r="P945" s="302">
        <v>8381805</v>
      </c>
      <c r="Q945" s="303"/>
    </row>
    <row r="946" spans="1:17" s="304" customFormat="1" x14ac:dyDescent="0.25">
      <c r="A946" s="300">
        <v>939</v>
      </c>
      <c r="B946" s="300">
        <v>830024974</v>
      </c>
      <c r="C946" s="300" t="s">
        <v>1859</v>
      </c>
      <c r="D946" s="300" t="s">
        <v>758</v>
      </c>
      <c r="E946" s="300" t="s">
        <v>863</v>
      </c>
      <c r="F946" s="301" t="s">
        <v>764</v>
      </c>
      <c r="G946" s="302">
        <v>93720152</v>
      </c>
      <c r="H946" s="302">
        <v>-13337365</v>
      </c>
      <c r="I946" s="302">
        <v>35686447</v>
      </c>
      <c r="J946" s="302">
        <v>29621994</v>
      </c>
      <c r="K946" s="302">
        <v>6064453</v>
      </c>
      <c r="L946" s="302">
        <v>77004661</v>
      </c>
      <c r="M946" s="302">
        <v>-19709906</v>
      </c>
      <c r="N946" s="302">
        <v>26501453</v>
      </c>
      <c r="O946" s="302">
        <v>17144711</v>
      </c>
      <c r="P946" s="302">
        <v>9356742</v>
      </c>
      <c r="Q946" s="303"/>
    </row>
    <row r="947" spans="1:17" s="304" customFormat="1" x14ac:dyDescent="0.25">
      <c r="A947" s="300">
        <v>940</v>
      </c>
      <c r="B947" s="300">
        <v>890307885</v>
      </c>
      <c r="C947" s="300" t="s">
        <v>1860</v>
      </c>
      <c r="D947" s="300" t="s">
        <v>808</v>
      </c>
      <c r="E947" s="300" t="s">
        <v>1078</v>
      </c>
      <c r="F947" s="301" t="s">
        <v>779</v>
      </c>
      <c r="G947" s="302">
        <v>93546978</v>
      </c>
      <c r="H947" s="302">
        <v>28492</v>
      </c>
      <c r="I947" s="302">
        <v>168126975</v>
      </c>
      <c r="J947" s="302">
        <v>58589534</v>
      </c>
      <c r="K947" s="302">
        <v>109537441</v>
      </c>
      <c r="L947" s="302">
        <v>96716740</v>
      </c>
      <c r="M947" s="302">
        <v>1602254</v>
      </c>
      <c r="N947" s="302">
        <v>157985812</v>
      </c>
      <c r="O947" s="302">
        <v>52875875</v>
      </c>
      <c r="P947" s="302">
        <v>105109937</v>
      </c>
      <c r="Q947" s="303"/>
    </row>
    <row r="948" spans="1:17" s="304" customFormat="1" x14ac:dyDescent="0.25">
      <c r="A948" s="300">
        <v>941</v>
      </c>
      <c r="B948" s="300">
        <v>802009663</v>
      </c>
      <c r="C948" s="300" t="s">
        <v>1861</v>
      </c>
      <c r="D948" s="300" t="s">
        <v>768</v>
      </c>
      <c r="E948" s="300" t="s">
        <v>1143</v>
      </c>
      <c r="F948" s="301" t="s">
        <v>779</v>
      </c>
      <c r="G948" s="302">
        <v>93358266</v>
      </c>
      <c r="H948" s="302">
        <v>75073</v>
      </c>
      <c r="I948" s="302">
        <v>97351139</v>
      </c>
      <c r="J948" s="302">
        <v>61922306</v>
      </c>
      <c r="K948" s="302">
        <v>35428833</v>
      </c>
      <c r="L948" s="302">
        <v>87002966</v>
      </c>
      <c r="M948" s="302">
        <v>445774</v>
      </c>
      <c r="N948" s="302">
        <v>90641606</v>
      </c>
      <c r="O948" s="302">
        <v>55287844</v>
      </c>
      <c r="P948" s="302">
        <v>35353762</v>
      </c>
      <c r="Q948" s="303"/>
    </row>
    <row r="949" spans="1:17" s="304" customFormat="1" x14ac:dyDescent="0.25">
      <c r="A949" s="300">
        <v>942</v>
      </c>
      <c r="B949" s="300">
        <v>890104719</v>
      </c>
      <c r="C949" s="300" t="s">
        <v>1862</v>
      </c>
      <c r="D949" s="300" t="s">
        <v>768</v>
      </c>
      <c r="E949" s="300" t="s">
        <v>957</v>
      </c>
      <c r="F949" s="301" t="s">
        <v>958</v>
      </c>
      <c r="G949" s="302">
        <v>93339336</v>
      </c>
      <c r="H949" s="302">
        <v>17453</v>
      </c>
      <c r="I949" s="302">
        <v>82510096</v>
      </c>
      <c r="J949" s="302">
        <v>40517514</v>
      </c>
      <c r="K949" s="302">
        <v>41992582</v>
      </c>
      <c r="L949" s="302">
        <v>100930415</v>
      </c>
      <c r="M949" s="302">
        <v>-1464672</v>
      </c>
      <c r="N949" s="302">
        <v>91147875</v>
      </c>
      <c r="O949" s="302">
        <v>49172748</v>
      </c>
      <c r="P949" s="302">
        <v>41975127</v>
      </c>
      <c r="Q949" s="303"/>
    </row>
    <row r="950" spans="1:17" s="304" customFormat="1" x14ac:dyDescent="0.25">
      <c r="A950" s="300">
        <v>943</v>
      </c>
      <c r="B950" s="300">
        <v>817002544</v>
      </c>
      <c r="C950" s="300" t="s">
        <v>1863</v>
      </c>
      <c r="D950" s="300" t="s">
        <v>808</v>
      </c>
      <c r="E950" s="300" t="s">
        <v>786</v>
      </c>
      <c r="F950" s="301" t="s">
        <v>764</v>
      </c>
      <c r="G950" s="302">
        <v>93263129</v>
      </c>
      <c r="H950" s="302">
        <v>715477</v>
      </c>
      <c r="I950" s="302">
        <v>21734641</v>
      </c>
      <c r="J950" s="302">
        <v>18368496</v>
      </c>
      <c r="K950" s="302">
        <v>3366145</v>
      </c>
      <c r="L950" s="302">
        <v>77462541</v>
      </c>
      <c r="M950" s="302">
        <v>585101</v>
      </c>
      <c r="N950" s="302">
        <v>18048319</v>
      </c>
      <c r="O950" s="302">
        <v>15771432</v>
      </c>
      <c r="P950" s="302">
        <v>2276887</v>
      </c>
      <c r="Q950" s="303"/>
    </row>
    <row r="951" spans="1:17" s="304" customFormat="1" x14ac:dyDescent="0.25">
      <c r="A951" s="300">
        <v>944</v>
      </c>
      <c r="B951" s="300">
        <v>890903995</v>
      </c>
      <c r="C951" s="300" t="s">
        <v>1864</v>
      </c>
      <c r="D951" s="300" t="s">
        <v>763</v>
      </c>
      <c r="E951" s="300" t="s">
        <v>1204</v>
      </c>
      <c r="F951" s="301" t="s">
        <v>764</v>
      </c>
      <c r="G951" s="302">
        <v>93149254</v>
      </c>
      <c r="H951" s="302">
        <v>2455142</v>
      </c>
      <c r="I951" s="302">
        <v>69715605</v>
      </c>
      <c r="J951" s="302">
        <v>43956344</v>
      </c>
      <c r="K951" s="302">
        <v>25759261</v>
      </c>
      <c r="L951" s="302">
        <v>82737745</v>
      </c>
      <c r="M951" s="302">
        <v>871979</v>
      </c>
      <c r="N951" s="302">
        <v>60996474</v>
      </c>
      <c r="O951" s="302">
        <v>37400667</v>
      </c>
      <c r="P951" s="302">
        <v>23595807</v>
      </c>
      <c r="Q951" s="303"/>
    </row>
    <row r="952" spans="1:17" s="304" customFormat="1" x14ac:dyDescent="0.25">
      <c r="A952" s="300">
        <v>945</v>
      </c>
      <c r="B952" s="300">
        <v>860028601</v>
      </c>
      <c r="C952" s="300" t="s">
        <v>1865</v>
      </c>
      <c r="D952" s="300" t="s">
        <v>758</v>
      </c>
      <c r="E952" s="300" t="s">
        <v>1055</v>
      </c>
      <c r="F952" s="301" t="s">
        <v>766</v>
      </c>
      <c r="G952" s="302">
        <v>93082026</v>
      </c>
      <c r="H952" s="302">
        <v>19890978</v>
      </c>
      <c r="I952" s="302">
        <v>543398366</v>
      </c>
      <c r="J952" s="302">
        <v>339532479</v>
      </c>
      <c r="K952" s="302">
        <v>203865887</v>
      </c>
      <c r="L952" s="302">
        <v>80197812</v>
      </c>
      <c r="M952" s="302">
        <v>40454996</v>
      </c>
      <c r="N952" s="302">
        <v>488387023</v>
      </c>
      <c r="O952" s="302">
        <v>306280714</v>
      </c>
      <c r="P952" s="302">
        <v>182106309</v>
      </c>
      <c r="Q952" s="303"/>
    </row>
    <row r="953" spans="1:17" s="304" customFormat="1" x14ac:dyDescent="0.25">
      <c r="A953" s="300">
        <v>946</v>
      </c>
      <c r="B953" s="300">
        <v>800071617</v>
      </c>
      <c r="C953" s="300" t="s">
        <v>1866</v>
      </c>
      <c r="D953" s="300" t="s">
        <v>758</v>
      </c>
      <c r="E953" s="300" t="s">
        <v>1133</v>
      </c>
      <c r="F953" s="301" t="s">
        <v>764</v>
      </c>
      <c r="G953" s="302">
        <v>92965294</v>
      </c>
      <c r="H953" s="302">
        <v>742397</v>
      </c>
      <c r="I953" s="302">
        <v>68760334</v>
      </c>
      <c r="J953" s="302">
        <v>55861254</v>
      </c>
      <c r="K953" s="302">
        <v>12899080</v>
      </c>
      <c r="L953" s="302">
        <v>109605024</v>
      </c>
      <c r="M953" s="302">
        <v>1527942</v>
      </c>
      <c r="N953" s="302">
        <v>63703206</v>
      </c>
      <c r="O953" s="302">
        <v>50764624</v>
      </c>
      <c r="P953" s="302">
        <v>12938582</v>
      </c>
      <c r="Q953" s="303"/>
    </row>
    <row r="954" spans="1:17" s="304" customFormat="1" x14ac:dyDescent="0.25">
      <c r="A954" s="300">
        <v>947</v>
      </c>
      <c r="B954" s="300">
        <v>900147904</v>
      </c>
      <c r="C954" s="300" t="s">
        <v>1867</v>
      </c>
      <c r="D954" s="300" t="s">
        <v>758</v>
      </c>
      <c r="E954" s="300" t="s">
        <v>846</v>
      </c>
      <c r="F954" s="301" t="s">
        <v>760</v>
      </c>
      <c r="G954" s="302">
        <v>92854570</v>
      </c>
      <c r="H954" s="302">
        <v>27873107</v>
      </c>
      <c r="I954" s="302">
        <v>130182790</v>
      </c>
      <c r="J954" s="302">
        <v>4168177</v>
      </c>
      <c r="K954" s="302">
        <v>126014613</v>
      </c>
      <c r="L954" s="302">
        <v>132830707</v>
      </c>
      <c r="M954" s="302">
        <v>-6212642</v>
      </c>
      <c r="N954" s="302">
        <v>200352333</v>
      </c>
      <c r="O954" s="302">
        <v>61426531</v>
      </c>
      <c r="P954" s="302">
        <v>138925802</v>
      </c>
      <c r="Q954" s="303"/>
    </row>
    <row r="955" spans="1:17" s="304" customFormat="1" x14ac:dyDescent="0.25">
      <c r="A955" s="300">
        <v>948</v>
      </c>
      <c r="B955" s="300">
        <v>805030399</v>
      </c>
      <c r="C955" s="300" t="s">
        <v>1868</v>
      </c>
      <c r="D955" s="300" t="s">
        <v>808</v>
      </c>
      <c r="E955" s="300" t="s">
        <v>814</v>
      </c>
      <c r="F955" s="301" t="s">
        <v>764</v>
      </c>
      <c r="G955" s="302">
        <v>92845117</v>
      </c>
      <c r="H955" s="302">
        <v>6026671</v>
      </c>
      <c r="I955" s="302">
        <v>54582944</v>
      </c>
      <c r="J955" s="302">
        <v>15022588</v>
      </c>
      <c r="K955" s="302">
        <v>39560356</v>
      </c>
      <c r="L955" s="302">
        <v>85237173</v>
      </c>
      <c r="M955" s="302">
        <v>15254383</v>
      </c>
      <c r="N955" s="302">
        <v>51765981</v>
      </c>
      <c r="O955" s="302">
        <v>14454901</v>
      </c>
      <c r="P955" s="302">
        <v>37311080</v>
      </c>
      <c r="Q955" s="303"/>
    </row>
    <row r="956" spans="1:17" s="304" customFormat="1" x14ac:dyDescent="0.25">
      <c r="A956" s="300">
        <v>949</v>
      </c>
      <c r="B956" s="300">
        <v>860045904</v>
      </c>
      <c r="C956" s="300" t="s">
        <v>1869</v>
      </c>
      <c r="D956" s="300" t="s">
        <v>758</v>
      </c>
      <c r="E956" s="300" t="s">
        <v>759</v>
      </c>
      <c r="F956" s="301" t="s">
        <v>766</v>
      </c>
      <c r="G956" s="309">
        <v>92804034</v>
      </c>
      <c r="H956" s="309">
        <v>10192502</v>
      </c>
      <c r="I956" s="309">
        <v>69775034</v>
      </c>
      <c r="J956" s="309">
        <v>21438269</v>
      </c>
      <c r="K956" s="309">
        <v>48336765</v>
      </c>
      <c r="L956" s="309">
        <v>61147995</v>
      </c>
      <c r="M956" s="309">
        <v>-6772780</v>
      </c>
      <c r="N956" s="309">
        <v>52067584</v>
      </c>
      <c r="O956" s="309">
        <v>24329048</v>
      </c>
      <c r="P956" s="309">
        <v>27738536</v>
      </c>
      <c r="Q956" s="303"/>
    </row>
    <row r="957" spans="1:17" s="304" customFormat="1" x14ac:dyDescent="0.25">
      <c r="A957" s="300">
        <v>950</v>
      </c>
      <c r="B957" s="300">
        <v>830099238</v>
      </c>
      <c r="C957" s="300" t="s">
        <v>1870</v>
      </c>
      <c r="D957" s="300" t="s">
        <v>758</v>
      </c>
      <c r="E957" s="300" t="s">
        <v>943</v>
      </c>
      <c r="F957" s="311" t="s">
        <v>877</v>
      </c>
      <c r="G957" s="302">
        <v>92627224</v>
      </c>
      <c r="H957" s="302">
        <v>-33721469</v>
      </c>
      <c r="I957" s="302">
        <v>411682050</v>
      </c>
      <c r="J957" s="302">
        <v>209095963</v>
      </c>
      <c r="K957" s="302">
        <v>202586087</v>
      </c>
      <c r="L957" s="302">
        <v>64454232</v>
      </c>
      <c r="M957" s="302">
        <v>-30606571</v>
      </c>
      <c r="N957" s="302">
        <v>315493685</v>
      </c>
      <c r="O957" s="302">
        <v>164622654</v>
      </c>
      <c r="P957" s="302">
        <v>150871031</v>
      </c>
      <c r="Q957" s="303"/>
    </row>
    <row r="958" spans="1:17" s="304" customFormat="1" x14ac:dyDescent="0.25">
      <c r="A958" s="300">
        <v>951</v>
      </c>
      <c r="B958" s="300">
        <v>800029569</v>
      </c>
      <c r="C958" s="300" t="s">
        <v>1949</v>
      </c>
      <c r="D958" s="300" t="s">
        <v>808</v>
      </c>
      <c r="E958" s="300" t="s">
        <v>880</v>
      </c>
      <c r="F958" s="300" t="s">
        <v>764</v>
      </c>
      <c r="G958" s="302">
        <v>92623600</v>
      </c>
      <c r="H958" s="302">
        <v>-1211869</v>
      </c>
      <c r="I958" s="302">
        <v>45480632</v>
      </c>
      <c r="J958" s="302">
        <v>29936685</v>
      </c>
      <c r="K958" s="302">
        <v>15543947</v>
      </c>
      <c r="L958" s="302">
        <v>99654846</v>
      </c>
      <c r="M958" s="302">
        <v>969121</v>
      </c>
      <c r="N958" s="302">
        <v>40191114</v>
      </c>
      <c r="O958" s="302">
        <v>23682952</v>
      </c>
      <c r="P958" s="302">
        <v>16508162</v>
      </c>
      <c r="Q958" s="303"/>
    </row>
    <row r="959" spans="1:17" s="304" customFormat="1" x14ac:dyDescent="0.25">
      <c r="A959" s="300">
        <v>952</v>
      </c>
      <c r="B959" s="300">
        <v>830037955</v>
      </c>
      <c r="C959" s="300" t="s">
        <v>1871</v>
      </c>
      <c r="D959" s="300" t="s">
        <v>768</v>
      </c>
      <c r="E959" s="300" t="s">
        <v>860</v>
      </c>
      <c r="F959" s="301" t="s">
        <v>779</v>
      </c>
      <c r="G959" s="302">
        <v>92473729</v>
      </c>
      <c r="H959" s="302">
        <v>440995</v>
      </c>
      <c r="I959" s="302">
        <v>66171012</v>
      </c>
      <c r="J959" s="302">
        <v>32916188</v>
      </c>
      <c r="K959" s="302">
        <v>33254824</v>
      </c>
      <c r="L959" s="302">
        <v>87962456</v>
      </c>
      <c r="M959" s="302">
        <v>-6340251</v>
      </c>
      <c r="N959" s="302">
        <v>58293411</v>
      </c>
      <c r="O959" s="302">
        <v>27122056</v>
      </c>
      <c r="P959" s="302">
        <v>31171355</v>
      </c>
      <c r="Q959" s="303"/>
    </row>
    <row r="960" spans="1:17" s="304" customFormat="1" x14ac:dyDescent="0.25">
      <c r="A960" s="300">
        <v>953</v>
      </c>
      <c r="B960" s="300">
        <v>802000608</v>
      </c>
      <c r="C960" s="300" t="s">
        <v>1872</v>
      </c>
      <c r="D960" s="300" t="s">
        <v>768</v>
      </c>
      <c r="E960" s="300" t="s">
        <v>863</v>
      </c>
      <c r="F960" s="301" t="s">
        <v>764</v>
      </c>
      <c r="G960" s="302">
        <v>92426280</v>
      </c>
      <c r="H960" s="302">
        <v>8873257</v>
      </c>
      <c r="I960" s="302">
        <v>60312428</v>
      </c>
      <c r="J960" s="302">
        <v>27466667</v>
      </c>
      <c r="K960" s="302">
        <v>32845761</v>
      </c>
      <c r="L960" s="302">
        <v>81354789</v>
      </c>
      <c r="M960" s="302">
        <v>6596490</v>
      </c>
      <c r="N960" s="302">
        <v>52310189</v>
      </c>
      <c r="O960" s="302">
        <v>28337686</v>
      </c>
      <c r="P960" s="302">
        <v>23972503</v>
      </c>
      <c r="Q960" s="303"/>
    </row>
    <row r="961" spans="1:17" s="304" customFormat="1" x14ac:dyDescent="0.25">
      <c r="A961" s="300">
        <v>954</v>
      </c>
      <c r="B961" s="300">
        <v>900297153</v>
      </c>
      <c r="C961" s="300" t="s">
        <v>1873</v>
      </c>
      <c r="D961" s="300" t="s">
        <v>758</v>
      </c>
      <c r="E961" s="300" t="s">
        <v>995</v>
      </c>
      <c r="F961" s="301" t="s">
        <v>779</v>
      </c>
      <c r="G961" s="302">
        <v>92417524</v>
      </c>
      <c r="H961" s="302">
        <v>910782</v>
      </c>
      <c r="I961" s="302">
        <v>78176537</v>
      </c>
      <c r="J961" s="302">
        <v>76937495</v>
      </c>
      <c r="K961" s="302">
        <v>1239042</v>
      </c>
      <c r="L961" s="302">
        <v>91870989</v>
      </c>
      <c r="M961" s="302">
        <v>12137</v>
      </c>
      <c r="N961" s="302">
        <v>68979186</v>
      </c>
      <c r="O961" s="302">
        <v>68650925</v>
      </c>
      <c r="P961" s="302">
        <v>328261</v>
      </c>
      <c r="Q961" s="303"/>
    </row>
    <row r="962" spans="1:17" s="304" customFormat="1" x14ac:dyDescent="0.25">
      <c r="A962" s="300">
        <v>955</v>
      </c>
      <c r="B962" s="300">
        <v>860013692</v>
      </c>
      <c r="C962" s="300" t="s">
        <v>1874</v>
      </c>
      <c r="D962" s="300" t="s">
        <v>758</v>
      </c>
      <c r="E962" s="300" t="s">
        <v>863</v>
      </c>
      <c r="F962" s="301" t="s">
        <v>764</v>
      </c>
      <c r="G962" s="302">
        <v>92313761</v>
      </c>
      <c r="H962" s="302">
        <v>10285466</v>
      </c>
      <c r="I962" s="302">
        <v>35277400</v>
      </c>
      <c r="J962" s="302">
        <v>9126214</v>
      </c>
      <c r="K962" s="302">
        <v>26151186</v>
      </c>
      <c r="L962" s="302">
        <v>160013292</v>
      </c>
      <c r="M962" s="302">
        <v>21403741</v>
      </c>
      <c r="N962" s="302">
        <v>99767449</v>
      </c>
      <c r="O962" s="302">
        <v>49174847</v>
      </c>
      <c r="P962" s="302">
        <v>50592602</v>
      </c>
      <c r="Q962" s="303"/>
    </row>
    <row r="963" spans="1:17" s="304" customFormat="1" x14ac:dyDescent="0.25">
      <c r="A963" s="300">
        <v>956</v>
      </c>
      <c r="B963" s="300">
        <v>800042972</v>
      </c>
      <c r="C963" s="300" t="s">
        <v>1875</v>
      </c>
      <c r="D963" s="300" t="s">
        <v>891</v>
      </c>
      <c r="E963" s="300" t="s">
        <v>1876</v>
      </c>
      <c r="F963" s="301" t="s">
        <v>764</v>
      </c>
      <c r="G963" s="302">
        <v>91942124</v>
      </c>
      <c r="H963" s="302">
        <v>1703562</v>
      </c>
      <c r="I963" s="302">
        <v>79960755</v>
      </c>
      <c r="J963" s="302">
        <v>42196700</v>
      </c>
      <c r="K963" s="302">
        <v>37764055</v>
      </c>
      <c r="L963" s="302">
        <v>62555042</v>
      </c>
      <c r="M963" s="302">
        <v>4120954</v>
      </c>
      <c r="N963" s="302">
        <v>65800563</v>
      </c>
      <c r="O963" s="302">
        <v>38736399</v>
      </c>
      <c r="P963" s="302">
        <v>27064164</v>
      </c>
      <c r="Q963" s="303"/>
    </row>
    <row r="964" spans="1:17" s="304" customFormat="1" x14ac:dyDescent="0.25">
      <c r="A964" s="300">
        <v>957</v>
      </c>
      <c r="B964" s="300">
        <v>890206351</v>
      </c>
      <c r="C964" s="300" t="s">
        <v>1877</v>
      </c>
      <c r="D964" s="300" t="s">
        <v>891</v>
      </c>
      <c r="E964" s="300" t="s">
        <v>1878</v>
      </c>
      <c r="F964" s="301" t="s">
        <v>766</v>
      </c>
      <c r="G964" s="302">
        <v>91840235</v>
      </c>
      <c r="H964" s="302">
        <v>25918539</v>
      </c>
      <c r="I964" s="302">
        <v>102340158</v>
      </c>
      <c r="J964" s="302">
        <v>24734675</v>
      </c>
      <c r="K964" s="302">
        <v>77605483</v>
      </c>
      <c r="L964" s="302">
        <v>76985189</v>
      </c>
      <c r="M964" s="302">
        <v>19490221</v>
      </c>
      <c r="N964" s="302">
        <v>80104416</v>
      </c>
      <c r="O964" s="302">
        <v>22780316</v>
      </c>
      <c r="P964" s="302">
        <v>57324100</v>
      </c>
      <c r="Q964" s="303"/>
    </row>
    <row r="965" spans="1:17" s="304" customFormat="1" x14ac:dyDescent="0.25">
      <c r="A965" s="300">
        <v>958</v>
      </c>
      <c r="B965" s="300">
        <v>860350253</v>
      </c>
      <c r="C965" s="300" t="s">
        <v>1879</v>
      </c>
      <c r="D965" s="300" t="s">
        <v>758</v>
      </c>
      <c r="E965" s="300" t="s">
        <v>1215</v>
      </c>
      <c r="F965" s="301" t="s">
        <v>766</v>
      </c>
      <c r="G965" s="302">
        <v>91720541</v>
      </c>
      <c r="H965" s="302">
        <v>2925562</v>
      </c>
      <c r="I965" s="302">
        <v>112732543</v>
      </c>
      <c r="J965" s="302">
        <v>68877886</v>
      </c>
      <c r="K965" s="302">
        <v>43854657</v>
      </c>
      <c r="L965" s="302">
        <v>76572005</v>
      </c>
      <c r="M965" s="302">
        <v>3791259</v>
      </c>
      <c r="N965" s="302">
        <v>89687379</v>
      </c>
      <c r="O965" s="302">
        <v>45782730</v>
      </c>
      <c r="P965" s="302">
        <v>43904649</v>
      </c>
      <c r="Q965" s="303"/>
    </row>
    <row r="966" spans="1:17" s="304" customFormat="1" x14ac:dyDescent="0.25">
      <c r="A966" s="300">
        <v>959</v>
      </c>
      <c r="B966" s="300">
        <v>860064081</v>
      </c>
      <c r="C966" s="300" t="s">
        <v>1880</v>
      </c>
      <c r="D966" s="300" t="s">
        <v>758</v>
      </c>
      <c r="E966" s="300" t="s">
        <v>1881</v>
      </c>
      <c r="F966" s="301" t="s">
        <v>779</v>
      </c>
      <c r="G966" s="302">
        <v>91575437</v>
      </c>
      <c r="H966" s="302">
        <v>-5275477</v>
      </c>
      <c r="I966" s="302">
        <v>181735117</v>
      </c>
      <c r="J966" s="302">
        <v>73092072</v>
      </c>
      <c r="K966" s="302">
        <v>108643045</v>
      </c>
      <c r="L966" s="302">
        <v>93138496</v>
      </c>
      <c r="M966" s="302">
        <v>-1353035</v>
      </c>
      <c r="N966" s="302">
        <v>169704562</v>
      </c>
      <c r="O966" s="302">
        <v>67603981</v>
      </c>
      <c r="P966" s="302">
        <v>102100581</v>
      </c>
      <c r="Q966" s="303"/>
    </row>
    <row r="967" spans="1:17" s="304" customFormat="1" x14ac:dyDescent="0.25">
      <c r="A967" s="300">
        <v>960</v>
      </c>
      <c r="B967" s="300">
        <v>800196299</v>
      </c>
      <c r="C967" s="300" t="s">
        <v>1882</v>
      </c>
      <c r="D967" s="300" t="s">
        <v>758</v>
      </c>
      <c r="E967" s="300" t="s">
        <v>1457</v>
      </c>
      <c r="F967" s="301" t="s">
        <v>766</v>
      </c>
      <c r="G967" s="302">
        <v>91534573</v>
      </c>
      <c r="H967" s="302">
        <v>4458276</v>
      </c>
      <c r="I967" s="302">
        <v>45749201</v>
      </c>
      <c r="J967" s="302">
        <v>17574868</v>
      </c>
      <c r="K967" s="302">
        <v>28174333</v>
      </c>
      <c r="L967" s="302">
        <v>85739612</v>
      </c>
      <c r="M967" s="302">
        <v>438766</v>
      </c>
      <c r="N967" s="302">
        <v>43510281</v>
      </c>
      <c r="O967" s="302">
        <v>19757908</v>
      </c>
      <c r="P967" s="302">
        <v>23752373</v>
      </c>
      <c r="Q967" s="303"/>
    </row>
    <row r="968" spans="1:17" s="304" customFormat="1" x14ac:dyDescent="0.25">
      <c r="A968" s="300">
        <v>961</v>
      </c>
      <c r="B968" s="300">
        <v>890100248</v>
      </c>
      <c r="C968" s="300" t="s">
        <v>1883</v>
      </c>
      <c r="D968" s="300" t="s">
        <v>768</v>
      </c>
      <c r="E968" s="300" t="s">
        <v>876</v>
      </c>
      <c r="F968" s="311" t="s">
        <v>877</v>
      </c>
      <c r="G968" s="302">
        <v>91488778</v>
      </c>
      <c r="H968" s="302">
        <v>43203915</v>
      </c>
      <c r="I968" s="302">
        <v>182056301</v>
      </c>
      <c r="J968" s="302">
        <v>69954728</v>
      </c>
      <c r="K968" s="302">
        <v>112101573</v>
      </c>
      <c r="L968" s="302">
        <v>80474188</v>
      </c>
      <c r="M968" s="302">
        <v>2754672</v>
      </c>
      <c r="N968" s="302">
        <v>160679147</v>
      </c>
      <c r="O968" s="302">
        <v>83174425</v>
      </c>
      <c r="P968" s="302">
        <v>77504722</v>
      </c>
      <c r="Q968" s="303"/>
    </row>
    <row r="969" spans="1:17" s="304" customFormat="1" x14ac:dyDescent="0.25">
      <c r="A969" s="300">
        <v>962</v>
      </c>
      <c r="B969" s="300">
        <v>890800788</v>
      </c>
      <c r="C969" s="300" t="s">
        <v>1884</v>
      </c>
      <c r="D969" s="300" t="s">
        <v>763</v>
      </c>
      <c r="E969" s="300" t="s">
        <v>949</v>
      </c>
      <c r="F969" s="301" t="s">
        <v>764</v>
      </c>
      <c r="G969" s="302">
        <v>91472005</v>
      </c>
      <c r="H969" s="302">
        <v>1984468</v>
      </c>
      <c r="I969" s="302">
        <v>49292043</v>
      </c>
      <c r="J969" s="302">
        <v>39284264</v>
      </c>
      <c r="K969" s="302">
        <v>10007779</v>
      </c>
      <c r="L969" s="302">
        <v>70818688</v>
      </c>
      <c r="M969" s="302">
        <v>1631142</v>
      </c>
      <c r="N969" s="302">
        <v>37416585</v>
      </c>
      <c r="O969" s="302">
        <v>28781996</v>
      </c>
      <c r="P969" s="302">
        <v>8634589</v>
      </c>
      <c r="Q969" s="303"/>
    </row>
    <row r="970" spans="1:17" s="304" customFormat="1" x14ac:dyDescent="0.25">
      <c r="A970" s="300">
        <v>963</v>
      </c>
      <c r="B970" s="300">
        <v>830063800</v>
      </c>
      <c r="C970" s="300" t="s">
        <v>1885</v>
      </c>
      <c r="D970" s="300" t="s">
        <v>758</v>
      </c>
      <c r="E970" s="300" t="s">
        <v>949</v>
      </c>
      <c r="F970" s="301" t="s">
        <v>764</v>
      </c>
      <c r="G970" s="302">
        <v>91441519</v>
      </c>
      <c r="H970" s="302">
        <v>1274959</v>
      </c>
      <c r="I970" s="302">
        <v>29745746</v>
      </c>
      <c r="J970" s="302">
        <v>22579772</v>
      </c>
      <c r="K970" s="302">
        <v>7165974</v>
      </c>
      <c r="L970" s="302">
        <v>89388065</v>
      </c>
      <c r="M970" s="302">
        <v>1270992</v>
      </c>
      <c r="N970" s="302">
        <v>29468812</v>
      </c>
      <c r="O970" s="302">
        <v>22862435</v>
      </c>
      <c r="P970" s="302">
        <v>6606377</v>
      </c>
      <c r="Q970" s="303"/>
    </row>
    <row r="971" spans="1:17" s="304" customFormat="1" x14ac:dyDescent="0.25">
      <c r="A971" s="300">
        <v>964</v>
      </c>
      <c r="B971" s="300">
        <v>890101676</v>
      </c>
      <c r="C971" s="300" t="s">
        <v>1886</v>
      </c>
      <c r="D971" s="300" t="s">
        <v>768</v>
      </c>
      <c r="E971" s="300" t="s">
        <v>919</v>
      </c>
      <c r="F971" s="301" t="s">
        <v>779</v>
      </c>
      <c r="G971" s="302">
        <v>91356337</v>
      </c>
      <c r="H971" s="302">
        <v>5274817</v>
      </c>
      <c r="I971" s="302">
        <v>99670956</v>
      </c>
      <c r="J971" s="302">
        <v>35740678</v>
      </c>
      <c r="K971" s="302">
        <v>63930278</v>
      </c>
      <c r="L971" s="302">
        <v>81161975</v>
      </c>
      <c r="M971" s="302">
        <v>5952986</v>
      </c>
      <c r="N971" s="302">
        <v>84390362</v>
      </c>
      <c r="O971" s="302">
        <v>28558574</v>
      </c>
      <c r="P971" s="302">
        <v>55831788</v>
      </c>
      <c r="Q971" s="303"/>
    </row>
    <row r="972" spans="1:17" s="304" customFormat="1" x14ac:dyDescent="0.25">
      <c r="A972" s="300">
        <v>965</v>
      </c>
      <c r="B972" s="300">
        <v>800144934</v>
      </c>
      <c r="C972" s="300" t="s">
        <v>1887</v>
      </c>
      <c r="D972" s="300" t="s">
        <v>808</v>
      </c>
      <c r="E972" s="300" t="s">
        <v>1086</v>
      </c>
      <c r="F972" s="301" t="s">
        <v>766</v>
      </c>
      <c r="G972" s="302">
        <v>91199557</v>
      </c>
      <c r="H972" s="302">
        <v>1901038</v>
      </c>
      <c r="I972" s="302">
        <v>24076284</v>
      </c>
      <c r="J972" s="302">
        <v>18942778</v>
      </c>
      <c r="K972" s="302">
        <v>5133506</v>
      </c>
      <c r="L972" s="302">
        <v>86222094</v>
      </c>
      <c r="M972" s="302">
        <v>2422880</v>
      </c>
      <c r="N972" s="302">
        <v>22463244</v>
      </c>
      <c r="O972" s="302">
        <v>17721184</v>
      </c>
      <c r="P972" s="302">
        <v>4742060</v>
      </c>
      <c r="Q972" s="303"/>
    </row>
    <row r="973" spans="1:17" s="304" customFormat="1" x14ac:dyDescent="0.25">
      <c r="A973" s="300">
        <v>966</v>
      </c>
      <c r="B973" s="300">
        <v>900229376</v>
      </c>
      <c r="C973" s="300" t="s">
        <v>1888</v>
      </c>
      <c r="D973" s="300" t="s">
        <v>758</v>
      </c>
      <c r="E973" s="300" t="s">
        <v>880</v>
      </c>
      <c r="F973" s="301" t="s">
        <v>764</v>
      </c>
      <c r="G973" s="302">
        <v>90941318</v>
      </c>
      <c r="H973" s="302">
        <v>205467</v>
      </c>
      <c r="I973" s="302">
        <v>33252671</v>
      </c>
      <c r="J973" s="302">
        <v>16041245</v>
      </c>
      <c r="K973" s="302">
        <v>17211426</v>
      </c>
      <c r="L973" s="302">
        <v>112595776</v>
      </c>
      <c r="M973" s="302">
        <v>451745</v>
      </c>
      <c r="N973" s="302">
        <v>28214143</v>
      </c>
      <c r="O973" s="302">
        <v>12407183</v>
      </c>
      <c r="P973" s="302">
        <v>15806960</v>
      </c>
      <c r="Q973" s="303"/>
    </row>
    <row r="974" spans="1:17" s="304" customFormat="1" x14ac:dyDescent="0.25">
      <c r="A974" s="300">
        <v>967</v>
      </c>
      <c r="B974" s="300">
        <v>811037131</v>
      </c>
      <c r="C974" s="300" t="s">
        <v>1889</v>
      </c>
      <c r="D974" s="300" t="s">
        <v>763</v>
      </c>
      <c r="E974" s="300" t="s">
        <v>776</v>
      </c>
      <c r="F974" s="301" t="s">
        <v>764</v>
      </c>
      <c r="G974" s="302">
        <v>90868391</v>
      </c>
      <c r="H974" s="302">
        <v>326259</v>
      </c>
      <c r="I974" s="302">
        <v>29368272</v>
      </c>
      <c r="J974" s="302">
        <v>24366118</v>
      </c>
      <c r="K974" s="302">
        <v>5002154</v>
      </c>
      <c r="L974" s="302">
        <v>82080797</v>
      </c>
      <c r="M974" s="302">
        <v>327576</v>
      </c>
      <c r="N974" s="302">
        <v>17074364</v>
      </c>
      <c r="O974" s="302">
        <v>12395579</v>
      </c>
      <c r="P974" s="302">
        <v>4678785</v>
      </c>
      <c r="Q974" s="303"/>
    </row>
    <row r="975" spans="1:17" s="304" customFormat="1" x14ac:dyDescent="0.25">
      <c r="A975" s="300">
        <v>968</v>
      </c>
      <c r="B975" s="300">
        <v>900267502</v>
      </c>
      <c r="C975" s="300" t="s">
        <v>1890</v>
      </c>
      <c r="D975" s="300" t="s">
        <v>758</v>
      </c>
      <c r="E975" s="300" t="s">
        <v>759</v>
      </c>
      <c r="F975" s="301" t="s">
        <v>766</v>
      </c>
      <c r="G975" s="302">
        <v>90767404.319999993</v>
      </c>
      <c r="H975" s="302">
        <v>24780.35845</v>
      </c>
      <c r="I975" s="302">
        <v>9429634.7668099999</v>
      </c>
      <c r="J975" s="302">
        <v>8402956.1763599999</v>
      </c>
      <c r="K975" s="302">
        <v>1026678.59045</v>
      </c>
      <c r="L975" s="302">
        <v>71829976.972000003</v>
      </c>
      <c r="M975" s="302">
        <v>14137.099850000001</v>
      </c>
      <c r="N975" s="302">
        <v>8068400.06458</v>
      </c>
      <c r="O975" s="302">
        <v>7356080.9927299991</v>
      </c>
      <c r="P975" s="302">
        <v>712319.07185000007</v>
      </c>
      <c r="Q975" s="303"/>
    </row>
    <row r="976" spans="1:17" s="304" customFormat="1" x14ac:dyDescent="0.25">
      <c r="A976" s="300">
        <v>969</v>
      </c>
      <c r="B976" s="300">
        <v>891900196</v>
      </c>
      <c r="C976" s="300" t="s">
        <v>1891</v>
      </c>
      <c r="D976" s="300" t="s">
        <v>808</v>
      </c>
      <c r="E976" s="300" t="s">
        <v>951</v>
      </c>
      <c r="F976" s="301" t="s">
        <v>779</v>
      </c>
      <c r="G976" s="302">
        <v>90749230</v>
      </c>
      <c r="H976" s="302">
        <v>2862397</v>
      </c>
      <c r="I976" s="302">
        <v>160085509</v>
      </c>
      <c r="J976" s="302">
        <v>44799311</v>
      </c>
      <c r="K976" s="302">
        <v>115286198</v>
      </c>
      <c r="L976" s="302">
        <v>96294912</v>
      </c>
      <c r="M976" s="302">
        <v>3239879</v>
      </c>
      <c r="N976" s="302">
        <v>151837555</v>
      </c>
      <c r="O976" s="302">
        <v>37392096</v>
      </c>
      <c r="P976" s="302">
        <v>114445459</v>
      </c>
      <c r="Q976" s="303"/>
    </row>
    <row r="977" spans="1:17" s="304" customFormat="1" x14ac:dyDescent="0.25">
      <c r="A977" s="300">
        <v>970</v>
      </c>
      <c r="B977" s="300">
        <v>900397839</v>
      </c>
      <c r="C977" s="300" t="s">
        <v>1892</v>
      </c>
      <c r="D977" s="300" t="s">
        <v>758</v>
      </c>
      <c r="E977" s="300" t="s">
        <v>776</v>
      </c>
      <c r="F977" s="301" t="s">
        <v>764</v>
      </c>
      <c r="G977" s="302">
        <v>90592416</v>
      </c>
      <c r="H977" s="302">
        <v>914493</v>
      </c>
      <c r="I977" s="302">
        <v>34430070</v>
      </c>
      <c r="J977" s="302">
        <v>28129501</v>
      </c>
      <c r="K977" s="302">
        <v>6300569</v>
      </c>
      <c r="L977" s="302">
        <v>84004636</v>
      </c>
      <c r="M977" s="302">
        <v>1265799</v>
      </c>
      <c r="N977" s="302">
        <v>30093515</v>
      </c>
      <c r="O977" s="302">
        <v>25891439</v>
      </c>
      <c r="P977" s="302">
        <v>4202076</v>
      </c>
      <c r="Q977" s="303"/>
    </row>
    <row r="978" spans="1:17" s="304" customFormat="1" x14ac:dyDescent="0.25">
      <c r="A978" s="300">
        <v>971</v>
      </c>
      <c r="B978" s="300">
        <v>860513290</v>
      </c>
      <c r="C978" s="300" t="s">
        <v>1893</v>
      </c>
      <c r="D978" s="300" t="s">
        <v>758</v>
      </c>
      <c r="E978" s="300" t="s">
        <v>1078</v>
      </c>
      <c r="F978" s="301" t="s">
        <v>779</v>
      </c>
      <c r="G978" s="302">
        <v>90534495</v>
      </c>
      <c r="H978" s="302">
        <v>1409516</v>
      </c>
      <c r="I978" s="302">
        <v>133787924</v>
      </c>
      <c r="J978" s="302">
        <v>61672536</v>
      </c>
      <c r="K978" s="302">
        <v>72115388</v>
      </c>
      <c r="L978" s="302">
        <v>94660046</v>
      </c>
      <c r="M978" s="302">
        <v>4970808</v>
      </c>
      <c r="N978" s="302">
        <v>121593427</v>
      </c>
      <c r="O978" s="302">
        <v>52354776</v>
      </c>
      <c r="P978" s="302">
        <v>69238651</v>
      </c>
      <c r="Q978" s="303"/>
    </row>
    <row r="979" spans="1:17" s="304" customFormat="1" x14ac:dyDescent="0.25">
      <c r="A979" s="300">
        <v>972</v>
      </c>
      <c r="B979" s="300">
        <v>900226948</v>
      </c>
      <c r="C979" s="300" t="s">
        <v>1894</v>
      </c>
      <c r="D979" s="300" t="s">
        <v>758</v>
      </c>
      <c r="E979" s="300" t="s">
        <v>995</v>
      </c>
      <c r="F979" s="301" t="s">
        <v>779</v>
      </c>
      <c r="G979" s="302">
        <v>90504725</v>
      </c>
      <c r="H979" s="302">
        <v>1752461</v>
      </c>
      <c r="I979" s="302">
        <v>185797831</v>
      </c>
      <c r="J979" s="302">
        <v>101236283</v>
      </c>
      <c r="K979" s="302">
        <v>84561548</v>
      </c>
      <c r="L979" s="302">
        <v>54749150</v>
      </c>
      <c r="M979" s="302">
        <v>1133086</v>
      </c>
      <c r="N979" s="302">
        <v>138312743</v>
      </c>
      <c r="O979" s="302">
        <v>56715913</v>
      </c>
      <c r="P979" s="302">
        <v>81596830</v>
      </c>
      <c r="Q979" s="303"/>
    </row>
    <row r="980" spans="1:17" s="304" customFormat="1" x14ac:dyDescent="0.25">
      <c r="A980" s="300">
        <v>973</v>
      </c>
      <c r="B980" s="300">
        <v>804005914</v>
      </c>
      <c r="C980" s="300" t="s">
        <v>1895</v>
      </c>
      <c r="D980" s="300" t="s">
        <v>891</v>
      </c>
      <c r="E980" s="300" t="s">
        <v>909</v>
      </c>
      <c r="F980" s="301" t="s">
        <v>764</v>
      </c>
      <c r="G980" s="302">
        <v>90428205</v>
      </c>
      <c r="H980" s="302">
        <v>1360514</v>
      </c>
      <c r="I980" s="302">
        <v>51010172</v>
      </c>
      <c r="J980" s="302">
        <v>30330159</v>
      </c>
      <c r="K980" s="302">
        <v>20680013</v>
      </c>
      <c r="L980" s="302">
        <v>72947409</v>
      </c>
      <c r="M980" s="302">
        <v>654366</v>
      </c>
      <c r="N980" s="302">
        <v>35595215</v>
      </c>
      <c r="O980" s="302">
        <v>21578923</v>
      </c>
      <c r="P980" s="302">
        <v>14016292</v>
      </c>
      <c r="Q980" s="303"/>
    </row>
    <row r="981" spans="1:17" s="304" customFormat="1" x14ac:dyDescent="0.25">
      <c r="A981" s="300">
        <v>974</v>
      </c>
      <c r="B981" s="300">
        <v>811021363</v>
      </c>
      <c r="C981" s="300" t="s">
        <v>1896</v>
      </c>
      <c r="D981" s="300" t="s">
        <v>763</v>
      </c>
      <c r="E981" s="300" t="s">
        <v>776</v>
      </c>
      <c r="F981" s="301" t="s">
        <v>764</v>
      </c>
      <c r="G981" s="302">
        <v>90343028</v>
      </c>
      <c r="H981" s="302">
        <v>2125349</v>
      </c>
      <c r="I981" s="302">
        <v>22417031</v>
      </c>
      <c r="J981" s="302">
        <v>8912218</v>
      </c>
      <c r="K981" s="302">
        <v>13504813</v>
      </c>
      <c r="L981" s="302">
        <v>73714856</v>
      </c>
      <c r="M981" s="302">
        <v>1742845</v>
      </c>
      <c r="N981" s="302">
        <v>21692048</v>
      </c>
      <c r="O981" s="302">
        <v>9238820</v>
      </c>
      <c r="P981" s="302">
        <v>12453228</v>
      </c>
      <c r="Q981" s="303"/>
    </row>
    <row r="982" spans="1:17" s="304" customFormat="1" x14ac:dyDescent="0.25">
      <c r="A982" s="300">
        <v>975</v>
      </c>
      <c r="B982" s="300">
        <v>800222937</v>
      </c>
      <c r="C982" s="300" t="s">
        <v>1897</v>
      </c>
      <c r="D982" s="300" t="s">
        <v>891</v>
      </c>
      <c r="E982" s="300" t="s">
        <v>1290</v>
      </c>
      <c r="F982" s="311" t="s">
        <v>877</v>
      </c>
      <c r="G982" s="302">
        <v>90197513</v>
      </c>
      <c r="H982" s="302">
        <v>2820505</v>
      </c>
      <c r="I982" s="302">
        <v>224263705</v>
      </c>
      <c r="J982" s="302">
        <v>177524709</v>
      </c>
      <c r="K982" s="302">
        <v>46738996</v>
      </c>
      <c r="L982" s="302">
        <v>84875589</v>
      </c>
      <c r="M982" s="302">
        <v>2691396</v>
      </c>
      <c r="N982" s="302">
        <v>185963634</v>
      </c>
      <c r="O982" s="302">
        <v>142045143</v>
      </c>
      <c r="P982" s="302">
        <v>43918491</v>
      </c>
      <c r="Q982" s="303"/>
    </row>
    <row r="983" spans="1:17" s="304" customFormat="1" x14ac:dyDescent="0.25">
      <c r="A983" s="300">
        <v>976</v>
      </c>
      <c r="B983" s="300">
        <v>860515812</v>
      </c>
      <c r="C983" s="300" t="s">
        <v>1898</v>
      </c>
      <c r="D983" s="300" t="s">
        <v>758</v>
      </c>
      <c r="E983" s="300" t="s">
        <v>1207</v>
      </c>
      <c r="F983" s="301" t="s">
        <v>779</v>
      </c>
      <c r="G983" s="302">
        <v>90176697</v>
      </c>
      <c r="H983" s="302">
        <v>1896990</v>
      </c>
      <c r="I983" s="302">
        <v>44735158</v>
      </c>
      <c r="J983" s="302">
        <v>31307654</v>
      </c>
      <c r="K983" s="302">
        <v>13427504</v>
      </c>
      <c r="L983" s="302">
        <v>110347994</v>
      </c>
      <c r="M983" s="302">
        <v>2097973</v>
      </c>
      <c r="N983" s="302">
        <v>48968680</v>
      </c>
      <c r="O983" s="302">
        <v>40889637</v>
      </c>
      <c r="P983" s="302">
        <v>8079043</v>
      </c>
      <c r="Q983" s="303"/>
    </row>
    <row r="984" spans="1:17" s="304" customFormat="1" x14ac:dyDescent="0.25">
      <c r="A984" s="300">
        <v>977</v>
      </c>
      <c r="B984" s="300">
        <v>890930534</v>
      </c>
      <c r="C984" s="300" t="s">
        <v>1899</v>
      </c>
      <c r="D984" s="300" t="s">
        <v>763</v>
      </c>
      <c r="E984" s="300" t="s">
        <v>1155</v>
      </c>
      <c r="F984" s="301" t="s">
        <v>779</v>
      </c>
      <c r="G984" s="302">
        <v>90135908</v>
      </c>
      <c r="H984" s="302">
        <v>145461</v>
      </c>
      <c r="I984" s="302">
        <v>99537387</v>
      </c>
      <c r="J984" s="302">
        <v>56907638</v>
      </c>
      <c r="K984" s="302">
        <v>42629749</v>
      </c>
      <c r="L984" s="302">
        <v>77907862</v>
      </c>
      <c r="M984" s="302">
        <v>2573236</v>
      </c>
      <c r="N984" s="302">
        <v>95348249</v>
      </c>
      <c r="O984" s="302">
        <v>53046513</v>
      </c>
      <c r="P984" s="302">
        <v>42301736</v>
      </c>
      <c r="Q984" s="303"/>
    </row>
    <row r="985" spans="1:17" s="304" customFormat="1" x14ac:dyDescent="0.25">
      <c r="A985" s="300">
        <v>978</v>
      </c>
      <c r="B985" s="300">
        <v>800007955</v>
      </c>
      <c r="C985" s="300" t="s">
        <v>1900</v>
      </c>
      <c r="D985" s="300" t="s">
        <v>808</v>
      </c>
      <c r="E985" s="300" t="s">
        <v>1453</v>
      </c>
      <c r="F985" s="301" t="s">
        <v>764</v>
      </c>
      <c r="G985" s="302">
        <v>90135847</v>
      </c>
      <c r="H985" s="302">
        <v>2834997</v>
      </c>
      <c r="I985" s="302">
        <v>42589162</v>
      </c>
      <c r="J985" s="302">
        <v>34289715</v>
      </c>
      <c r="K985" s="302">
        <v>8299447</v>
      </c>
      <c r="L985" s="302">
        <v>85076964</v>
      </c>
      <c r="M985" s="302">
        <v>2674634</v>
      </c>
      <c r="N985" s="302">
        <v>44447563</v>
      </c>
      <c r="O985" s="302">
        <v>33983113</v>
      </c>
      <c r="P985" s="302">
        <v>10464450</v>
      </c>
      <c r="Q985" s="303"/>
    </row>
    <row r="986" spans="1:17" s="304" customFormat="1" x14ac:dyDescent="0.25">
      <c r="A986" s="300">
        <v>979</v>
      </c>
      <c r="B986" s="300">
        <v>830007334</v>
      </c>
      <c r="C986" s="300" t="s">
        <v>1901</v>
      </c>
      <c r="D986" s="300" t="s">
        <v>758</v>
      </c>
      <c r="E986" s="300" t="s">
        <v>880</v>
      </c>
      <c r="F986" s="301" t="s">
        <v>764</v>
      </c>
      <c r="G986" s="302">
        <v>90125311</v>
      </c>
      <c r="H986" s="302">
        <v>1695738</v>
      </c>
      <c r="I986" s="302">
        <v>78426488</v>
      </c>
      <c r="J986" s="302">
        <v>44429845</v>
      </c>
      <c r="K986" s="302">
        <v>33996643</v>
      </c>
      <c r="L986" s="302">
        <v>96449677</v>
      </c>
      <c r="M986" s="302">
        <v>1770105</v>
      </c>
      <c r="N986" s="302">
        <v>74250108</v>
      </c>
      <c r="O986" s="302">
        <v>42898452</v>
      </c>
      <c r="P986" s="302">
        <v>31351656</v>
      </c>
      <c r="Q986" s="303"/>
    </row>
    <row r="987" spans="1:17" s="304" customFormat="1" x14ac:dyDescent="0.25">
      <c r="A987" s="300">
        <v>980</v>
      </c>
      <c r="B987" s="300">
        <v>832005617</v>
      </c>
      <c r="C987" s="300" t="s">
        <v>1902</v>
      </c>
      <c r="D987" s="300" t="s">
        <v>758</v>
      </c>
      <c r="E987" s="300" t="s">
        <v>1903</v>
      </c>
      <c r="F987" s="301" t="s">
        <v>764</v>
      </c>
      <c r="G987" s="302">
        <v>89823565</v>
      </c>
      <c r="H987" s="302">
        <v>5976456</v>
      </c>
      <c r="I987" s="302">
        <v>111627125</v>
      </c>
      <c r="J987" s="302">
        <v>49606846</v>
      </c>
      <c r="K987" s="302">
        <v>62020279</v>
      </c>
      <c r="L987" s="302">
        <v>82155368</v>
      </c>
      <c r="M987" s="302">
        <v>547594</v>
      </c>
      <c r="N987" s="302">
        <v>97223776</v>
      </c>
      <c r="O987" s="302">
        <v>41221686</v>
      </c>
      <c r="P987" s="302">
        <v>56002090</v>
      </c>
      <c r="Q987" s="303"/>
    </row>
    <row r="988" spans="1:17" s="304" customFormat="1" x14ac:dyDescent="0.25">
      <c r="A988" s="300">
        <v>981</v>
      </c>
      <c r="B988" s="300">
        <v>891400088</v>
      </c>
      <c r="C988" s="300" t="s">
        <v>1904</v>
      </c>
      <c r="D988" s="300" t="s">
        <v>763</v>
      </c>
      <c r="E988" s="300" t="s">
        <v>759</v>
      </c>
      <c r="F988" s="301" t="s">
        <v>764</v>
      </c>
      <c r="G988" s="302">
        <v>89786631.798020005</v>
      </c>
      <c r="H988" s="302">
        <v>222044.81437000001</v>
      </c>
      <c r="I988" s="302">
        <v>31364692.898529999</v>
      </c>
      <c r="J988" s="302">
        <v>10131117.758370001</v>
      </c>
      <c r="K988" s="302">
        <v>21233575.140159998</v>
      </c>
      <c r="L988" s="302">
        <v>96507992.005679995</v>
      </c>
      <c r="M988" s="302">
        <v>-993756.60491999995</v>
      </c>
      <c r="N988" s="302">
        <v>36217555.168860003</v>
      </c>
      <c r="O988" s="302">
        <v>16204896.450719999</v>
      </c>
      <c r="P988" s="302">
        <v>20012658.718139999</v>
      </c>
      <c r="Q988" s="303"/>
    </row>
    <row r="989" spans="1:17" s="304" customFormat="1" x14ac:dyDescent="0.25">
      <c r="A989" s="300">
        <v>982</v>
      </c>
      <c r="B989" s="300">
        <v>801004045</v>
      </c>
      <c r="C989" s="300" t="s">
        <v>1905</v>
      </c>
      <c r="D989" s="300" t="s">
        <v>763</v>
      </c>
      <c r="E989" s="300" t="s">
        <v>856</v>
      </c>
      <c r="F989" s="301" t="s">
        <v>958</v>
      </c>
      <c r="G989" s="302">
        <v>89705543</v>
      </c>
      <c r="H989" s="302">
        <v>235467</v>
      </c>
      <c r="I989" s="302">
        <v>33801960</v>
      </c>
      <c r="J989" s="302">
        <v>24566195</v>
      </c>
      <c r="K989" s="302">
        <v>9235765</v>
      </c>
      <c r="L989" s="302">
        <v>81146006</v>
      </c>
      <c r="M989" s="302">
        <v>1128003</v>
      </c>
      <c r="N989" s="302">
        <v>31473649</v>
      </c>
      <c r="O989" s="302">
        <v>27542656</v>
      </c>
      <c r="P989" s="302">
        <v>3930993</v>
      </c>
      <c r="Q989" s="303"/>
    </row>
    <row r="990" spans="1:17" s="304" customFormat="1" x14ac:dyDescent="0.25">
      <c r="A990" s="300">
        <v>983</v>
      </c>
      <c r="B990" s="300">
        <v>890104739</v>
      </c>
      <c r="C990" s="300" t="s">
        <v>1906</v>
      </c>
      <c r="D990" s="300" t="s">
        <v>768</v>
      </c>
      <c r="E990" s="300" t="s">
        <v>1593</v>
      </c>
      <c r="F990" s="301" t="s">
        <v>766</v>
      </c>
      <c r="G990" s="302">
        <v>89171627</v>
      </c>
      <c r="H990" s="302">
        <v>566365</v>
      </c>
      <c r="I990" s="302">
        <v>18796280</v>
      </c>
      <c r="J990" s="302">
        <v>15503713</v>
      </c>
      <c r="K990" s="302">
        <v>3292567</v>
      </c>
      <c r="L990" s="302">
        <v>93420377</v>
      </c>
      <c r="M990" s="302">
        <v>424851</v>
      </c>
      <c r="N990" s="302">
        <v>16966199</v>
      </c>
      <c r="O990" s="302">
        <v>14239997</v>
      </c>
      <c r="P990" s="302">
        <v>2726202</v>
      </c>
      <c r="Q990" s="303"/>
    </row>
    <row r="991" spans="1:17" s="304" customFormat="1" x14ac:dyDescent="0.25">
      <c r="A991" s="300">
        <v>984</v>
      </c>
      <c r="B991" s="300">
        <v>830106557</v>
      </c>
      <c r="C991" s="300" t="s">
        <v>1907</v>
      </c>
      <c r="D991" s="300" t="s">
        <v>758</v>
      </c>
      <c r="E991" s="300" t="s">
        <v>876</v>
      </c>
      <c r="F991" s="311" t="s">
        <v>877</v>
      </c>
      <c r="G991" s="302">
        <v>88823150</v>
      </c>
      <c r="H991" s="302">
        <v>-1381329</v>
      </c>
      <c r="I991" s="302">
        <v>245357232</v>
      </c>
      <c r="J991" s="302">
        <v>230516010</v>
      </c>
      <c r="K991" s="302">
        <v>14841222</v>
      </c>
      <c r="L991" s="302">
        <v>83587250</v>
      </c>
      <c r="M991" s="302">
        <v>2789931</v>
      </c>
      <c r="N991" s="302">
        <v>201984470</v>
      </c>
      <c r="O991" s="302">
        <v>185761919</v>
      </c>
      <c r="P991" s="302">
        <v>16222551</v>
      </c>
      <c r="Q991" s="303"/>
    </row>
    <row r="992" spans="1:17" s="304" customFormat="1" x14ac:dyDescent="0.25">
      <c r="A992" s="300">
        <v>985</v>
      </c>
      <c r="B992" s="300">
        <v>860054073</v>
      </c>
      <c r="C992" s="300" t="s">
        <v>1908</v>
      </c>
      <c r="D992" s="300" t="s">
        <v>758</v>
      </c>
      <c r="E992" s="300" t="s">
        <v>1059</v>
      </c>
      <c r="F992" s="301" t="s">
        <v>764</v>
      </c>
      <c r="G992" s="302">
        <v>88822817</v>
      </c>
      <c r="H992" s="302">
        <v>963712</v>
      </c>
      <c r="I992" s="302">
        <v>59725077</v>
      </c>
      <c r="J992" s="302">
        <v>12909821</v>
      </c>
      <c r="K992" s="302">
        <v>46815256</v>
      </c>
      <c r="L992" s="302">
        <v>75902126</v>
      </c>
      <c r="M992" s="302">
        <v>1297628</v>
      </c>
      <c r="N992" s="302">
        <v>66084438</v>
      </c>
      <c r="O992" s="302">
        <v>20339529</v>
      </c>
      <c r="P992" s="302">
        <v>45744909</v>
      </c>
      <c r="Q992" s="303"/>
    </row>
    <row r="993" spans="1:17" s="304" customFormat="1" x14ac:dyDescent="0.25">
      <c r="A993" s="300">
        <v>986</v>
      </c>
      <c r="B993" s="300">
        <v>801002644</v>
      </c>
      <c r="C993" s="300" t="s">
        <v>1909</v>
      </c>
      <c r="D993" s="300" t="s">
        <v>763</v>
      </c>
      <c r="E993" s="300" t="s">
        <v>949</v>
      </c>
      <c r="F993" s="301" t="s">
        <v>764</v>
      </c>
      <c r="G993" s="302">
        <v>88657595</v>
      </c>
      <c r="H993" s="302">
        <v>6397632</v>
      </c>
      <c r="I993" s="302">
        <v>58607069</v>
      </c>
      <c r="J993" s="302">
        <v>38533612</v>
      </c>
      <c r="K993" s="302">
        <v>20073457</v>
      </c>
      <c r="L993" s="302">
        <v>73886110</v>
      </c>
      <c r="M993" s="302">
        <v>5062423</v>
      </c>
      <c r="N993" s="302">
        <v>44352634</v>
      </c>
      <c r="O993" s="302">
        <v>30632491</v>
      </c>
      <c r="P993" s="302">
        <v>13720143</v>
      </c>
      <c r="Q993" s="303"/>
    </row>
    <row r="994" spans="1:17" s="304" customFormat="1" x14ac:dyDescent="0.25">
      <c r="A994" s="300">
        <v>987</v>
      </c>
      <c r="B994" s="300">
        <v>800251341</v>
      </c>
      <c r="C994" s="300" t="s">
        <v>1910</v>
      </c>
      <c r="D994" s="300" t="s">
        <v>758</v>
      </c>
      <c r="E994" s="300" t="s">
        <v>1838</v>
      </c>
      <c r="F994" s="301" t="s">
        <v>764</v>
      </c>
      <c r="G994" s="302">
        <v>88469256</v>
      </c>
      <c r="H994" s="302">
        <v>8470516</v>
      </c>
      <c r="I994" s="302">
        <v>60187820</v>
      </c>
      <c r="J994" s="302">
        <v>14120875</v>
      </c>
      <c r="K994" s="302">
        <v>46066945</v>
      </c>
      <c r="L994" s="302">
        <v>83564968</v>
      </c>
      <c r="M994" s="302">
        <v>11309377</v>
      </c>
      <c r="N994" s="302">
        <v>54944789</v>
      </c>
      <c r="O994" s="302">
        <v>17354635</v>
      </c>
      <c r="P994" s="302">
        <v>37590154</v>
      </c>
      <c r="Q994" s="303"/>
    </row>
    <row r="995" spans="1:17" s="304" customFormat="1" x14ac:dyDescent="0.25">
      <c r="A995" s="300">
        <v>988</v>
      </c>
      <c r="B995" s="300">
        <v>900311581</v>
      </c>
      <c r="C995" s="300" t="s">
        <v>1911</v>
      </c>
      <c r="D995" s="300" t="s">
        <v>758</v>
      </c>
      <c r="E995" s="300" t="s">
        <v>1245</v>
      </c>
      <c r="F995" s="301" t="s">
        <v>764</v>
      </c>
      <c r="G995" s="302">
        <v>88407729</v>
      </c>
      <c r="H995" s="302">
        <v>34345</v>
      </c>
      <c r="I995" s="302">
        <v>36013612</v>
      </c>
      <c r="J995" s="302">
        <v>31516124</v>
      </c>
      <c r="K995" s="302">
        <v>4497488</v>
      </c>
      <c r="L995" s="302">
        <v>57724709</v>
      </c>
      <c r="M995" s="302">
        <v>977479</v>
      </c>
      <c r="N995" s="302">
        <v>23525503</v>
      </c>
      <c r="O995" s="302">
        <v>19683610</v>
      </c>
      <c r="P995" s="302">
        <v>3841893</v>
      </c>
      <c r="Q995" s="303"/>
    </row>
    <row r="996" spans="1:17" s="304" customFormat="1" x14ac:dyDescent="0.25">
      <c r="A996" s="300">
        <v>989</v>
      </c>
      <c r="B996" s="300">
        <v>891201294</v>
      </c>
      <c r="C996" s="300" t="s">
        <v>1912</v>
      </c>
      <c r="D996" s="300" t="s">
        <v>808</v>
      </c>
      <c r="E996" s="300" t="s">
        <v>759</v>
      </c>
      <c r="F996" s="301" t="s">
        <v>779</v>
      </c>
      <c r="G996" s="302">
        <v>88356462.634110004</v>
      </c>
      <c r="H996" s="302">
        <v>468253.7071</v>
      </c>
      <c r="I996" s="302">
        <v>47518773.33506</v>
      </c>
      <c r="J996" s="302">
        <v>17302910.680539999</v>
      </c>
      <c r="K996" s="302">
        <v>30215862.654520001</v>
      </c>
      <c r="L996" s="302">
        <v>85185842.623050004</v>
      </c>
      <c r="M996" s="302">
        <v>1427176.6112000002</v>
      </c>
      <c r="N996" s="302">
        <v>42512294.57869</v>
      </c>
      <c r="O996" s="302">
        <v>13538012.25007</v>
      </c>
      <c r="P996" s="302">
        <v>28974282.328619998</v>
      </c>
      <c r="Q996" s="303"/>
    </row>
    <row r="997" spans="1:17" s="304" customFormat="1" x14ac:dyDescent="0.25">
      <c r="A997" s="300">
        <v>990</v>
      </c>
      <c r="B997" s="300">
        <v>900234565</v>
      </c>
      <c r="C997" s="300" t="s">
        <v>1913</v>
      </c>
      <c r="D997" s="300" t="s">
        <v>758</v>
      </c>
      <c r="E997" s="300" t="s">
        <v>949</v>
      </c>
      <c r="F997" s="311" t="s">
        <v>877</v>
      </c>
      <c r="G997" s="302">
        <v>88343395</v>
      </c>
      <c r="H997" s="302">
        <v>-7893300</v>
      </c>
      <c r="I997" s="302">
        <v>37537365</v>
      </c>
      <c r="J997" s="302">
        <v>45310747</v>
      </c>
      <c r="K997" s="302">
        <v>-7773382</v>
      </c>
      <c r="L997" s="302">
        <v>71992425</v>
      </c>
      <c r="M997" s="302">
        <v>-1818393</v>
      </c>
      <c r="N997" s="302">
        <v>33275000</v>
      </c>
      <c r="O997" s="302">
        <v>32754906</v>
      </c>
      <c r="P997" s="302">
        <v>520094</v>
      </c>
      <c r="Q997" s="303"/>
    </row>
    <row r="998" spans="1:17" s="304" customFormat="1" x14ac:dyDescent="0.25">
      <c r="A998" s="300">
        <v>991</v>
      </c>
      <c r="B998" s="300">
        <v>860002585</v>
      </c>
      <c r="C998" s="300" t="s">
        <v>1914</v>
      </c>
      <c r="D998" s="300" t="s">
        <v>758</v>
      </c>
      <c r="E998" s="300" t="s">
        <v>1915</v>
      </c>
      <c r="F998" s="311" t="s">
        <v>877</v>
      </c>
      <c r="G998" s="302">
        <v>88011133</v>
      </c>
      <c r="H998" s="302">
        <v>1139022</v>
      </c>
      <c r="I998" s="302">
        <v>96396991</v>
      </c>
      <c r="J998" s="302">
        <v>43508253</v>
      </c>
      <c r="K998" s="302">
        <v>52888738</v>
      </c>
      <c r="L998" s="302">
        <v>73216601</v>
      </c>
      <c r="M998" s="302">
        <v>378015</v>
      </c>
      <c r="N998" s="302">
        <v>81208955</v>
      </c>
      <c r="O998" s="302">
        <v>41419502</v>
      </c>
      <c r="P998" s="302">
        <v>39789453</v>
      </c>
      <c r="Q998" s="303"/>
    </row>
    <row r="999" spans="1:17" s="304" customFormat="1" x14ac:dyDescent="0.25">
      <c r="A999" s="300">
        <v>992</v>
      </c>
      <c r="B999" s="300">
        <v>805027024</v>
      </c>
      <c r="C999" s="300" t="s">
        <v>1916</v>
      </c>
      <c r="D999" s="300" t="s">
        <v>808</v>
      </c>
      <c r="E999" s="300" t="s">
        <v>786</v>
      </c>
      <c r="F999" s="301" t="s">
        <v>764</v>
      </c>
      <c r="G999" s="302">
        <v>87990303</v>
      </c>
      <c r="H999" s="302">
        <v>486784</v>
      </c>
      <c r="I999" s="302">
        <v>18164338</v>
      </c>
      <c r="J999" s="302">
        <v>13777053</v>
      </c>
      <c r="K999" s="302">
        <v>4387285</v>
      </c>
      <c r="L999" s="302">
        <v>92603346</v>
      </c>
      <c r="M999" s="302">
        <v>456189</v>
      </c>
      <c r="N999" s="302">
        <v>19297846</v>
      </c>
      <c r="O999" s="302">
        <v>15397345</v>
      </c>
      <c r="P999" s="302">
        <v>3900501</v>
      </c>
      <c r="Q999" s="303"/>
    </row>
    <row r="1000" spans="1:17" s="304" customFormat="1" x14ac:dyDescent="0.25">
      <c r="A1000" s="300">
        <v>993</v>
      </c>
      <c r="B1000" s="300">
        <v>800021137</v>
      </c>
      <c r="C1000" s="300" t="s">
        <v>1917</v>
      </c>
      <c r="D1000" s="300" t="s">
        <v>763</v>
      </c>
      <c r="E1000" s="300" t="s">
        <v>1918</v>
      </c>
      <c r="F1000" s="301" t="s">
        <v>958</v>
      </c>
      <c r="G1000" s="302">
        <v>87927353</v>
      </c>
      <c r="H1000" s="302">
        <v>245079</v>
      </c>
      <c r="I1000" s="302">
        <v>283680045</v>
      </c>
      <c r="J1000" s="302">
        <v>77087077</v>
      </c>
      <c r="K1000" s="302">
        <v>206592968</v>
      </c>
      <c r="L1000" s="302">
        <v>79667919</v>
      </c>
      <c r="M1000" s="302">
        <v>-3597</v>
      </c>
      <c r="N1000" s="302">
        <v>269337763</v>
      </c>
      <c r="O1000" s="302">
        <v>69499287</v>
      </c>
      <c r="P1000" s="302">
        <v>199838476</v>
      </c>
      <c r="Q1000" s="303"/>
    </row>
    <row r="1001" spans="1:17" s="304" customFormat="1" x14ac:dyDescent="0.25">
      <c r="A1001" s="300">
        <v>994</v>
      </c>
      <c r="B1001" s="300">
        <v>860052989</v>
      </c>
      <c r="C1001" s="300" t="s">
        <v>1919</v>
      </c>
      <c r="D1001" s="300" t="s">
        <v>758</v>
      </c>
      <c r="E1001" s="300" t="s">
        <v>1190</v>
      </c>
      <c r="F1001" s="301" t="s">
        <v>764</v>
      </c>
      <c r="G1001" s="302">
        <v>87872342</v>
      </c>
      <c r="H1001" s="302">
        <v>1420900</v>
      </c>
      <c r="I1001" s="302">
        <v>105810529</v>
      </c>
      <c r="J1001" s="302">
        <v>71784689</v>
      </c>
      <c r="K1001" s="302">
        <v>34025840</v>
      </c>
      <c r="L1001" s="302">
        <v>80168660</v>
      </c>
      <c r="M1001" s="302">
        <v>353497</v>
      </c>
      <c r="N1001" s="302">
        <v>91384229</v>
      </c>
      <c r="O1001" s="302">
        <v>57476956</v>
      </c>
      <c r="P1001" s="302">
        <v>33907273</v>
      </c>
      <c r="Q1001" s="303"/>
    </row>
    <row r="1002" spans="1:17" s="304" customFormat="1" x14ac:dyDescent="0.25">
      <c r="A1002" s="300">
        <v>995</v>
      </c>
      <c r="B1002" s="300">
        <v>830513773</v>
      </c>
      <c r="C1002" s="300" t="s">
        <v>1920</v>
      </c>
      <c r="D1002" s="300" t="s">
        <v>758</v>
      </c>
      <c r="E1002" s="300" t="s">
        <v>1097</v>
      </c>
      <c r="F1002" s="301" t="s">
        <v>766</v>
      </c>
      <c r="G1002" s="302">
        <v>87756831</v>
      </c>
      <c r="H1002" s="302">
        <v>3635538</v>
      </c>
      <c r="I1002" s="302">
        <v>59117354</v>
      </c>
      <c r="J1002" s="302">
        <v>29008643</v>
      </c>
      <c r="K1002" s="302">
        <v>30108711</v>
      </c>
      <c r="L1002" s="302">
        <v>82288607</v>
      </c>
      <c r="M1002" s="302">
        <v>3252691</v>
      </c>
      <c r="N1002" s="302">
        <v>56416018</v>
      </c>
      <c r="O1002" s="302">
        <v>29942845</v>
      </c>
      <c r="P1002" s="302">
        <v>26473173</v>
      </c>
      <c r="Q1002" s="303"/>
    </row>
    <row r="1003" spans="1:17" s="304" customFormat="1" x14ac:dyDescent="0.25">
      <c r="A1003" s="300">
        <v>996</v>
      </c>
      <c r="B1003" s="300">
        <v>800226384</v>
      </c>
      <c r="C1003" s="300" t="s">
        <v>1921</v>
      </c>
      <c r="D1003" s="300" t="s">
        <v>758</v>
      </c>
      <c r="E1003" s="300" t="s">
        <v>863</v>
      </c>
      <c r="F1003" s="301" t="s">
        <v>764</v>
      </c>
      <c r="G1003" s="302">
        <v>87620039</v>
      </c>
      <c r="H1003" s="302">
        <v>10623577</v>
      </c>
      <c r="I1003" s="302">
        <v>42186182</v>
      </c>
      <c r="J1003" s="302">
        <v>29102529</v>
      </c>
      <c r="K1003" s="302">
        <v>13083653</v>
      </c>
      <c r="L1003" s="302">
        <v>88289881</v>
      </c>
      <c r="M1003" s="302">
        <v>12930070</v>
      </c>
      <c r="N1003" s="302">
        <v>39628554</v>
      </c>
      <c r="O1003" s="302">
        <v>24243453</v>
      </c>
      <c r="P1003" s="302">
        <v>15385101</v>
      </c>
      <c r="Q1003" s="303"/>
    </row>
    <row r="1004" spans="1:17" s="304" customFormat="1" x14ac:dyDescent="0.25">
      <c r="A1004" s="300">
        <v>997</v>
      </c>
      <c r="B1004" s="300">
        <v>800080027</v>
      </c>
      <c r="C1004" s="300" t="s">
        <v>1922</v>
      </c>
      <c r="D1004" s="300" t="s">
        <v>763</v>
      </c>
      <c r="E1004" s="300" t="s">
        <v>1923</v>
      </c>
      <c r="F1004" s="301" t="s">
        <v>764</v>
      </c>
      <c r="G1004" s="302">
        <v>87607585</v>
      </c>
      <c r="H1004" s="302">
        <v>-2293379</v>
      </c>
      <c r="I1004" s="302">
        <v>124207653</v>
      </c>
      <c r="J1004" s="302">
        <v>68775113</v>
      </c>
      <c r="K1004" s="302">
        <v>55432540</v>
      </c>
      <c r="L1004" s="302">
        <v>86274712</v>
      </c>
      <c r="M1004" s="302">
        <v>867671</v>
      </c>
      <c r="N1004" s="302">
        <v>113581862</v>
      </c>
      <c r="O1004" s="302">
        <v>58402326</v>
      </c>
      <c r="P1004" s="302">
        <v>55179536</v>
      </c>
      <c r="Q1004" s="303"/>
    </row>
    <row r="1005" spans="1:17" s="304" customFormat="1" x14ac:dyDescent="0.25">
      <c r="A1005" s="300">
        <v>998</v>
      </c>
      <c r="B1005" s="300">
        <v>900038933</v>
      </c>
      <c r="C1005" s="300" t="s">
        <v>1924</v>
      </c>
      <c r="D1005" s="300" t="s">
        <v>758</v>
      </c>
      <c r="E1005" s="300" t="s">
        <v>955</v>
      </c>
      <c r="F1005" s="301" t="s">
        <v>766</v>
      </c>
      <c r="G1005" s="302">
        <v>87597057</v>
      </c>
      <c r="H1005" s="302">
        <v>979478</v>
      </c>
      <c r="I1005" s="302">
        <v>35487169</v>
      </c>
      <c r="J1005" s="302">
        <v>20125134</v>
      </c>
      <c r="K1005" s="302">
        <v>15362035</v>
      </c>
      <c r="L1005" s="302">
        <v>76531165</v>
      </c>
      <c r="M1005" s="302">
        <v>2292860</v>
      </c>
      <c r="N1005" s="302">
        <v>25814521</v>
      </c>
      <c r="O1005" s="302">
        <v>19928120</v>
      </c>
      <c r="P1005" s="302">
        <v>5886401</v>
      </c>
      <c r="Q1005" s="303"/>
    </row>
    <row r="1006" spans="1:17" s="304" customFormat="1" x14ac:dyDescent="0.25">
      <c r="A1006" s="300">
        <v>999</v>
      </c>
      <c r="B1006" s="300">
        <v>800136505</v>
      </c>
      <c r="C1006" s="300" t="s">
        <v>1925</v>
      </c>
      <c r="D1006" s="300" t="s">
        <v>808</v>
      </c>
      <c r="E1006" s="300" t="s">
        <v>909</v>
      </c>
      <c r="F1006" s="301" t="s">
        <v>764</v>
      </c>
      <c r="G1006" s="302">
        <v>87535751</v>
      </c>
      <c r="H1006" s="302">
        <v>1659091</v>
      </c>
      <c r="I1006" s="302">
        <v>77853942</v>
      </c>
      <c r="J1006" s="302">
        <v>43234511</v>
      </c>
      <c r="K1006" s="302">
        <v>34619431</v>
      </c>
      <c r="L1006" s="302">
        <v>73163011</v>
      </c>
      <c r="M1006" s="302">
        <v>989359</v>
      </c>
      <c r="N1006" s="302">
        <v>75482563</v>
      </c>
      <c r="O1006" s="302">
        <v>39798622</v>
      </c>
      <c r="P1006" s="302">
        <v>35683941</v>
      </c>
      <c r="Q1006" s="303"/>
    </row>
    <row r="1007" spans="1:17" s="304" customFormat="1" x14ac:dyDescent="0.25">
      <c r="A1007" s="300">
        <v>1000</v>
      </c>
      <c r="B1007" s="300">
        <v>890305795</v>
      </c>
      <c r="C1007" s="300" t="s">
        <v>1926</v>
      </c>
      <c r="D1007" s="300" t="s">
        <v>758</v>
      </c>
      <c r="E1007" s="300" t="s">
        <v>863</v>
      </c>
      <c r="F1007" s="301" t="s">
        <v>764</v>
      </c>
      <c r="G1007" s="302">
        <v>87380125</v>
      </c>
      <c r="H1007" s="302">
        <v>4910804</v>
      </c>
      <c r="I1007" s="302">
        <v>65124470</v>
      </c>
      <c r="J1007" s="302">
        <v>21719681</v>
      </c>
      <c r="K1007" s="302">
        <v>43404789</v>
      </c>
      <c r="L1007" s="302">
        <v>93148693</v>
      </c>
      <c r="M1007" s="302">
        <v>427275</v>
      </c>
      <c r="N1007" s="302">
        <v>59915260</v>
      </c>
      <c r="O1007" s="302">
        <v>21579875</v>
      </c>
      <c r="P1007" s="302">
        <v>38335385</v>
      </c>
      <c r="Q1007" s="303"/>
    </row>
    <row r="1008" spans="1:17" s="304" customFormat="1" x14ac:dyDescent="0.25">
      <c r="A1008" s="300"/>
      <c r="B1008" s="300">
        <v>900310249</v>
      </c>
      <c r="C1008" s="300" t="s">
        <v>1927</v>
      </c>
      <c r="D1008" s="300" t="s">
        <v>758</v>
      </c>
      <c r="E1008" s="300" t="s">
        <v>759</v>
      </c>
      <c r="F1008" s="318" t="s">
        <v>760</v>
      </c>
      <c r="G1008" s="319">
        <v>8647136785.1000004</v>
      </c>
      <c r="H1008" s="319">
        <v>786726537.29999995</v>
      </c>
      <c r="I1008" s="319">
        <v>21599533080.400002</v>
      </c>
      <c r="J1008" s="319">
        <v>13454951768.01</v>
      </c>
      <c r="K1008" s="319">
        <v>8144581312.3900003</v>
      </c>
      <c r="L1008" s="319">
        <v>6983986000</v>
      </c>
      <c r="M1008" s="319">
        <v>948746000</v>
      </c>
      <c r="N1008" s="319">
        <v>12531467000</v>
      </c>
      <c r="O1008" s="319">
        <v>5505232000</v>
      </c>
      <c r="P1008" s="319">
        <v>7026235000</v>
      </c>
    </row>
    <row r="1009" spans="1:7" s="153" customFormat="1" x14ac:dyDescent="0.25">
      <c r="F1009" s="293"/>
      <c r="G1009" s="320"/>
    </row>
    <row r="1010" spans="1:7" s="153" customFormat="1" x14ac:dyDescent="0.25">
      <c r="A1010" s="153" t="s">
        <v>1928</v>
      </c>
      <c r="F1010" s="293"/>
    </row>
    <row r="1011" spans="1:7" s="153" customFormat="1" x14ac:dyDescent="0.25">
      <c r="A1011" s="153" t="s">
        <v>1929</v>
      </c>
      <c r="F1011" s="293"/>
    </row>
    <row r="1012" spans="1:7" s="153" customFormat="1" x14ac:dyDescent="0.25">
      <c r="F1012" s="293"/>
    </row>
    <row r="1013" spans="1:7" s="153" customFormat="1" x14ac:dyDescent="0.25">
      <c r="F1013" s="293"/>
    </row>
    <row r="1014" spans="1:7" s="153" customFormat="1" x14ac:dyDescent="0.25">
      <c r="F1014" s="293"/>
    </row>
    <row r="1015" spans="1:7" s="153" customFormat="1" x14ac:dyDescent="0.25">
      <c r="A1015"/>
      <c r="B1015"/>
      <c r="C1015"/>
      <c r="D1015"/>
      <c r="E1015"/>
      <c r="F1015" s="123"/>
      <c r="G1015"/>
    </row>
    <row r="1016" spans="1:7" s="153" customFormat="1" x14ac:dyDescent="0.25">
      <c r="A1016"/>
      <c r="B1016"/>
      <c r="C1016"/>
      <c r="D1016"/>
      <c r="E1016"/>
      <c r="F1016" s="123"/>
      <c r="G1016"/>
    </row>
    <row r="1017" spans="1:7" s="153" customFormat="1" x14ac:dyDescent="0.25">
      <c r="A1017"/>
      <c r="B1017"/>
      <c r="C1017"/>
      <c r="D1017"/>
      <c r="E1017"/>
      <c r="F1017" s="123"/>
      <c r="G1017"/>
    </row>
    <row r="1018" spans="1:7" s="153" customFormat="1" x14ac:dyDescent="0.25">
      <c r="A1018"/>
      <c r="B1018"/>
      <c r="C1018"/>
      <c r="D1018"/>
      <c r="E1018"/>
      <c r="F1018" s="123"/>
      <c r="G1018"/>
    </row>
    <row r="1019" spans="1:7" s="153" customFormat="1" x14ac:dyDescent="0.25">
      <c r="A1019"/>
      <c r="B1019"/>
      <c r="C1019"/>
      <c r="D1019"/>
      <c r="E1019"/>
      <c r="F1019" s="123"/>
      <c r="G1019"/>
    </row>
    <row r="1020" spans="1:7" s="153" customFormat="1" x14ac:dyDescent="0.25">
      <c r="A1020"/>
      <c r="B1020"/>
      <c r="C1020"/>
      <c r="D1020"/>
      <c r="E1020"/>
      <c r="F1020" s="123"/>
      <c r="G1020"/>
    </row>
    <row r="1021" spans="1:7" s="153" customFormat="1" x14ac:dyDescent="0.25">
      <c r="A1021"/>
      <c r="B1021"/>
      <c r="C1021"/>
      <c r="D1021"/>
      <c r="E1021"/>
      <c r="F1021" s="123"/>
      <c r="G1021"/>
    </row>
    <row r="1022" spans="1:7" s="153" customFormat="1" x14ac:dyDescent="0.25">
      <c r="A1022"/>
      <c r="B1022"/>
      <c r="C1022"/>
      <c r="D1022"/>
      <c r="E1022"/>
      <c r="F1022" s="123"/>
      <c r="G1022"/>
    </row>
    <row r="1023" spans="1:7" s="153" customFormat="1" x14ac:dyDescent="0.25">
      <c r="A1023"/>
      <c r="B1023"/>
      <c r="C1023"/>
      <c r="D1023"/>
      <c r="E1023"/>
      <c r="F1023" s="123"/>
      <c r="G1023"/>
    </row>
    <row r="1024" spans="1:7" s="153" customFormat="1" x14ac:dyDescent="0.25">
      <c r="A1024"/>
      <c r="B1024"/>
      <c r="C1024"/>
      <c r="D1024"/>
      <c r="E1024"/>
      <c r="F1024" s="123"/>
      <c r="G1024"/>
    </row>
    <row r="1025" spans="6:6" s="153" customFormat="1" x14ac:dyDescent="0.25">
      <c r="F1025" s="293"/>
    </row>
    <row r="1026" spans="6:6" s="153" customFormat="1" x14ac:dyDescent="0.25">
      <c r="F1026" s="293"/>
    </row>
    <row r="1027" spans="6:6" s="153" customFormat="1" x14ac:dyDescent="0.25">
      <c r="F1027" s="293"/>
    </row>
    <row r="1028" spans="6:6" s="153" customFormat="1" x14ac:dyDescent="0.25">
      <c r="F1028" s="293"/>
    </row>
    <row r="1029" spans="6:6" s="153" customFormat="1" x14ac:dyDescent="0.25">
      <c r="F1029" s="293"/>
    </row>
    <row r="1030" spans="6:6" s="153" customFormat="1" x14ac:dyDescent="0.25">
      <c r="F1030" s="293"/>
    </row>
    <row r="1031" spans="6:6" s="153" customFormat="1" x14ac:dyDescent="0.25">
      <c r="F1031" s="293"/>
    </row>
  </sheetData>
  <autoFilter ref="A7:U1008"/>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68"/>
  <sheetViews>
    <sheetView topLeftCell="A12" workbookViewId="0">
      <selection activeCell="A3" sqref="A3:L67"/>
    </sheetView>
  </sheetViews>
  <sheetFormatPr baseColWidth="10" defaultRowHeight="12.75" x14ac:dyDescent="0.2"/>
  <cols>
    <col min="1" max="1" width="11.42578125" style="323"/>
    <col min="2" max="2" width="11" style="328" bestFit="1" customWidth="1"/>
    <col min="3" max="3" width="0" style="323" hidden="1" customWidth="1"/>
    <col min="4" max="4" width="50" style="323" customWidth="1"/>
    <col min="5" max="5" width="19.7109375" style="323" hidden="1" customWidth="1"/>
    <col min="6" max="6" width="0" style="323" hidden="1" customWidth="1"/>
    <col min="7" max="7" width="18.5703125" style="323" hidden="1" customWidth="1"/>
    <col min="8" max="8" width="19" style="323" bestFit="1" customWidth="1"/>
    <col min="9" max="9" width="11.42578125" style="323" bestFit="1" customWidth="1"/>
    <col min="10" max="10" width="14.5703125" style="323" bestFit="1" customWidth="1"/>
    <col min="11" max="11" width="11.7109375" style="323" bestFit="1" customWidth="1"/>
    <col min="12" max="12" width="15.85546875" style="323" bestFit="1" customWidth="1"/>
    <col min="13" max="13" width="14.42578125" style="323" bestFit="1" customWidth="1"/>
    <col min="14" max="14" width="15" style="323" bestFit="1" customWidth="1"/>
    <col min="15" max="15" width="15.85546875" style="323" bestFit="1" customWidth="1"/>
    <col min="16" max="16" width="14.42578125" style="323" bestFit="1" customWidth="1"/>
    <col min="17" max="17" width="15" style="323" bestFit="1" customWidth="1"/>
    <col min="18" max="16384" width="11.42578125" style="323"/>
  </cols>
  <sheetData>
    <row r="3" spans="1:17" ht="38.25" x14ac:dyDescent="0.2">
      <c r="A3" s="321" t="s">
        <v>1930</v>
      </c>
      <c r="B3" s="321" t="s">
        <v>1931</v>
      </c>
      <c r="C3" s="321" t="s">
        <v>742</v>
      </c>
      <c r="D3" s="321" t="s">
        <v>743</v>
      </c>
      <c r="E3" s="321" t="s">
        <v>744</v>
      </c>
      <c r="F3" s="321" t="s">
        <v>745</v>
      </c>
      <c r="G3" s="321" t="s">
        <v>746</v>
      </c>
      <c r="H3" s="321" t="s">
        <v>1932</v>
      </c>
      <c r="I3" s="321" t="s">
        <v>1933</v>
      </c>
      <c r="J3" s="321" t="s">
        <v>1934</v>
      </c>
      <c r="K3" s="321" t="s">
        <v>1935</v>
      </c>
      <c r="L3" s="321" t="s">
        <v>1936</v>
      </c>
      <c r="M3" s="322" t="s">
        <v>1937</v>
      </c>
      <c r="N3" s="322" t="s">
        <v>1938</v>
      </c>
      <c r="O3" s="322" t="s">
        <v>1939</v>
      </c>
      <c r="P3" s="322" t="s">
        <v>1940</v>
      </c>
      <c r="Q3" s="322" t="s">
        <v>1941</v>
      </c>
    </row>
    <row r="4" spans="1:17" x14ac:dyDescent="0.2">
      <c r="A4" s="32">
        <v>84</v>
      </c>
      <c r="B4" s="32">
        <v>1</v>
      </c>
      <c r="C4" s="32">
        <v>900190385</v>
      </c>
      <c r="D4" s="32" t="s">
        <v>875</v>
      </c>
      <c r="E4" s="32" t="s">
        <v>768</v>
      </c>
      <c r="F4" s="32" t="s">
        <v>876</v>
      </c>
      <c r="G4" s="32" t="s">
        <v>877</v>
      </c>
      <c r="H4" s="324">
        <v>1030747892</v>
      </c>
      <c r="I4" s="324">
        <v>7410386</v>
      </c>
      <c r="J4" s="324">
        <v>630648560</v>
      </c>
      <c r="K4" s="324">
        <v>622893280</v>
      </c>
      <c r="L4" s="324">
        <v>7755280</v>
      </c>
      <c r="M4" s="324">
        <v>597302446</v>
      </c>
      <c r="N4" s="324">
        <v>6955356</v>
      </c>
      <c r="O4" s="324">
        <v>514525293</v>
      </c>
      <c r="P4" s="324">
        <v>507225043</v>
      </c>
      <c r="Q4" s="324">
        <v>7300250</v>
      </c>
    </row>
    <row r="5" spans="1:17" x14ac:dyDescent="0.2">
      <c r="A5" s="32">
        <v>118</v>
      </c>
      <c r="B5" s="32">
        <v>2</v>
      </c>
      <c r="C5" s="32">
        <v>890318278</v>
      </c>
      <c r="D5" s="32" t="s">
        <v>921</v>
      </c>
      <c r="E5" s="32" t="s">
        <v>808</v>
      </c>
      <c r="F5" s="32" t="s">
        <v>876</v>
      </c>
      <c r="G5" s="32" t="s">
        <v>877</v>
      </c>
      <c r="H5" s="324">
        <v>809804698</v>
      </c>
      <c r="I5" s="324">
        <v>4086154</v>
      </c>
      <c r="J5" s="324">
        <v>1197377065</v>
      </c>
      <c r="K5" s="324">
        <v>630607534</v>
      </c>
      <c r="L5" s="324">
        <v>566769531</v>
      </c>
      <c r="M5" s="324">
        <v>725421484</v>
      </c>
      <c r="N5" s="324">
        <v>29521822</v>
      </c>
      <c r="O5" s="324">
        <v>1062654723</v>
      </c>
      <c r="P5" s="324">
        <v>499548448</v>
      </c>
      <c r="Q5" s="324">
        <v>563106275</v>
      </c>
    </row>
    <row r="6" spans="1:17" ht="25.5" x14ac:dyDescent="0.2">
      <c r="A6" s="32">
        <v>163</v>
      </c>
      <c r="B6" s="32">
        <v>3</v>
      </c>
      <c r="C6" s="32">
        <v>890901110</v>
      </c>
      <c r="D6" s="32" t="s">
        <v>979</v>
      </c>
      <c r="E6" s="32" t="s">
        <v>763</v>
      </c>
      <c r="F6" s="32" t="s">
        <v>759</v>
      </c>
      <c r="G6" s="32" t="s">
        <v>877</v>
      </c>
      <c r="H6" s="324">
        <v>616595360</v>
      </c>
      <c r="I6" s="324">
        <v>60610080</v>
      </c>
      <c r="J6" s="324">
        <v>1546108190</v>
      </c>
      <c r="K6" s="324">
        <v>540121400</v>
      </c>
      <c r="L6" s="324">
        <v>1005986790</v>
      </c>
      <c r="M6" s="324">
        <v>597378548</v>
      </c>
      <c r="N6" s="324">
        <v>50362166</v>
      </c>
      <c r="O6" s="324">
        <v>1341195425</v>
      </c>
      <c r="P6" s="324">
        <v>427206853</v>
      </c>
      <c r="Q6" s="324">
        <v>913988574</v>
      </c>
    </row>
    <row r="7" spans="1:17" s="325" customFormat="1" x14ac:dyDescent="0.2">
      <c r="A7" s="32">
        <v>185</v>
      </c>
      <c r="B7" s="32">
        <v>4</v>
      </c>
      <c r="C7" s="32">
        <v>832006599</v>
      </c>
      <c r="D7" s="32" t="s">
        <v>1007</v>
      </c>
      <c r="E7" s="32" t="s">
        <v>758</v>
      </c>
      <c r="F7" s="32" t="s">
        <v>876</v>
      </c>
      <c r="G7" s="32" t="s">
        <v>877</v>
      </c>
      <c r="H7" s="324">
        <v>544333164</v>
      </c>
      <c r="I7" s="324">
        <v>71276915</v>
      </c>
      <c r="J7" s="324">
        <v>1293992515</v>
      </c>
      <c r="K7" s="324">
        <v>458536312</v>
      </c>
      <c r="L7" s="324">
        <v>835456203</v>
      </c>
      <c r="M7" s="324">
        <v>476830706</v>
      </c>
      <c r="N7" s="324">
        <v>61513883</v>
      </c>
      <c r="O7" s="324">
        <v>1111070925</v>
      </c>
      <c r="P7" s="324">
        <v>378747419</v>
      </c>
      <c r="Q7" s="324">
        <v>732323506</v>
      </c>
    </row>
    <row r="8" spans="1:17" x14ac:dyDescent="0.2">
      <c r="A8" s="32">
        <v>249</v>
      </c>
      <c r="B8" s="32">
        <v>5</v>
      </c>
      <c r="C8" s="32">
        <v>900390238</v>
      </c>
      <c r="D8" s="32" t="s">
        <v>1093</v>
      </c>
      <c r="E8" s="32" t="s">
        <v>758</v>
      </c>
      <c r="F8" s="32" t="s">
        <v>876</v>
      </c>
      <c r="G8" s="32" t="s">
        <v>877</v>
      </c>
      <c r="H8" s="324">
        <v>396541978</v>
      </c>
      <c r="I8" s="324">
        <v>75669005</v>
      </c>
      <c r="J8" s="324">
        <v>78027645</v>
      </c>
      <c r="K8" s="324">
        <v>39366770</v>
      </c>
      <c r="L8" s="324">
        <v>38660875</v>
      </c>
      <c r="M8" s="324">
        <v>303458792</v>
      </c>
      <c r="N8" s="324">
        <v>55256510</v>
      </c>
      <c r="O8" s="324">
        <v>63513268</v>
      </c>
      <c r="P8" s="324">
        <v>35108496</v>
      </c>
      <c r="Q8" s="324">
        <v>28404772</v>
      </c>
    </row>
    <row r="9" spans="1:17" x14ac:dyDescent="0.2">
      <c r="A9" s="32">
        <v>261</v>
      </c>
      <c r="B9" s="32">
        <v>6</v>
      </c>
      <c r="C9" s="32">
        <v>900329889</v>
      </c>
      <c r="D9" s="32" t="s">
        <v>1110</v>
      </c>
      <c r="E9" s="32" t="s">
        <v>758</v>
      </c>
      <c r="F9" s="32" t="s">
        <v>876</v>
      </c>
      <c r="G9" s="32" t="s">
        <v>877</v>
      </c>
      <c r="H9" s="324">
        <v>378054805</v>
      </c>
      <c r="I9" s="324">
        <v>-1929091</v>
      </c>
      <c r="J9" s="324">
        <v>241543401</v>
      </c>
      <c r="K9" s="324">
        <v>245478392</v>
      </c>
      <c r="L9" s="324">
        <v>-3934991</v>
      </c>
      <c r="M9" s="324">
        <v>280534985</v>
      </c>
      <c r="N9" s="324">
        <v>-156400497</v>
      </c>
      <c r="O9" s="324">
        <v>267256003</v>
      </c>
      <c r="P9" s="324">
        <v>420308188</v>
      </c>
      <c r="Q9" s="324">
        <v>-153052185</v>
      </c>
    </row>
    <row r="10" spans="1:17" x14ac:dyDescent="0.2">
      <c r="A10" s="32">
        <v>276</v>
      </c>
      <c r="B10" s="32">
        <v>7</v>
      </c>
      <c r="C10" s="32">
        <v>900412461</v>
      </c>
      <c r="D10" s="32" t="s">
        <v>1126</v>
      </c>
      <c r="E10" s="32" t="s">
        <v>758</v>
      </c>
      <c r="F10" s="32" t="s">
        <v>876</v>
      </c>
      <c r="G10" s="32" t="s">
        <v>877</v>
      </c>
      <c r="H10" s="324">
        <v>355843522</v>
      </c>
      <c r="I10" s="324">
        <v>15515708</v>
      </c>
      <c r="J10" s="324">
        <v>108022208</v>
      </c>
      <c r="K10" s="324">
        <v>58003474</v>
      </c>
      <c r="L10" s="324">
        <v>50018734</v>
      </c>
      <c r="M10" s="324">
        <v>697566937</v>
      </c>
      <c r="N10" s="324">
        <v>24558848</v>
      </c>
      <c r="O10" s="324">
        <v>194757662</v>
      </c>
      <c r="P10" s="324">
        <v>135425259</v>
      </c>
      <c r="Q10" s="324">
        <v>59332403</v>
      </c>
    </row>
    <row r="11" spans="1:17" ht="25.5" x14ac:dyDescent="0.2">
      <c r="A11" s="32">
        <v>279</v>
      </c>
      <c r="B11" s="32">
        <v>8</v>
      </c>
      <c r="C11" s="32">
        <v>860037232</v>
      </c>
      <c r="D11" s="32" t="s">
        <v>1129</v>
      </c>
      <c r="E11" s="32" t="s">
        <v>758</v>
      </c>
      <c r="F11" s="32" t="s">
        <v>876</v>
      </c>
      <c r="G11" s="32" t="s">
        <v>877</v>
      </c>
      <c r="H11" s="324">
        <v>354468481</v>
      </c>
      <c r="I11" s="324">
        <v>7712949</v>
      </c>
      <c r="J11" s="324">
        <v>217932766</v>
      </c>
      <c r="K11" s="324">
        <v>152126473</v>
      </c>
      <c r="L11" s="324">
        <v>65806293</v>
      </c>
      <c r="M11" s="324">
        <v>357493941</v>
      </c>
      <c r="N11" s="324">
        <v>6930817</v>
      </c>
      <c r="O11" s="324">
        <v>190628044</v>
      </c>
      <c r="P11" s="324">
        <v>132407430</v>
      </c>
      <c r="Q11" s="324">
        <v>58220614</v>
      </c>
    </row>
    <row r="12" spans="1:17" x14ac:dyDescent="0.2">
      <c r="A12" s="32">
        <v>287</v>
      </c>
      <c r="B12" s="32">
        <v>9</v>
      </c>
      <c r="C12" s="32">
        <v>890904815</v>
      </c>
      <c r="D12" s="32" t="s">
        <v>1138</v>
      </c>
      <c r="E12" s="32" t="s">
        <v>763</v>
      </c>
      <c r="F12" s="32" t="s">
        <v>876</v>
      </c>
      <c r="G12" s="32" t="s">
        <v>877</v>
      </c>
      <c r="H12" s="324">
        <v>346278268</v>
      </c>
      <c r="I12" s="324">
        <v>1543411</v>
      </c>
      <c r="J12" s="324">
        <v>278709576</v>
      </c>
      <c r="K12" s="324">
        <v>172177728</v>
      </c>
      <c r="L12" s="324">
        <v>106531848</v>
      </c>
      <c r="M12" s="324">
        <v>413601769</v>
      </c>
      <c r="N12" s="324">
        <v>970082</v>
      </c>
      <c r="O12" s="324">
        <v>289333736</v>
      </c>
      <c r="P12" s="324">
        <v>186809095</v>
      </c>
      <c r="Q12" s="324">
        <v>102524641</v>
      </c>
    </row>
    <row r="13" spans="1:17" x14ac:dyDescent="0.2">
      <c r="A13" s="32">
        <v>295</v>
      </c>
      <c r="B13" s="32">
        <v>10</v>
      </c>
      <c r="C13" s="32">
        <v>844000670</v>
      </c>
      <c r="D13" s="32" t="s">
        <v>1148</v>
      </c>
      <c r="E13" s="32" t="s">
        <v>1149</v>
      </c>
      <c r="F13" s="32" t="s">
        <v>876</v>
      </c>
      <c r="G13" s="32" t="s">
        <v>877</v>
      </c>
      <c r="H13" s="324">
        <v>338556074</v>
      </c>
      <c r="I13" s="324">
        <v>29205968</v>
      </c>
      <c r="J13" s="324">
        <v>255517272</v>
      </c>
      <c r="K13" s="324">
        <v>144414769</v>
      </c>
      <c r="L13" s="324">
        <v>111102503</v>
      </c>
      <c r="M13" s="324">
        <v>261305524</v>
      </c>
      <c r="N13" s="324">
        <v>2355585</v>
      </c>
      <c r="O13" s="324">
        <v>224472230</v>
      </c>
      <c r="P13" s="324">
        <v>133821411</v>
      </c>
      <c r="Q13" s="324">
        <v>90650819</v>
      </c>
    </row>
    <row r="14" spans="1:17" s="327" customFormat="1" ht="25.5" x14ac:dyDescent="0.2">
      <c r="A14" s="321">
        <v>319</v>
      </c>
      <c r="B14" s="321">
        <v>11</v>
      </c>
      <c r="C14" s="321">
        <v>890922447</v>
      </c>
      <c r="D14" s="321" t="s">
        <v>1179</v>
      </c>
      <c r="E14" s="321" t="s">
        <v>763</v>
      </c>
      <c r="F14" s="321" t="s">
        <v>759</v>
      </c>
      <c r="G14" s="321" t="s">
        <v>877</v>
      </c>
      <c r="H14" s="326">
        <v>306866993</v>
      </c>
      <c r="I14" s="326">
        <v>55803762</v>
      </c>
      <c r="J14" s="326">
        <v>856808995</v>
      </c>
      <c r="K14" s="326">
        <v>204438952</v>
      </c>
      <c r="L14" s="326">
        <v>652370043</v>
      </c>
      <c r="M14" s="326">
        <v>264981218</v>
      </c>
      <c r="N14" s="326">
        <v>31750875</v>
      </c>
      <c r="O14" s="326">
        <v>809041672</v>
      </c>
      <c r="P14" s="326">
        <v>188266253</v>
      </c>
      <c r="Q14" s="326">
        <v>620775422</v>
      </c>
    </row>
    <row r="15" spans="1:17" x14ac:dyDescent="0.2">
      <c r="A15" s="32">
        <v>320</v>
      </c>
      <c r="B15" s="32">
        <v>12</v>
      </c>
      <c r="C15" s="32">
        <v>890930545</v>
      </c>
      <c r="D15" s="32" t="s">
        <v>1180</v>
      </c>
      <c r="E15" s="32" t="s">
        <v>758</v>
      </c>
      <c r="F15" s="32" t="s">
        <v>876</v>
      </c>
      <c r="G15" s="32" t="s">
        <v>877</v>
      </c>
      <c r="H15" s="324">
        <v>306557376</v>
      </c>
      <c r="I15" s="324">
        <v>97284544</v>
      </c>
      <c r="J15" s="324">
        <v>682859272</v>
      </c>
      <c r="K15" s="324">
        <v>160589824</v>
      </c>
      <c r="L15" s="324">
        <v>522269448</v>
      </c>
      <c r="M15" s="324">
        <v>272960897</v>
      </c>
      <c r="N15" s="324">
        <v>51243240</v>
      </c>
      <c r="O15" s="324">
        <v>636649439</v>
      </c>
      <c r="P15" s="324">
        <v>153024503</v>
      </c>
      <c r="Q15" s="324">
        <v>483624936</v>
      </c>
    </row>
    <row r="16" spans="1:17" x14ac:dyDescent="0.2">
      <c r="A16" s="32">
        <v>337</v>
      </c>
      <c r="B16" s="32">
        <v>13</v>
      </c>
      <c r="C16" s="32">
        <v>800182330</v>
      </c>
      <c r="D16" s="32" t="s">
        <v>1199</v>
      </c>
      <c r="E16" s="32" t="s">
        <v>768</v>
      </c>
      <c r="F16" s="32" t="s">
        <v>876</v>
      </c>
      <c r="G16" s="32" t="s">
        <v>877</v>
      </c>
      <c r="H16" s="324">
        <v>294662429</v>
      </c>
      <c r="I16" s="324">
        <v>20681207</v>
      </c>
      <c r="J16" s="324">
        <v>590537449</v>
      </c>
      <c r="K16" s="324">
        <v>374309590</v>
      </c>
      <c r="L16" s="324">
        <v>216227859</v>
      </c>
      <c r="M16" s="324">
        <v>205440453</v>
      </c>
      <c r="N16" s="324">
        <v>7698159</v>
      </c>
      <c r="O16" s="324">
        <v>481145606</v>
      </c>
      <c r="P16" s="324">
        <v>260582896</v>
      </c>
      <c r="Q16" s="324">
        <v>220562710</v>
      </c>
    </row>
    <row r="17" spans="1:17" s="325" customFormat="1" x14ac:dyDescent="0.2">
      <c r="A17" s="32">
        <v>349</v>
      </c>
      <c r="B17" s="32">
        <v>14</v>
      </c>
      <c r="C17" s="32">
        <v>800155291</v>
      </c>
      <c r="D17" s="32" t="s">
        <v>1213</v>
      </c>
      <c r="E17" s="32" t="s">
        <v>758</v>
      </c>
      <c r="F17" s="32" t="s">
        <v>876</v>
      </c>
      <c r="G17" s="32" t="s">
        <v>877</v>
      </c>
      <c r="H17" s="324">
        <v>284070833</v>
      </c>
      <c r="I17" s="324">
        <v>16252302</v>
      </c>
      <c r="J17" s="324">
        <v>302704346</v>
      </c>
      <c r="K17" s="324">
        <v>199051164</v>
      </c>
      <c r="L17" s="324">
        <v>103653182</v>
      </c>
      <c r="M17" s="324">
        <v>371306695</v>
      </c>
      <c r="N17" s="324">
        <v>10998954</v>
      </c>
      <c r="O17" s="324">
        <v>308001891</v>
      </c>
      <c r="P17" s="324">
        <v>219509408</v>
      </c>
      <c r="Q17" s="324">
        <v>88492483</v>
      </c>
    </row>
    <row r="18" spans="1:17" x14ac:dyDescent="0.2">
      <c r="A18" s="32">
        <v>359</v>
      </c>
      <c r="B18" s="32">
        <v>15</v>
      </c>
      <c r="C18" s="32">
        <v>890312765</v>
      </c>
      <c r="D18" s="32" t="s">
        <v>1224</v>
      </c>
      <c r="E18" s="32" t="s">
        <v>808</v>
      </c>
      <c r="F18" s="32" t="s">
        <v>876</v>
      </c>
      <c r="G18" s="32" t="s">
        <v>877</v>
      </c>
      <c r="H18" s="324">
        <v>277609471</v>
      </c>
      <c r="I18" s="324">
        <v>13367307</v>
      </c>
      <c r="J18" s="324">
        <v>233904915</v>
      </c>
      <c r="K18" s="324">
        <v>115695200</v>
      </c>
      <c r="L18" s="324">
        <v>118209715</v>
      </c>
      <c r="M18" s="324">
        <v>278562899</v>
      </c>
      <c r="N18" s="324">
        <v>34832773</v>
      </c>
      <c r="O18" s="324">
        <v>237987495</v>
      </c>
      <c r="P18" s="324">
        <v>127566377</v>
      </c>
      <c r="Q18" s="324">
        <v>110421118</v>
      </c>
    </row>
    <row r="19" spans="1:17" x14ac:dyDescent="0.2">
      <c r="A19" s="32">
        <v>367</v>
      </c>
      <c r="B19" s="32">
        <v>16</v>
      </c>
      <c r="C19" s="32">
        <v>890903035</v>
      </c>
      <c r="D19" s="32" t="s">
        <v>1232</v>
      </c>
      <c r="E19" s="32" t="s">
        <v>758</v>
      </c>
      <c r="F19" s="32" t="s">
        <v>876</v>
      </c>
      <c r="G19" s="32" t="s">
        <v>877</v>
      </c>
      <c r="H19" s="324">
        <v>270286917</v>
      </c>
      <c r="I19" s="324">
        <v>22310708</v>
      </c>
      <c r="J19" s="324">
        <v>426679078</v>
      </c>
      <c r="K19" s="324">
        <v>156615539</v>
      </c>
      <c r="L19" s="324">
        <v>270063539</v>
      </c>
      <c r="M19" s="324">
        <v>304894305</v>
      </c>
      <c r="N19" s="324">
        <v>10415449</v>
      </c>
      <c r="O19" s="324">
        <v>385823063</v>
      </c>
      <c r="P19" s="324">
        <v>137639493</v>
      </c>
      <c r="Q19" s="324">
        <v>248183570</v>
      </c>
    </row>
    <row r="20" spans="1:17" s="325" customFormat="1" x14ac:dyDescent="0.2">
      <c r="A20" s="32">
        <v>410</v>
      </c>
      <c r="B20" s="32">
        <v>17</v>
      </c>
      <c r="C20" s="32">
        <v>800233881</v>
      </c>
      <c r="D20" s="32" t="s">
        <v>1281</v>
      </c>
      <c r="E20" s="32" t="s">
        <v>763</v>
      </c>
      <c r="F20" s="32" t="s">
        <v>876</v>
      </c>
      <c r="G20" s="32" t="s">
        <v>877</v>
      </c>
      <c r="H20" s="324">
        <v>244921084</v>
      </c>
      <c r="I20" s="324">
        <v>17390165</v>
      </c>
      <c r="J20" s="324">
        <v>172113336</v>
      </c>
      <c r="K20" s="324">
        <v>100649549</v>
      </c>
      <c r="L20" s="324">
        <v>71463787</v>
      </c>
      <c r="M20" s="324">
        <v>146903020</v>
      </c>
      <c r="N20" s="324">
        <v>7466893</v>
      </c>
      <c r="O20" s="324">
        <v>127790322</v>
      </c>
      <c r="P20" s="324">
        <v>67595557</v>
      </c>
      <c r="Q20" s="324">
        <v>60194765</v>
      </c>
    </row>
    <row r="21" spans="1:17" x14ac:dyDescent="0.2">
      <c r="A21" s="32">
        <v>417</v>
      </c>
      <c r="B21" s="32">
        <v>18</v>
      </c>
      <c r="C21" s="32">
        <v>811032292</v>
      </c>
      <c r="D21" s="32" t="s">
        <v>1289</v>
      </c>
      <c r="E21" s="32" t="s">
        <v>763</v>
      </c>
      <c r="F21" s="32" t="s">
        <v>1290</v>
      </c>
      <c r="G21" s="32" t="s">
        <v>877</v>
      </c>
      <c r="H21" s="324">
        <v>242931675</v>
      </c>
      <c r="I21" s="324">
        <v>57290904</v>
      </c>
      <c r="J21" s="324">
        <v>228798462</v>
      </c>
      <c r="K21" s="324">
        <v>163039997</v>
      </c>
      <c r="L21" s="324">
        <v>65758465</v>
      </c>
      <c r="M21" s="324">
        <v>228010268</v>
      </c>
      <c r="N21" s="324">
        <v>20372587</v>
      </c>
      <c r="O21" s="324">
        <v>214303576</v>
      </c>
      <c r="P21" s="324">
        <v>191680989</v>
      </c>
      <c r="Q21" s="324">
        <v>22622587</v>
      </c>
    </row>
    <row r="22" spans="1:17" x14ac:dyDescent="0.2">
      <c r="A22" s="32">
        <v>419</v>
      </c>
      <c r="B22" s="32">
        <v>19</v>
      </c>
      <c r="C22" s="32">
        <v>890932424</v>
      </c>
      <c r="D22" s="32" t="s">
        <v>1292</v>
      </c>
      <c r="E22" s="32" t="s">
        <v>763</v>
      </c>
      <c r="F22" s="32" t="s">
        <v>876</v>
      </c>
      <c r="G22" s="32" t="s">
        <v>877</v>
      </c>
      <c r="H22" s="324">
        <v>241723272</v>
      </c>
      <c r="I22" s="324">
        <v>8853710</v>
      </c>
      <c r="J22" s="324">
        <v>194658823</v>
      </c>
      <c r="K22" s="324">
        <v>56422374</v>
      </c>
      <c r="L22" s="324">
        <v>138236449</v>
      </c>
      <c r="M22" s="324">
        <v>209242999</v>
      </c>
      <c r="N22" s="324">
        <v>20245591</v>
      </c>
      <c r="O22" s="324">
        <v>200355425</v>
      </c>
      <c r="P22" s="324">
        <v>68422510</v>
      </c>
      <c r="Q22" s="324">
        <v>131932915</v>
      </c>
    </row>
    <row r="23" spans="1:17" x14ac:dyDescent="0.2">
      <c r="A23" s="32">
        <v>421</v>
      </c>
      <c r="B23" s="32">
        <v>20</v>
      </c>
      <c r="C23" s="32">
        <v>890906413</v>
      </c>
      <c r="D23" s="32" t="s">
        <v>1294</v>
      </c>
      <c r="E23" s="32" t="s">
        <v>763</v>
      </c>
      <c r="F23" s="32" t="s">
        <v>876</v>
      </c>
      <c r="G23" s="32" t="s">
        <v>877</v>
      </c>
      <c r="H23" s="324">
        <v>241319770</v>
      </c>
      <c r="I23" s="324">
        <v>14132565</v>
      </c>
      <c r="J23" s="324">
        <v>268122037</v>
      </c>
      <c r="K23" s="324">
        <v>97903974</v>
      </c>
      <c r="L23" s="324">
        <v>170218063</v>
      </c>
      <c r="M23" s="324">
        <v>157229694</v>
      </c>
      <c r="N23" s="324">
        <v>16601299</v>
      </c>
      <c r="O23" s="324">
        <v>207394661</v>
      </c>
      <c r="P23" s="324">
        <v>62454986</v>
      </c>
      <c r="Q23" s="324">
        <v>144939675</v>
      </c>
    </row>
    <row r="24" spans="1:17" x14ac:dyDescent="0.2">
      <c r="A24" s="32">
        <v>422</v>
      </c>
      <c r="B24" s="32">
        <v>21</v>
      </c>
      <c r="C24" s="32">
        <v>830012053</v>
      </c>
      <c r="D24" s="32" t="s">
        <v>1295</v>
      </c>
      <c r="E24" s="32" t="s">
        <v>758</v>
      </c>
      <c r="F24" s="32" t="s">
        <v>1290</v>
      </c>
      <c r="G24" s="32" t="s">
        <v>877</v>
      </c>
      <c r="H24" s="324">
        <v>240672326</v>
      </c>
      <c r="I24" s="324">
        <v>12363690</v>
      </c>
      <c r="J24" s="324">
        <v>353766955</v>
      </c>
      <c r="K24" s="324">
        <v>247199753</v>
      </c>
      <c r="L24" s="324">
        <v>106567202</v>
      </c>
      <c r="M24" s="324">
        <v>231932643</v>
      </c>
      <c r="N24" s="324">
        <v>9964557</v>
      </c>
      <c r="O24" s="324">
        <v>277859817</v>
      </c>
      <c r="P24" s="324">
        <v>184122894</v>
      </c>
      <c r="Q24" s="324">
        <v>93736923</v>
      </c>
    </row>
    <row r="25" spans="1:17" x14ac:dyDescent="0.2">
      <c r="A25" s="32">
        <v>434</v>
      </c>
      <c r="B25" s="32">
        <v>22</v>
      </c>
      <c r="C25" s="32">
        <v>900192711</v>
      </c>
      <c r="D25" s="32" t="s">
        <v>1308</v>
      </c>
      <c r="E25" s="32" t="s">
        <v>758</v>
      </c>
      <c r="F25" s="32" t="s">
        <v>1290</v>
      </c>
      <c r="G25" s="32" t="s">
        <v>877</v>
      </c>
      <c r="H25" s="324">
        <v>233322493</v>
      </c>
      <c r="I25" s="324">
        <v>59443259</v>
      </c>
      <c r="J25" s="324">
        <v>323870193</v>
      </c>
      <c r="K25" s="324">
        <v>220962495</v>
      </c>
      <c r="L25" s="324">
        <v>102907698</v>
      </c>
      <c r="M25" s="324">
        <v>184569861</v>
      </c>
      <c r="N25" s="324">
        <v>38572547</v>
      </c>
      <c r="O25" s="324">
        <v>216598917</v>
      </c>
      <c r="P25" s="324">
        <v>157811046</v>
      </c>
      <c r="Q25" s="324">
        <v>58787871</v>
      </c>
    </row>
    <row r="26" spans="1:17" ht="25.5" x14ac:dyDescent="0.2">
      <c r="A26" s="32">
        <v>439</v>
      </c>
      <c r="B26" s="32">
        <v>23</v>
      </c>
      <c r="C26" s="32">
        <v>800169499</v>
      </c>
      <c r="D26" s="32" t="s">
        <v>1313</v>
      </c>
      <c r="E26" s="32" t="s">
        <v>758</v>
      </c>
      <c r="F26" s="32" t="s">
        <v>759</v>
      </c>
      <c r="G26" s="32" t="s">
        <v>877</v>
      </c>
      <c r="H26" s="324">
        <v>231364170</v>
      </c>
      <c r="I26" s="324">
        <v>83041820</v>
      </c>
      <c r="J26" s="324">
        <v>1211457640</v>
      </c>
      <c r="K26" s="324">
        <v>481914260</v>
      </c>
      <c r="L26" s="324">
        <v>729543380</v>
      </c>
      <c r="M26" s="324">
        <v>346351019</v>
      </c>
      <c r="N26" s="324">
        <v>142173598</v>
      </c>
      <c r="O26" s="324">
        <v>1093975513</v>
      </c>
      <c r="P26" s="324">
        <v>431321639</v>
      </c>
      <c r="Q26" s="324">
        <v>662653874</v>
      </c>
    </row>
    <row r="27" spans="1:17" x14ac:dyDescent="0.2">
      <c r="A27" s="32">
        <v>443</v>
      </c>
      <c r="B27" s="32">
        <v>24</v>
      </c>
      <c r="C27" s="32">
        <v>890211777</v>
      </c>
      <c r="D27" s="32" t="s">
        <v>1316</v>
      </c>
      <c r="E27" s="32" t="s">
        <v>891</v>
      </c>
      <c r="F27" s="32" t="s">
        <v>1290</v>
      </c>
      <c r="G27" s="32" t="s">
        <v>877</v>
      </c>
      <c r="H27" s="324">
        <v>229278625</v>
      </c>
      <c r="I27" s="324">
        <v>19833919</v>
      </c>
      <c r="J27" s="324">
        <v>178247018</v>
      </c>
      <c r="K27" s="324">
        <v>90516586</v>
      </c>
      <c r="L27" s="324">
        <v>87730432</v>
      </c>
      <c r="M27" s="324">
        <v>143185709</v>
      </c>
      <c r="N27" s="324">
        <v>4227561</v>
      </c>
      <c r="O27" s="324">
        <v>115960578</v>
      </c>
      <c r="P27" s="324">
        <v>99532821</v>
      </c>
      <c r="Q27" s="324">
        <v>16427757</v>
      </c>
    </row>
    <row r="28" spans="1:17" s="325" customFormat="1" x14ac:dyDescent="0.2">
      <c r="A28" s="32">
        <v>444</v>
      </c>
      <c r="B28" s="32">
        <v>25</v>
      </c>
      <c r="C28" s="32">
        <v>800186228</v>
      </c>
      <c r="D28" s="32" t="s">
        <v>1317</v>
      </c>
      <c r="E28" s="32" t="s">
        <v>758</v>
      </c>
      <c r="F28" s="32" t="s">
        <v>876</v>
      </c>
      <c r="G28" s="32" t="s">
        <v>877</v>
      </c>
      <c r="H28" s="324">
        <v>229015895</v>
      </c>
      <c r="I28" s="324">
        <v>11021132</v>
      </c>
      <c r="J28" s="324">
        <v>211286376</v>
      </c>
      <c r="K28" s="324">
        <v>81162124</v>
      </c>
      <c r="L28" s="324">
        <v>130124252</v>
      </c>
      <c r="M28" s="324">
        <v>171932833</v>
      </c>
      <c r="N28" s="324">
        <v>5882243</v>
      </c>
      <c r="O28" s="324">
        <v>167658659</v>
      </c>
      <c r="P28" s="324">
        <v>76861750</v>
      </c>
      <c r="Q28" s="324">
        <v>90796909</v>
      </c>
    </row>
    <row r="29" spans="1:17" x14ac:dyDescent="0.2">
      <c r="A29" s="32">
        <v>453</v>
      </c>
      <c r="B29" s="32">
        <v>26</v>
      </c>
      <c r="C29" s="32">
        <v>830094920</v>
      </c>
      <c r="D29" s="32" t="s">
        <v>1330</v>
      </c>
      <c r="E29" s="32" t="s">
        <v>758</v>
      </c>
      <c r="F29" s="32" t="s">
        <v>1331</v>
      </c>
      <c r="G29" s="32" t="s">
        <v>877</v>
      </c>
      <c r="H29" s="324">
        <v>222676882</v>
      </c>
      <c r="I29" s="324">
        <v>12858532</v>
      </c>
      <c r="J29" s="324">
        <v>306720194</v>
      </c>
      <c r="K29" s="324">
        <v>161598725</v>
      </c>
      <c r="L29" s="324">
        <v>145121469</v>
      </c>
      <c r="M29" s="324">
        <v>192343686</v>
      </c>
      <c r="N29" s="324">
        <v>1059479</v>
      </c>
      <c r="O29" s="324">
        <v>354276822</v>
      </c>
      <c r="P29" s="324">
        <v>219208791</v>
      </c>
      <c r="Q29" s="324">
        <v>135068031</v>
      </c>
    </row>
    <row r="30" spans="1:17" x14ac:dyDescent="0.2">
      <c r="A30" s="32">
        <v>457</v>
      </c>
      <c r="B30" s="32">
        <v>27</v>
      </c>
      <c r="C30" s="32">
        <v>800200598</v>
      </c>
      <c r="D30" s="32" t="s">
        <v>1335</v>
      </c>
      <c r="E30" s="32" t="s">
        <v>758</v>
      </c>
      <c r="F30" s="32" t="s">
        <v>1290</v>
      </c>
      <c r="G30" s="32" t="s">
        <v>877</v>
      </c>
      <c r="H30" s="324">
        <v>220755309</v>
      </c>
      <c r="I30" s="324">
        <v>10357411</v>
      </c>
      <c r="J30" s="324">
        <v>274606268</v>
      </c>
      <c r="K30" s="324">
        <v>236788426</v>
      </c>
      <c r="L30" s="324">
        <v>37817842</v>
      </c>
      <c r="M30" s="324">
        <v>172093709</v>
      </c>
      <c r="N30" s="324">
        <v>9665265</v>
      </c>
      <c r="O30" s="324">
        <v>203076076</v>
      </c>
      <c r="P30" s="324">
        <v>171043669</v>
      </c>
      <c r="Q30" s="324">
        <v>32032407</v>
      </c>
    </row>
    <row r="31" spans="1:17" x14ac:dyDescent="0.2">
      <c r="A31" s="32">
        <v>468</v>
      </c>
      <c r="B31" s="32">
        <v>28</v>
      </c>
      <c r="C31" s="32">
        <v>860024586</v>
      </c>
      <c r="D31" s="32" t="s">
        <v>1350</v>
      </c>
      <c r="E31" s="32" t="s">
        <v>758</v>
      </c>
      <c r="F31" s="32" t="s">
        <v>876</v>
      </c>
      <c r="G31" s="32" t="s">
        <v>877</v>
      </c>
      <c r="H31" s="324">
        <v>211331613</v>
      </c>
      <c r="I31" s="324">
        <v>22306977</v>
      </c>
      <c r="J31" s="324">
        <v>826066041</v>
      </c>
      <c r="K31" s="324">
        <v>287182384</v>
      </c>
      <c r="L31" s="324">
        <v>538883657</v>
      </c>
      <c r="M31" s="324">
        <v>197356020</v>
      </c>
      <c r="N31" s="324">
        <v>18067209</v>
      </c>
      <c r="O31" s="324">
        <v>836137243</v>
      </c>
      <c r="P31" s="324">
        <v>295212291</v>
      </c>
      <c r="Q31" s="324">
        <v>540924952</v>
      </c>
    </row>
    <row r="32" spans="1:17" x14ac:dyDescent="0.2">
      <c r="A32" s="32">
        <v>471</v>
      </c>
      <c r="B32" s="32">
        <v>29</v>
      </c>
      <c r="C32" s="32">
        <v>890311243</v>
      </c>
      <c r="D32" s="32" t="s">
        <v>1353</v>
      </c>
      <c r="E32" s="32" t="s">
        <v>808</v>
      </c>
      <c r="F32" s="32" t="s">
        <v>876</v>
      </c>
      <c r="G32" s="32" t="s">
        <v>877</v>
      </c>
      <c r="H32" s="324">
        <v>209684966</v>
      </c>
      <c r="I32" s="324">
        <v>53076</v>
      </c>
      <c r="J32" s="324">
        <v>213128497</v>
      </c>
      <c r="K32" s="324">
        <v>138892896</v>
      </c>
      <c r="L32" s="324">
        <v>74235601</v>
      </c>
      <c r="M32" s="324">
        <v>244729718</v>
      </c>
      <c r="N32" s="324">
        <v>438327</v>
      </c>
      <c r="O32" s="324">
        <v>189010243</v>
      </c>
      <c r="P32" s="324">
        <v>110047985</v>
      </c>
      <c r="Q32" s="324">
        <v>78962258</v>
      </c>
    </row>
    <row r="33" spans="1:17" x14ac:dyDescent="0.2">
      <c r="A33" s="32">
        <v>485</v>
      </c>
      <c r="B33" s="32">
        <v>30</v>
      </c>
      <c r="C33" s="32">
        <v>890911431</v>
      </c>
      <c r="D33" s="32" t="s">
        <v>1370</v>
      </c>
      <c r="E33" s="32" t="s">
        <v>763</v>
      </c>
      <c r="F33" s="32" t="s">
        <v>876</v>
      </c>
      <c r="G33" s="32" t="s">
        <v>877</v>
      </c>
      <c r="H33" s="324">
        <v>201502021</v>
      </c>
      <c r="I33" s="324">
        <v>16591355</v>
      </c>
      <c r="J33" s="324">
        <v>339543946</v>
      </c>
      <c r="K33" s="324">
        <v>191318915</v>
      </c>
      <c r="L33" s="324">
        <v>148225031</v>
      </c>
      <c r="M33" s="324">
        <v>139845719</v>
      </c>
      <c r="N33" s="324">
        <v>12498153</v>
      </c>
      <c r="O33" s="324">
        <v>277337544</v>
      </c>
      <c r="P33" s="324">
        <v>143219272</v>
      </c>
      <c r="Q33" s="324">
        <v>134118272</v>
      </c>
    </row>
    <row r="34" spans="1:17" x14ac:dyDescent="0.2">
      <c r="A34" s="32">
        <v>488</v>
      </c>
      <c r="B34" s="32">
        <v>31</v>
      </c>
      <c r="C34" s="32">
        <v>890205645</v>
      </c>
      <c r="D34" s="32" t="s">
        <v>1373</v>
      </c>
      <c r="E34" s="32" t="s">
        <v>891</v>
      </c>
      <c r="F34" s="32" t="s">
        <v>1290</v>
      </c>
      <c r="G34" s="32" t="s">
        <v>877</v>
      </c>
      <c r="H34" s="324">
        <v>200578084</v>
      </c>
      <c r="I34" s="324">
        <v>15842843</v>
      </c>
      <c r="J34" s="324">
        <v>544198913</v>
      </c>
      <c r="K34" s="324">
        <v>376181946</v>
      </c>
      <c r="L34" s="324">
        <v>168016967</v>
      </c>
      <c r="M34" s="324">
        <v>215802506</v>
      </c>
      <c r="N34" s="324">
        <v>11961078</v>
      </c>
      <c r="O34" s="324">
        <v>420064525</v>
      </c>
      <c r="P34" s="324">
        <v>307014427</v>
      </c>
      <c r="Q34" s="324">
        <v>113050098</v>
      </c>
    </row>
    <row r="35" spans="1:17" x14ac:dyDescent="0.2">
      <c r="A35" s="32">
        <v>491</v>
      </c>
      <c r="B35" s="32">
        <v>32</v>
      </c>
      <c r="C35" s="32">
        <v>890906388</v>
      </c>
      <c r="D35" s="32" t="s">
        <v>1376</v>
      </c>
      <c r="E35" s="32" t="s">
        <v>763</v>
      </c>
      <c r="F35" s="32" t="s">
        <v>876</v>
      </c>
      <c r="G35" s="32" t="s">
        <v>877</v>
      </c>
      <c r="H35" s="324">
        <v>199625932</v>
      </c>
      <c r="I35" s="324">
        <v>8207381</v>
      </c>
      <c r="J35" s="324">
        <v>205300661</v>
      </c>
      <c r="K35" s="324">
        <v>76677076</v>
      </c>
      <c r="L35" s="324">
        <v>128623585</v>
      </c>
      <c r="M35" s="324">
        <v>222411852</v>
      </c>
      <c r="N35" s="324">
        <v>2939374</v>
      </c>
      <c r="O35" s="324">
        <v>217474888</v>
      </c>
      <c r="P35" s="324">
        <v>94258665</v>
      </c>
      <c r="Q35" s="324">
        <v>123216223</v>
      </c>
    </row>
    <row r="36" spans="1:17" x14ac:dyDescent="0.2">
      <c r="A36" s="32">
        <v>496</v>
      </c>
      <c r="B36" s="32">
        <v>33</v>
      </c>
      <c r="C36" s="32">
        <v>800143586</v>
      </c>
      <c r="D36" s="32" t="s">
        <v>1381</v>
      </c>
      <c r="E36" s="32" t="s">
        <v>758</v>
      </c>
      <c r="F36" s="32" t="s">
        <v>876</v>
      </c>
      <c r="G36" s="32" t="s">
        <v>877</v>
      </c>
      <c r="H36" s="324">
        <v>197141792</v>
      </c>
      <c r="I36" s="324">
        <v>8439344</v>
      </c>
      <c r="J36" s="324">
        <v>154516362</v>
      </c>
      <c r="K36" s="324">
        <v>82100989</v>
      </c>
      <c r="L36" s="324">
        <v>72415373</v>
      </c>
      <c r="M36" s="324">
        <v>159006851</v>
      </c>
      <c r="N36" s="324">
        <v>4545196</v>
      </c>
      <c r="O36" s="324">
        <v>149911038</v>
      </c>
      <c r="P36" s="324">
        <v>88937017</v>
      </c>
      <c r="Q36" s="324">
        <v>60974021</v>
      </c>
    </row>
    <row r="37" spans="1:17" x14ac:dyDescent="0.2">
      <c r="A37" s="32">
        <v>499</v>
      </c>
      <c r="B37" s="32">
        <v>34</v>
      </c>
      <c r="C37" s="32">
        <v>860036081</v>
      </c>
      <c r="D37" s="32" t="s">
        <v>1384</v>
      </c>
      <c r="E37" s="32" t="s">
        <v>758</v>
      </c>
      <c r="F37" s="32" t="s">
        <v>1331</v>
      </c>
      <c r="G37" s="32" t="s">
        <v>877</v>
      </c>
      <c r="H37" s="324">
        <v>194844069</v>
      </c>
      <c r="I37" s="324">
        <v>3872325</v>
      </c>
      <c r="J37" s="324">
        <v>182767108</v>
      </c>
      <c r="K37" s="324">
        <v>124038273</v>
      </c>
      <c r="L37" s="324">
        <v>58728835</v>
      </c>
      <c r="M37" s="324">
        <v>252538268</v>
      </c>
      <c r="N37" s="324">
        <v>-12914491</v>
      </c>
      <c r="O37" s="324">
        <v>174517789</v>
      </c>
      <c r="P37" s="324">
        <v>129707778</v>
      </c>
      <c r="Q37" s="324">
        <v>44810011</v>
      </c>
    </row>
    <row r="38" spans="1:17" x14ac:dyDescent="0.2">
      <c r="A38" s="32">
        <v>500</v>
      </c>
      <c r="B38" s="32">
        <v>35</v>
      </c>
      <c r="C38" s="32">
        <v>860058070</v>
      </c>
      <c r="D38" s="32" t="s">
        <v>1385</v>
      </c>
      <c r="E38" s="32" t="s">
        <v>758</v>
      </c>
      <c r="F38" s="32" t="s">
        <v>1290</v>
      </c>
      <c r="G38" s="32" t="s">
        <v>877</v>
      </c>
      <c r="H38" s="324">
        <v>194744045</v>
      </c>
      <c r="I38" s="324">
        <v>52596420</v>
      </c>
      <c r="J38" s="324">
        <v>718598988</v>
      </c>
      <c r="K38" s="324">
        <v>410298513</v>
      </c>
      <c r="L38" s="324">
        <v>308300475</v>
      </c>
      <c r="M38" s="324">
        <v>290200073</v>
      </c>
      <c r="N38" s="324">
        <v>48598933</v>
      </c>
      <c r="O38" s="324">
        <v>631973818</v>
      </c>
      <c r="P38" s="324">
        <v>366727351</v>
      </c>
      <c r="Q38" s="324">
        <v>265246467</v>
      </c>
    </row>
    <row r="39" spans="1:17" x14ac:dyDescent="0.2">
      <c r="A39" s="32">
        <v>537</v>
      </c>
      <c r="B39" s="32">
        <v>36</v>
      </c>
      <c r="C39" s="32">
        <v>900397359</v>
      </c>
      <c r="D39" s="32" t="s">
        <v>1428</v>
      </c>
      <c r="E39" s="32" t="s">
        <v>758</v>
      </c>
      <c r="F39" s="32" t="s">
        <v>876</v>
      </c>
      <c r="G39" s="32" t="s">
        <v>877</v>
      </c>
      <c r="H39" s="324">
        <v>177771547</v>
      </c>
      <c r="I39" s="324">
        <v>-139509</v>
      </c>
      <c r="J39" s="324">
        <v>179619046</v>
      </c>
      <c r="K39" s="324">
        <v>233507946</v>
      </c>
      <c r="L39" s="324">
        <v>-53888900</v>
      </c>
      <c r="M39" s="324">
        <v>125731212</v>
      </c>
      <c r="N39" s="324">
        <v>-59550613</v>
      </c>
      <c r="O39" s="324">
        <v>179182224</v>
      </c>
      <c r="P39" s="324">
        <v>232931614</v>
      </c>
      <c r="Q39" s="324">
        <v>-53749390</v>
      </c>
    </row>
    <row r="40" spans="1:17" x14ac:dyDescent="0.2">
      <c r="A40" s="32">
        <v>552</v>
      </c>
      <c r="B40" s="32">
        <v>37</v>
      </c>
      <c r="C40" s="32">
        <v>830129289</v>
      </c>
      <c r="D40" s="32" t="s">
        <v>1443</v>
      </c>
      <c r="E40" s="32" t="s">
        <v>758</v>
      </c>
      <c r="F40" s="32" t="s">
        <v>876</v>
      </c>
      <c r="G40" s="32" t="s">
        <v>877</v>
      </c>
      <c r="H40" s="324">
        <v>171235727</v>
      </c>
      <c r="I40" s="324">
        <v>12036037</v>
      </c>
      <c r="J40" s="324">
        <v>208850501</v>
      </c>
      <c r="K40" s="324">
        <v>145040948</v>
      </c>
      <c r="L40" s="324">
        <v>63809553</v>
      </c>
      <c r="M40" s="324">
        <v>129130149</v>
      </c>
      <c r="N40" s="324">
        <v>6382704</v>
      </c>
      <c r="O40" s="324">
        <v>159667047</v>
      </c>
      <c r="P40" s="324">
        <v>110370402</v>
      </c>
      <c r="Q40" s="324">
        <v>49296645</v>
      </c>
    </row>
    <row r="41" spans="1:17" x14ac:dyDescent="0.2">
      <c r="A41" s="32">
        <v>573</v>
      </c>
      <c r="B41" s="32">
        <v>38</v>
      </c>
      <c r="C41" s="32">
        <v>800152208</v>
      </c>
      <c r="D41" s="32" t="s">
        <v>1465</v>
      </c>
      <c r="E41" s="32" t="s">
        <v>758</v>
      </c>
      <c r="F41" s="32" t="s">
        <v>1466</v>
      </c>
      <c r="G41" s="32" t="s">
        <v>877</v>
      </c>
      <c r="H41" s="324">
        <v>164832647</v>
      </c>
      <c r="I41" s="324">
        <v>5368560</v>
      </c>
      <c r="J41" s="324">
        <v>81067508</v>
      </c>
      <c r="K41" s="324">
        <v>45867458</v>
      </c>
      <c r="L41" s="324">
        <v>35200050</v>
      </c>
      <c r="M41" s="324">
        <v>134001512</v>
      </c>
      <c r="N41" s="324">
        <v>4185546</v>
      </c>
      <c r="O41" s="324">
        <v>69024318</v>
      </c>
      <c r="P41" s="324">
        <v>39985797</v>
      </c>
      <c r="Q41" s="324">
        <v>29038521</v>
      </c>
    </row>
    <row r="42" spans="1:17" x14ac:dyDescent="0.2">
      <c r="A42" s="32">
        <v>627</v>
      </c>
      <c r="B42" s="32">
        <v>39</v>
      </c>
      <c r="C42" s="32">
        <v>891100881</v>
      </c>
      <c r="D42" s="32" t="s">
        <v>1521</v>
      </c>
      <c r="E42" s="32" t="s">
        <v>758</v>
      </c>
      <c r="F42" s="32" t="s">
        <v>876</v>
      </c>
      <c r="G42" s="32" t="s">
        <v>877</v>
      </c>
      <c r="H42" s="324">
        <v>149524345</v>
      </c>
      <c r="I42" s="324">
        <v>8733296</v>
      </c>
      <c r="J42" s="324">
        <v>105688107</v>
      </c>
      <c r="K42" s="324">
        <v>29321151</v>
      </c>
      <c r="L42" s="324">
        <v>76366956</v>
      </c>
      <c r="M42" s="324">
        <v>112341075</v>
      </c>
      <c r="N42" s="324">
        <v>2148003</v>
      </c>
      <c r="O42" s="324">
        <v>62375456</v>
      </c>
      <c r="P42" s="324">
        <v>31639018</v>
      </c>
      <c r="Q42" s="324">
        <v>30736438</v>
      </c>
    </row>
    <row r="43" spans="1:17" x14ac:dyDescent="0.2">
      <c r="A43" s="32">
        <v>632</v>
      </c>
      <c r="B43" s="32">
        <v>40</v>
      </c>
      <c r="C43" s="32">
        <v>860006282</v>
      </c>
      <c r="D43" s="32" t="s">
        <v>1526</v>
      </c>
      <c r="E43" s="32" t="s">
        <v>758</v>
      </c>
      <c r="F43" s="32" t="s">
        <v>876</v>
      </c>
      <c r="G43" s="32" t="s">
        <v>877</v>
      </c>
      <c r="H43" s="324">
        <v>147338750</v>
      </c>
      <c r="I43" s="324">
        <v>6561783</v>
      </c>
      <c r="J43" s="324">
        <v>152983600</v>
      </c>
      <c r="K43" s="324">
        <v>69125117</v>
      </c>
      <c r="L43" s="324">
        <v>83858483</v>
      </c>
      <c r="M43" s="324">
        <v>101950350</v>
      </c>
      <c r="N43" s="324">
        <v>3234855</v>
      </c>
      <c r="O43" s="324">
        <v>137708984</v>
      </c>
      <c r="P43" s="324">
        <v>60146338</v>
      </c>
      <c r="Q43" s="324">
        <v>77562646</v>
      </c>
    </row>
    <row r="44" spans="1:17" x14ac:dyDescent="0.2">
      <c r="A44" s="32">
        <v>650</v>
      </c>
      <c r="B44" s="32">
        <v>41</v>
      </c>
      <c r="C44" s="32">
        <v>860506688</v>
      </c>
      <c r="D44" s="32" t="s">
        <v>1547</v>
      </c>
      <c r="E44" s="32" t="s">
        <v>758</v>
      </c>
      <c r="F44" s="32" t="s">
        <v>876</v>
      </c>
      <c r="G44" s="32" t="s">
        <v>877</v>
      </c>
      <c r="H44" s="324">
        <v>142546614</v>
      </c>
      <c r="I44" s="324">
        <v>15808203</v>
      </c>
      <c r="J44" s="324">
        <v>256691877</v>
      </c>
      <c r="K44" s="324">
        <v>127472571</v>
      </c>
      <c r="L44" s="324">
        <v>129219306</v>
      </c>
      <c r="M44" s="324">
        <v>99535878</v>
      </c>
      <c r="N44" s="324">
        <v>306924</v>
      </c>
      <c r="O44" s="324">
        <v>246758025</v>
      </c>
      <c r="P44" s="324">
        <v>132524472</v>
      </c>
      <c r="Q44" s="324">
        <v>114233553</v>
      </c>
    </row>
    <row r="45" spans="1:17" x14ac:dyDescent="0.2">
      <c r="A45" s="32">
        <v>708</v>
      </c>
      <c r="B45" s="32">
        <v>42</v>
      </c>
      <c r="C45" s="32">
        <v>804000752</v>
      </c>
      <c r="D45" s="32" t="s">
        <v>1613</v>
      </c>
      <c r="E45" s="32" t="s">
        <v>891</v>
      </c>
      <c r="F45" s="32" t="s">
        <v>876</v>
      </c>
      <c r="G45" s="32" t="s">
        <v>877</v>
      </c>
      <c r="H45" s="324">
        <v>126638903</v>
      </c>
      <c r="I45" s="324">
        <v>1105886</v>
      </c>
      <c r="J45" s="324">
        <v>215590903</v>
      </c>
      <c r="K45" s="324">
        <v>107622595</v>
      </c>
      <c r="L45" s="324">
        <v>107968308</v>
      </c>
      <c r="M45" s="324">
        <v>128794852</v>
      </c>
      <c r="N45" s="324">
        <v>2081187</v>
      </c>
      <c r="O45" s="324">
        <v>187755752</v>
      </c>
      <c r="P45" s="324">
        <v>88769871</v>
      </c>
      <c r="Q45" s="324">
        <v>98985881</v>
      </c>
    </row>
    <row r="46" spans="1:17" x14ac:dyDescent="0.2">
      <c r="A46" s="32">
        <v>712</v>
      </c>
      <c r="B46" s="32">
        <v>43</v>
      </c>
      <c r="C46" s="32">
        <v>900475730</v>
      </c>
      <c r="D46" s="32" t="s">
        <v>1617</v>
      </c>
      <c r="E46" s="32" t="s">
        <v>758</v>
      </c>
      <c r="F46" s="32" t="s">
        <v>876</v>
      </c>
      <c r="G46" s="32" t="s">
        <v>877</v>
      </c>
      <c r="H46" s="324">
        <v>126182559</v>
      </c>
      <c r="I46" s="324">
        <v>181478</v>
      </c>
      <c r="J46" s="324">
        <v>205391232</v>
      </c>
      <c r="K46" s="324">
        <v>205082751</v>
      </c>
      <c r="L46" s="324">
        <v>308481</v>
      </c>
      <c r="M46" s="324">
        <v>60389200</v>
      </c>
      <c r="N46" s="324">
        <v>26595</v>
      </c>
      <c r="O46" s="324">
        <v>189631782</v>
      </c>
      <c r="P46" s="324">
        <v>189504780</v>
      </c>
      <c r="Q46" s="324">
        <v>127002</v>
      </c>
    </row>
    <row r="47" spans="1:17" x14ac:dyDescent="0.2">
      <c r="A47" s="32">
        <v>769</v>
      </c>
      <c r="B47" s="32">
        <v>44</v>
      </c>
      <c r="C47" s="32">
        <v>800014246</v>
      </c>
      <c r="D47" s="32" t="s">
        <v>1676</v>
      </c>
      <c r="E47" s="32" t="s">
        <v>763</v>
      </c>
      <c r="F47" s="32" t="s">
        <v>876</v>
      </c>
      <c r="G47" s="32" t="s">
        <v>877</v>
      </c>
      <c r="H47" s="324">
        <v>117234765</v>
      </c>
      <c r="I47" s="324">
        <v>4082087</v>
      </c>
      <c r="J47" s="324">
        <v>97725505</v>
      </c>
      <c r="K47" s="324">
        <v>55807930</v>
      </c>
      <c r="L47" s="324">
        <v>41917575</v>
      </c>
      <c r="M47" s="324">
        <v>113490159</v>
      </c>
      <c r="N47" s="324">
        <v>5011171</v>
      </c>
      <c r="O47" s="324">
        <v>75516557</v>
      </c>
      <c r="P47" s="324">
        <v>38268092</v>
      </c>
      <c r="Q47" s="324">
        <v>37248465</v>
      </c>
    </row>
    <row r="48" spans="1:17" ht="25.5" x14ac:dyDescent="0.2">
      <c r="A48" s="32">
        <v>781</v>
      </c>
      <c r="B48" s="32">
        <v>45</v>
      </c>
      <c r="C48" s="32">
        <v>890327996</v>
      </c>
      <c r="D48" s="32" t="s">
        <v>1688</v>
      </c>
      <c r="E48" s="32" t="s">
        <v>808</v>
      </c>
      <c r="F48" s="32" t="s">
        <v>759</v>
      </c>
      <c r="G48" s="32" t="s">
        <v>877</v>
      </c>
      <c r="H48" s="324">
        <v>115231371</v>
      </c>
      <c r="I48" s="324">
        <v>50621143</v>
      </c>
      <c r="J48" s="324">
        <v>300077355</v>
      </c>
      <c r="K48" s="324">
        <v>167595522</v>
      </c>
      <c r="L48" s="324">
        <v>132481833</v>
      </c>
      <c r="M48" s="324">
        <v>112144709.99999999</v>
      </c>
      <c r="N48" s="324">
        <v>50581320</v>
      </c>
      <c r="O48" s="324">
        <v>315422690</v>
      </c>
      <c r="P48" s="324">
        <v>190165010</v>
      </c>
      <c r="Q48" s="324">
        <v>125257680</v>
      </c>
    </row>
    <row r="49" spans="1:17" x14ac:dyDescent="0.2">
      <c r="A49" s="32">
        <v>790</v>
      </c>
      <c r="B49" s="32">
        <v>46</v>
      </c>
      <c r="C49" s="32">
        <v>817000790</v>
      </c>
      <c r="D49" s="32" t="s">
        <v>1697</v>
      </c>
      <c r="E49" s="32" t="s">
        <v>808</v>
      </c>
      <c r="F49" s="32" t="s">
        <v>1477</v>
      </c>
      <c r="G49" s="32" t="s">
        <v>877</v>
      </c>
      <c r="H49" s="324">
        <v>112926451</v>
      </c>
      <c r="I49" s="324">
        <v>1666850</v>
      </c>
      <c r="J49" s="324">
        <v>75198035</v>
      </c>
      <c r="K49" s="324">
        <v>61714935</v>
      </c>
      <c r="L49" s="324">
        <v>13483100</v>
      </c>
      <c r="M49" s="324">
        <v>59472017</v>
      </c>
      <c r="N49" s="324">
        <v>1859728</v>
      </c>
      <c r="O49" s="324">
        <v>60207107</v>
      </c>
      <c r="P49" s="324">
        <v>44368578</v>
      </c>
      <c r="Q49" s="324">
        <v>15838529</v>
      </c>
    </row>
    <row r="50" spans="1:17" x14ac:dyDescent="0.2">
      <c r="A50" s="32">
        <v>795</v>
      </c>
      <c r="B50" s="32">
        <v>47</v>
      </c>
      <c r="C50" s="32">
        <v>860000531</v>
      </c>
      <c r="D50" s="32" t="s">
        <v>1702</v>
      </c>
      <c r="E50" s="32" t="s">
        <v>758</v>
      </c>
      <c r="F50" s="32" t="s">
        <v>1331</v>
      </c>
      <c r="G50" s="32" t="s">
        <v>877</v>
      </c>
      <c r="H50" s="324">
        <v>112098468</v>
      </c>
      <c r="I50" s="324">
        <v>24938270</v>
      </c>
      <c r="J50" s="324">
        <v>389368339</v>
      </c>
      <c r="K50" s="324">
        <v>212063842</v>
      </c>
      <c r="L50" s="324">
        <v>177304497</v>
      </c>
      <c r="M50" s="324">
        <v>113701921</v>
      </c>
      <c r="N50" s="324">
        <v>26765199</v>
      </c>
      <c r="O50" s="324">
        <v>239366753</v>
      </c>
      <c r="P50" s="324">
        <v>88921046</v>
      </c>
      <c r="Q50" s="324">
        <v>150445707</v>
      </c>
    </row>
    <row r="51" spans="1:17" x14ac:dyDescent="0.2">
      <c r="A51" s="32">
        <v>831</v>
      </c>
      <c r="B51" s="32">
        <v>48</v>
      </c>
      <c r="C51" s="32">
        <v>900031253</v>
      </c>
      <c r="D51" s="32" t="s">
        <v>1741</v>
      </c>
      <c r="E51" s="32" t="s">
        <v>758</v>
      </c>
      <c r="F51" s="32" t="s">
        <v>876</v>
      </c>
      <c r="G51" s="32" t="s">
        <v>877</v>
      </c>
      <c r="H51" s="324">
        <v>105702907</v>
      </c>
      <c r="I51" s="324">
        <v>1195873</v>
      </c>
      <c r="J51" s="324">
        <v>124694297</v>
      </c>
      <c r="K51" s="324">
        <v>60369692</v>
      </c>
      <c r="L51" s="324">
        <v>64324605</v>
      </c>
      <c r="M51" s="324">
        <v>53438945</v>
      </c>
      <c r="N51" s="324">
        <v>582938</v>
      </c>
      <c r="O51" s="324">
        <v>130505149</v>
      </c>
      <c r="P51" s="324">
        <v>67376418</v>
      </c>
      <c r="Q51" s="324">
        <v>63128731</v>
      </c>
    </row>
    <row r="52" spans="1:17" x14ac:dyDescent="0.2">
      <c r="A52" s="32">
        <v>851</v>
      </c>
      <c r="B52" s="32">
        <v>49</v>
      </c>
      <c r="C52" s="32">
        <v>800094968</v>
      </c>
      <c r="D52" s="32" t="s">
        <v>1762</v>
      </c>
      <c r="E52" s="32" t="s">
        <v>808</v>
      </c>
      <c r="F52" s="32" t="s">
        <v>1290</v>
      </c>
      <c r="G52" s="32" t="s">
        <v>877</v>
      </c>
      <c r="H52" s="324">
        <v>103002805</v>
      </c>
      <c r="I52" s="324">
        <v>14554176</v>
      </c>
      <c r="J52" s="324">
        <v>197025365</v>
      </c>
      <c r="K52" s="324">
        <v>132822559</v>
      </c>
      <c r="L52" s="324">
        <v>64202806</v>
      </c>
      <c r="M52" s="324">
        <v>91378768</v>
      </c>
      <c r="N52" s="324">
        <v>4133839</v>
      </c>
      <c r="O52" s="324">
        <v>121287417</v>
      </c>
      <c r="P52" s="324">
        <v>83979319</v>
      </c>
      <c r="Q52" s="324">
        <v>37308098</v>
      </c>
    </row>
    <row r="53" spans="1:17" x14ac:dyDescent="0.2">
      <c r="A53" s="32">
        <v>860</v>
      </c>
      <c r="B53" s="32">
        <v>50</v>
      </c>
      <c r="C53" s="32">
        <v>806008737</v>
      </c>
      <c r="D53" s="32" t="s">
        <v>1771</v>
      </c>
      <c r="E53" s="32" t="s">
        <v>758</v>
      </c>
      <c r="F53" s="32" t="s">
        <v>876</v>
      </c>
      <c r="G53" s="32" t="s">
        <v>877</v>
      </c>
      <c r="H53" s="324">
        <v>102342316</v>
      </c>
      <c r="I53" s="324">
        <v>2001973</v>
      </c>
      <c r="J53" s="324">
        <v>200697881</v>
      </c>
      <c r="K53" s="324">
        <v>104593172</v>
      </c>
      <c r="L53" s="324">
        <v>96104709</v>
      </c>
      <c r="M53" s="324">
        <v>100004736</v>
      </c>
      <c r="N53" s="324">
        <v>3742602</v>
      </c>
      <c r="O53" s="324">
        <v>192734244</v>
      </c>
      <c r="P53" s="324">
        <v>99570059</v>
      </c>
      <c r="Q53" s="324">
        <v>93164185</v>
      </c>
    </row>
    <row r="54" spans="1:17" x14ac:dyDescent="0.2">
      <c r="A54" s="32">
        <v>873</v>
      </c>
      <c r="B54" s="32">
        <v>51</v>
      </c>
      <c r="C54" s="32">
        <v>830108963</v>
      </c>
      <c r="D54" s="32" t="s">
        <v>1786</v>
      </c>
      <c r="E54" s="32" t="s">
        <v>758</v>
      </c>
      <c r="F54" s="32" t="s">
        <v>1331</v>
      </c>
      <c r="G54" s="32" t="s">
        <v>877</v>
      </c>
      <c r="H54" s="324">
        <v>100905294</v>
      </c>
      <c r="I54" s="324">
        <v>250819</v>
      </c>
      <c r="J54" s="324">
        <v>85655758</v>
      </c>
      <c r="K54" s="324">
        <v>73063732</v>
      </c>
      <c r="L54" s="324">
        <v>12592026</v>
      </c>
      <c r="M54" s="324">
        <v>259827421</v>
      </c>
      <c r="N54" s="324">
        <v>7577137</v>
      </c>
      <c r="O54" s="324">
        <v>102123436</v>
      </c>
      <c r="P54" s="324">
        <v>82837163</v>
      </c>
      <c r="Q54" s="324">
        <v>19286273</v>
      </c>
    </row>
    <row r="55" spans="1:17" ht="25.5" x14ac:dyDescent="0.2">
      <c r="A55" s="32">
        <v>876</v>
      </c>
      <c r="B55" s="32">
        <v>52</v>
      </c>
      <c r="C55" s="32">
        <v>890300604</v>
      </c>
      <c r="D55" s="32" t="s">
        <v>1789</v>
      </c>
      <c r="E55" s="32" t="s">
        <v>808</v>
      </c>
      <c r="F55" s="32" t="s">
        <v>759</v>
      </c>
      <c r="G55" s="32" t="s">
        <v>877</v>
      </c>
      <c r="H55" s="324">
        <v>100568890</v>
      </c>
      <c r="I55" s="324">
        <v>-26421940</v>
      </c>
      <c r="J55" s="324">
        <v>229166360</v>
      </c>
      <c r="K55" s="324">
        <v>212446080</v>
      </c>
      <c r="L55" s="324">
        <v>16720280</v>
      </c>
      <c r="M55" s="324">
        <v>157305539</v>
      </c>
      <c r="N55" s="324">
        <v>-6546594</v>
      </c>
      <c r="O55" s="324">
        <v>260315094</v>
      </c>
      <c r="P55" s="324">
        <v>214048245</v>
      </c>
      <c r="Q55" s="324">
        <v>46266849</v>
      </c>
    </row>
    <row r="56" spans="1:17" x14ac:dyDescent="0.2">
      <c r="A56" s="32">
        <v>880</v>
      </c>
      <c r="B56" s="32">
        <v>53</v>
      </c>
      <c r="C56" s="32">
        <v>800093117</v>
      </c>
      <c r="D56" s="32" t="s">
        <v>1793</v>
      </c>
      <c r="E56" s="32" t="s">
        <v>763</v>
      </c>
      <c r="F56" s="32" t="s">
        <v>1794</v>
      </c>
      <c r="G56" s="32" t="s">
        <v>877</v>
      </c>
      <c r="H56" s="324">
        <v>100277884</v>
      </c>
      <c r="I56" s="324">
        <v>17033967</v>
      </c>
      <c r="J56" s="324">
        <v>500718077</v>
      </c>
      <c r="K56" s="324">
        <v>214535416</v>
      </c>
      <c r="L56" s="324">
        <v>286182661</v>
      </c>
      <c r="M56" s="324">
        <v>81105699</v>
      </c>
      <c r="N56" s="324">
        <v>44555346</v>
      </c>
      <c r="O56" s="324">
        <v>436923725</v>
      </c>
      <c r="P56" s="324">
        <v>190568252</v>
      </c>
      <c r="Q56" s="324">
        <v>246355473</v>
      </c>
    </row>
    <row r="57" spans="1:17" x14ac:dyDescent="0.2">
      <c r="A57" s="32">
        <v>890</v>
      </c>
      <c r="B57" s="32">
        <v>54</v>
      </c>
      <c r="C57" s="32">
        <v>860072045</v>
      </c>
      <c r="D57" s="32" t="s">
        <v>1806</v>
      </c>
      <c r="E57" s="32" t="s">
        <v>758</v>
      </c>
      <c r="F57" s="32" t="s">
        <v>1331</v>
      </c>
      <c r="G57" s="32" t="s">
        <v>877</v>
      </c>
      <c r="H57" s="324">
        <v>99020688</v>
      </c>
      <c r="I57" s="324">
        <v>870998</v>
      </c>
      <c r="J57" s="324">
        <v>84102443</v>
      </c>
      <c r="K57" s="324">
        <v>58764348</v>
      </c>
      <c r="L57" s="324">
        <v>25338095</v>
      </c>
      <c r="M57" s="324">
        <v>96031381</v>
      </c>
      <c r="N57" s="324">
        <v>1291421</v>
      </c>
      <c r="O57" s="324">
        <v>82194685</v>
      </c>
      <c r="P57" s="324">
        <v>56349657</v>
      </c>
      <c r="Q57" s="324">
        <v>25845028</v>
      </c>
    </row>
    <row r="58" spans="1:17" x14ac:dyDescent="0.2">
      <c r="A58" s="32">
        <v>891</v>
      </c>
      <c r="B58" s="32">
        <v>55</v>
      </c>
      <c r="C58" s="32">
        <v>800185295</v>
      </c>
      <c r="D58" s="32" t="s">
        <v>1807</v>
      </c>
      <c r="E58" s="32" t="s">
        <v>758</v>
      </c>
      <c r="F58" s="32" t="s">
        <v>1331</v>
      </c>
      <c r="G58" s="32" t="s">
        <v>877</v>
      </c>
      <c r="H58" s="324">
        <v>98726917</v>
      </c>
      <c r="I58" s="324">
        <v>57932326</v>
      </c>
      <c r="J58" s="324">
        <v>363436017</v>
      </c>
      <c r="K58" s="324">
        <v>191999575</v>
      </c>
      <c r="L58" s="324">
        <v>171436442</v>
      </c>
      <c r="M58" s="324">
        <v>98458351</v>
      </c>
      <c r="N58" s="324">
        <v>43766767</v>
      </c>
      <c r="O58" s="324">
        <v>265455418</v>
      </c>
      <c r="P58" s="324">
        <v>155106091</v>
      </c>
      <c r="Q58" s="324">
        <v>110349327</v>
      </c>
    </row>
    <row r="59" spans="1:17" x14ac:dyDescent="0.2">
      <c r="A59" s="32">
        <v>905</v>
      </c>
      <c r="B59" s="32">
        <v>56</v>
      </c>
      <c r="C59" s="32">
        <v>830035702</v>
      </c>
      <c r="D59" s="32" t="s">
        <v>1823</v>
      </c>
      <c r="E59" s="32" t="s">
        <v>758</v>
      </c>
      <c r="F59" s="32" t="s">
        <v>1588</v>
      </c>
      <c r="G59" s="32" t="s">
        <v>877</v>
      </c>
      <c r="H59" s="324">
        <v>97047956</v>
      </c>
      <c r="I59" s="324">
        <v>926637</v>
      </c>
      <c r="J59" s="324">
        <v>102736195</v>
      </c>
      <c r="K59" s="324">
        <v>78742329</v>
      </c>
      <c r="L59" s="324">
        <v>23993866</v>
      </c>
      <c r="M59" s="324">
        <v>83878696</v>
      </c>
      <c r="N59" s="324">
        <v>1755759</v>
      </c>
      <c r="O59" s="324">
        <v>71989393</v>
      </c>
      <c r="P59" s="324">
        <v>48665106</v>
      </c>
      <c r="Q59" s="324">
        <v>23324287</v>
      </c>
    </row>
    <row r="60" spans="1:17" x14ac:dyDescent="0.2">
      <c r="A60" s="32">
        <v>922</v>
      </c>
      <c r="B60" s="32">
        <v>57</v>
      </c>
      <c r="C60" s="32">
        <v>800086042</v>
      </c>
      <c r="D60" s="32" t="s">
        <v>1841</v>
      </c>
      <c r="E60" s="32" t="s">
        <v>758</v>
      </c>
      <c r="F60" s="32" t="s">
        <v>1290</v>
      </c>
      <c r="G60" s="32" t="s">
        <v>877</v>
      </c>
      <c r="H60" s="324">
        <v>95161925</v>
      </c>
      <c r="I60" s="324">
        <v>19581018</v>
      </c>
      <c r="J60" s="324">
        <v>265582193</v>
      </c>
      <c r="K60" s="324">
        <v>141739471</v>
      </c>
      <c r="L60" s="324">
        <v>123842722</v>
      </c>
      <c r="M60" s="324">
        <v>71180705</v>
      </c>
      <c r="N60" s="324">
        <v>5095989</v>
      </c>
      <c r="O60" s="324">
        <v>211241216</v>
      </c>
      <c r="P60" s="324">
        <v>126078383</v>
      </c>
      <c r="Q60" s="324">
        <v>85162833</v>
      </c>
    </row>
    <row r="61" spans="1:17" x14ac:dyDescent="0.2">
      <c r="A61" s="32">
        <v>929</v>
      </c>
      <c r="B61" s="32">
        <v>58</v>
      </c>
      <c r="C61" s="32">
        <v>830043648</v>
      </c>
      <c r="D61" s="32" t="s">
        <v>1848</v>
      </c>
      <c r="E61" s="32" t="s">
        <v>758</v>
      </c>
      <c r="F61" s="32" t="s">
        <v>876</v>
      </c>
      <c r="G61" s="32" t="s">
        <v>877</v>
      </c>
      <c r="H61" s="324">
        <v>94579523</v>
      </c>
      <c r="I61" s="324">
        <v>1799054</v>
      </c>
      <c r="J61" s="324">
        <v>93909508</v>
      </c>
      <c r="K61" s="324">
        <v>71498057</v>
      </c>
      <c r="L61" s="324">
        <v>22411451</v>
      </c>
      <c r="M61" s="324">
        <v>62251968</v>
      </c>
      <c r="N61" s="324">
        <v>6010448</v>
      </c>
      <c r="O61" s="324">
        <v>75127992</v>
      </c>
      <c r="P61" s="324">
        <v>62631644</v>
      </c>
      <c r="Q61" s="324">
        <v>12496348</v>
      </c>
    </row>
    <row r="62" spans="1:17" x14ac:dyDescent="0.2">
      <c r="A62" s="32">
        <v>950</v>
      </c>
      <c r="B62" s="32">
        <v>59</v>
      </c>
      <c r="C62" s="32">
        <v>830099238</v>
      </c>
      <c r="D62" s="32" t="s">
        <v>1870</v>
      </c>
      <c r="E62" s="32" t="s">
        <v>758</v>
      </c>
      <c r="F62" s="32" t="s">
        <v>943</v>
      </c>
      <c r="G62" s="32" t="s">
        <v>877</v>
      </c>
      <c r="H62" s="324">
        <v>92627224</v>
      </c>
      <c r="I62" s="324">
        <v>-33721469</v>
      </c>
      <c r="J62" s="324">
        <v>411682050</v>
      </c>
      <c r="K62" s="324">
        <v>209095963</v>
      </c>
      <c r="L62" s="324">
        <v>202586087</v>
      </c>
      <c r="M62" s="324">
        <v>64454232</v>
      </c>
      <c r="N62" s="324">
        <v>-30606571</v>
      </c>
      <c r="O62" s="324">
        <v>315493685</v>
      </c>
      <c r="P62" s="324">
        <v>164622654</v>
      </c>
      <c r="Q62" s="324">
        <v>150871031</v>
      </c>
    </row>
    <row r="63" spans="1:17" x14ac:dyDescent="0.2">
      <c r="A63" s="32">
        <v>961</v>
      </c>
      <c r="B63" s="32">
        <v>60</v>
      </c>
      <c r="C63" s="32">
        <v>890100248</v>
      </c>
      <c r="D63" s="32" t="s">
        <v>1883</v>
      </c>
      <c r="E63" s="32" t="s">
        <v>768</v>
      </c>
      <c r="F63" s="32" t="s">
        <v>876</v>
      </c>
      <c r="G63" s="32" t="s">
        <v>877</v>
      </c>
      <c r="H63" s="324">
        <v>91488778</v>
      </c>
      <c r="I63" s="324">
        <v>43203915</v>
      </c>
      <c r="J63" s="324">
        <v>182056301</v>
      </c>
      <c r="K63" s="324">
        <v>69954728</v>
      </c>
      <c r="L63" s="324">
        <v>112101573</v>
      </c>
      <c r="M63" s="324">
        <v>80474188</v>
      </c>
      <c r="N63" s="324">
        <v>2754672</v>
      </c>
      <c r="O63" s="324">
        <v>160679147</v>
      </c>
      <c r="P63" s="324">
        <v>83174425</v>
      </c>
      <c r="Q63" s="324">
        <v>77504722</v>
      </c>
    </row>
    <row r="64" spans="1:17" x14ac:dyDescent="0.2">
      <c r="A64" s="32">
        <v>975</v>
      </c>
      <c r="B64" s="32">
        <v>61</v>
      </c>
      <c r="C64" s="32">
        <v>800222937</v>
      </c>
      <c r="D64" s="32" t="s">
        <v>1897</v>
      </c>
      <c r="E64" s="32" t="s">
        <v>891</v>
      </c>
      <c r="F64" s="32" t="s">
        <v>1290</v>
      </c>
      <c r="G64" s="32" t="s">
        <v>877</v>
      </c>
      <c r="H64" s="324">
        <v>90197513</v>
      </c>
      <c r="I64" s="324">
        <v>2820505</v>
      </c>
      <c r="J64" s="324">
        <v>224263705</v>
      </c>
      <c r="K64" s="324">
        <v>177524709</v>
      </c>
      <c r="L64" s="324">
        <v>46738996</v>
      </c>
      <c r="M64" s="324">
        <v>84875589</v>
      </c>
      <c r="N64" s="324">
        <v>2691396</v>
      </c>
      <c r="O64" s="324">
        <v>185963634</v>
      </c>
      <c r="P64" s="324">
        <v>142045143</v>
      </c>
      <c r="Q64" s="324">
        <v>43918491</v>
      </c>
    </row>
    <row r="65" spans="1:17" x14ac:dyDescent="0.2">
      <c r="A65" s="32">
        <v>984</v>
      </c>
      <c r="B65" s="32">
        <v>62</v>
      </c>
      <c r="C65" s="32">
        <v>830106557</v>
      </c>
      <c r="D65" s="32" t="s">
        <v>1907</v>
      </c>
      <c r="E65" s="32" t="s">
        <v>758</v>
      </c>
      <c r="F65" s="32" t="s">
        <v>876</v>
      </c>
      <c r="G65" s="32" t="s">
        <v>877</v>
      </c>
      <c r="H65" s="324">
        <v>88823150</v>
      </c>
      <c r="I65" s="324">
        <v>-1381329</v>
      </c>
      <c r="J65" s="324">
        <v>245357232</v>
      </c>
      <c r="K65" s="324">
        <v>230516010</v>
      </c>
      <c r="L65" s="324">
        <v>14841222</v>
      </c>
      <c r="M65" s="324">
        <v>83587250</v>
      </c>
      <c r="N65" s="324">
        <v>2789931</v>
      </c>
      <c r="O65" s="324">
        <v>201984470</v>
      </c>
      <c r="P65" s="324">
        <v>185761919</v>
      </c>
      <c r="Q65" s="324">
        <v>16222551</v>
      </c>
    </row>
    <row r="66" spans="1:17" x14ac:dyDescent="0.2">
      <c r="A66" s="32">
        <v>990</v>
      </c>
      <c r="B66" s="32">
        <v>63</v>
      </c>
      <c r="C66" s="32">
        <v>900234565</v>
      </c>
      <c r="D66" s="32" t="s">
        <v>1913</v>
      </c>
      <c r="E66" s="32" t="s">
        <v>758</v>
      </c>
      <c r="F66" s="32" t="s">
        <v>949</v>
      </c>
      <c r="G66" s="32" t="s">
        <v>877</v>
      </c>
      <c r="H66" s="324">
        <v>88343395</v>
      </c>
      <c r="I66" s="324">
        <v>-7893300</v>
      </c>
      <c r="J66" s="324">
        <v>37537365</v>
      </c>
      <c r="K66" s="324">
        <v>45310747</v>
      </c>
      <c r="L66" s="324">
        <v>-7773382</v>
      </c>
      <c r="M66" s="324">
        <v>71992425</v>
      </c>
      <c r="N66" s="324">
        <v>-1818393</v>
      </c>
      <c r="O66" s="324">
        <v>33275000</v>
      </c>
      <c r="P66" s="324">
        <v>32754906</v>
      </c>
      <c r="Q66" s="324">
        <v>520094</v>
      </c>
    </row>
    <row r="67" spans="1:17" x14ac:dyDescent="0.2">
      <c r="A67" s="32">
        <v>991</v>
      </c>
      <c r="B67" s="32">
        <v>64</v>
      </c>
      <c r="C67" s="32">
        <v>860002585</v>
      </c>
      <c r="D67" s="32" t="s">
        <v>1914</v>
      </c>
      <c r="E67" s="32" t="s">
        <v>758</v>
      </c>
      <c r="F67" s="32" t="s">
        <v>1915</v>
      </c>
      <c r="G67" s="32" t="s">
        <v>877</v>
      </c>
      <c r="H67" s="324">
        <v>88011133</v>
      </c>
      <c r="I67" s="324">
        <v>1139022</v>
      </c>
      <c r="J67" s="324">
        <v>96396991</v>
      </c>
      <c r="K67" s="324">
        <v>43508253</v>
      </c>
      <c r="L67" s="324">
        <v>52888738</v>
      </c>
      <c r="M67" s="324">
        <v>73216601</v>
      </c>
      <c r="N67" s="324">
        <v>378015</v>
      </c>
      <c r="O67" s="324">
        <v>81208955</v>
      </c>
      <c r="P67" s="324">
        <v>41419502</v>
      </c>
      <c r="Q67" s="324">
        <v>39789453</v>
      </c>
    </row>
    <row r="68" spans="1:17" x14ac:dyDescent="0.2">
      <c r="C68" s="323" t="s">
        <v>1942</v>
      </c>
      <c r="D68" s="329" t="s">
        <v>1943</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68"/>
  <sheetViews>
    <sheetView workbookViewId="0">
      <selection activeCell="D25" sqref="D25"/>
    </sheetView>
  </sheetViews>
  <sheetFormatPr baseColWidth="10" defaultRowHeight="15" x14ac:dyDescent="0.25"/>
  <cols>
    <col min="2" max="2" width="11" style="123" bestFit="1" customWidth="1"/>
    <col min="4" max="4" width="50" customWidth="1"/>
    <col min="5" max="5" width="19.7109375" customWidth="1"/>
    <col min="6" max="6" width="0" hidden="1" customWidth="1"/>
    <col min="7" max="7" width="18.5703125" customWidth="1"/>
    <col min="8" max="8" width="13.7109375" customWidth="1"/>
    <col min="9" max="9" width="11.7109375" customWidth="1"/>
    <col min="10" max="10" width="12.7109375" bestFit="1" customWidth="1"/>
    <col min="11" max="11" width="11.140625" bestFit="1" customWidth="1"/>
    <col min="12" max="12" width="12.7109375" bestFit="1" customWidth="1"/>
    <col min="14" max="14" width="11.85546875" bestFit="1" customWidth="1"/>
    <col min="15" max="15" width="12.7109375" bestFit="1" customWidth="1"/>
    <col min="16" max="16" width="11.140625" bestFit="1" customWidth="1"/>
    <col min="17" max="17" width="11.85546875" bestFit="1" customWidth="1"/>
  </cols>
  <sheetData>
    <row r="3" spans="1:17" ht="45" x14ac:dyDescent="0.25">
      <c r="A3" s="298" t="s">
        <v>1930</v>
      </c>
      <c r="B3" s="298" t="s">
        <v>1931</v>
      </c>
      <c r="C3" s="298" t="s">
        <v>742</v>
      </c>
      <c r="D3" s="298" t="s">
        <v>743</v>
      </c>
      <c r="E3" s="298" t="s">
        <v>744</v>
      </c>
      <c r="F3" s="298" t="s">
        <v>745</v>
      </c>
      <c r="G3" s="298" t="s">
        <v>746</v>
      </c>
      <c r="H3" s="298" t="s">
        <v>1932</v>
      </c>
      <c r="I3" s="298" t="s">
        <v>1933</v>
      </c>
      <c r="J3" s="298" t="s">
        <v>1934</v>
      </c>
      <c r="K3" s="298" t="s">
        <v>1935</v>
      </c>
      <c r="L3" s="298" t="s">
        <v>1936</v>
      </c>
      <c r="M3" s="298" t="s">
        <v>1937</v>
      </c>
      <c r="N3" s="298" t="s">
        <v>1938</v>
      </c>
      <c r="O3" s="298" t="s">
        <v>1939</v>
      </c>
      <c r="P3" s="298" t="s">
        <v>1940</v>
      </c>
      <c r="Q3" s="298" t="s">
        <v>1941</v>
      </c>
    </row>
    <row r="4" spans="1:17" x14ac:dyDescent="0.25">
      <c r="A4" s="300">
        <v>84</v>
      </c>
      <c r="B4" s="330">
        <v>1</v>
      </c>
      <c r="C4" s="312">
        <v>890901110</v>
      </c>
      <c r="D4" s="312" t="s">
        <v>979</v>
      </c>
      <c r="E4" s="312" t="s">
        <v>763</v>
      </c>
      <c r="F4" s="312" t="s">
        <v>759</v>
      </c>
      <c r="G4" s="313" t="s">
        <v>877</v>
      </c>
      <c r="H4" s="314">
        <v>616595360</v>
      </c>
      <c r="I4" s="314">
        <v>60610080</v>
      </c>
      <c r="J4" s="314">
        <v>1546108190</v>
      </c>
      <c r="K4" s="314">
        <v>540121400</v>
      </c>
      <c r="L4" s="314">
        <v>1005986790</v>
      </c>
      <c r="M4" s="314">
        <v>597378548</v>
      </c>
      <c r="N4" s="314">
        <v>50362166</v>
      </c>
      <c r="O4" s="314">
        <v>1341195425</v>
      </c>
      <c r="P4" s="314">
        <v>427206853</v>
      </c>
      <c r="Q4" s="314">
        <v>913988574</v>
      </c>
    </row>
    <row r="5" spans="1:17" x14ac:dyDescent="0.25">
      <c r="A5" s="312">
        <v>118</v>
      </c>
      <c r="B5" s="330">
        <v>2</v>
      </c>
      <c r="C5" s="312">
        <v>832006599</v>
      </c>
      <c r="D5" s="312" t="s">
        <v>1007</v>
      </c>
      <c r="E5" s="312" t="s">
        <v>758</v>
      </c>
      <c r="F5" s="312" t="s">
        <v>876</v>
      </c>
      <c r="G5" s="313" t="s">
        <v>877</v>
      </c>
      <c r="H5" s="314">
        <v>544333164</v>
      </c>
      <c r="I5" s="314">
        <v>71276915</v>
      </c>
      <c r="J5" s="314">
        <v>1293992515</v>
      </c>
      <c r="K5" s="314">
        <v>458536312</v>
      </c>
      <c r="L5" s="314">
        <v>835456203</v>
      </c>
      <c r="M5" s="314">
        <v>476830706</v>
      </c>
      <c r="N5" s="314">
        <v>61513883</v>
      </c>
      <c r="O5" s="314">
        <v>1111070925</v>
      </c>
      <c r="P5" s="314">
        <v>378747419</v>
      </c>
      <c r="Q5" s="314">
        <v>732323506</v>
      </c>
    </row>
    <row r="6" spans="1:17" x14ac:dyDescent="0.25">
      <c r="A6" s="312">
        <v>163</v>
      </c>
      <c r="B6" s="330">
        <v>3</v>
      </c>
      <c r="C6" s="300">
        <v>800169499</v>
      </c>
      <c r="D6" s="300" t="s">
        <v>1313</v>
      </c>
      <c r="E6" s="300" t="s">
        <v>758</v>
      </c>
      <c r="F6" s="300" t="s">
        <v>759</v>
      </c>
      <c r="G6" s="311" t="s">
        <v>877</v>
      </c>
      <c r="H6" s="302">
        <v>231364170</v>
      </c>
      <c r="I6" s="302">
        <v>83041820</v>
      </c>
      <c r="J6" s="302">
        <v>1211457640</v>
      </c>
      <c r="K6" s="302">
        <v>481914260</v>
      </c>
      <c r="L6" s="302">
        <v>729543380</v>
      </c>
      <c r="M6" s="302">
        <v>346351019</v>
      </c>
      <c r="N6" s="302">
        <v>142173598</v>
      </c>
      <c r="O6" s="302">
        <v>1093975513</v>
      </c>
      <c r="P6" s="302">
        <v>431321639</v>
      </c>
      <c r="Q6" s="302">
        <v>662653874</v>
      </c>
    </row>
    <row r="7" spans="1:17" s="335" customFormat="1" x14ac:dyDescent="0.25">
      <c r="A7" s="312">
        <v>185</v>
      </c>
      <c r="B7" s="331">
        <v>4</v>
      </c>
      <c r="C7" s="332">
        <v>890922447</v>
      </c>
      <c r="D7" s="332" t="s">
        <v>1179</v>
      </c>
      <c r="E7" s="332" t="s">
        <v>763</v>
      </c>
      <c r="F7" s="332" t="s">
        <v>759</v>
      </c>
      <c r="G7" s="333" t="s">
        <v>877</v>
      </c>
      <c r="H7" s="334">
        <v>306866993</v>
      </c>
      <c r="I7" s="334">
        <v>55803762</v>
      </c>
      <c r="J7" s="334">
        <v>856808995</v>
      </c>
      <c r="K7" s="334">
        <v>204438952</v>
      </c>
      <c r="L7" s="334">
        <v>652370043</v>
      </c>
      <c r="M7" s="334">
        <v>264981218</v>
      </c>
      <c r="N7" s="334">
        <v>31750875</v>
      </c>
      <c r="O7" s="334">
        <v>809041672</v>
      </c>
      <c r="P7" s="334">
        <v>188266253</v>
      </c>
      <c r="Q7" s="334">
        <v>620775422</v>
      </c>
    </row>
    <row r="8" spans="1:17" x14ac:dyDescent="0.25">
      <c r="A8" s="312">
        <v>249</v>
      </c>
      <c r="B8" s="330">
        <v>5</v>
      </c>
      <c r="C8" s="312">
        <v>890318278</v>
      </c>
      <c r="D8" s="312" t="s">
        <v>921</v>
      </c>
      <c r="E8" s="312" t="s">
        <v>808</v>
      </c>
      <c r="F8" s="312" t="s">
        <v>876</v>
      </c>
      <c r="G8" s="313" t="s">
        <v>877</v>
      </c>
      <c r="H8" s="314">
        <v>809804698</v>
      </c>
      <c r="I8" s="314">
        <v>4086154</v>
      </c>
      <c r="J8" s="314">
        <v>1197377065</v>
      </c>
      <c r="K8" s="314">
        <v>630607534</v>
      </c>
      <c r="L8" s="314">
        <v>566769531</v>
      </c>
      <c r="M8" s="314">
        <v>725421484</v>
      </c>
      <c r="N8" s="314">
        <v>29521822</v>
      </c>
      <c r="O8" s="314">
        <v>1062654723</v>
      </c>
      <c r="P8" s="314">
        <v>499548448</v>
      </c>
      <c r="Q8" s="314">
        <v>563106275</v>
      </c>
    </row>
    <row r="9" spans="1:17" x14ac:dyDescent="0.25">
      <c r="A9" s="300">
        <v>261</v>
      </c>
      <c r="B9" s="330">
        <v>6</v>
      </c>
      <c r="C9" s="300">
        <v>860024586</v>
      </c>
      <c r="D9" s="300" t="s">
        <v>1350</v>
      </c>
      <c r="E9" s="300" t="s">
        <v>758</v>
      </c>
      <c r="F9" s="300" t="s">
        <v>876</v>
      </c>
      <c r="G9" s="311" t="s">
        <v>877</v>
      </c>
      <c r="H9" s="302">
        <v>211331613</v>
      </c>
      <c r="I9" s="302">
        <v>22306977</v>
      </c>
      <c r="J9" s="302">
        <v>826066041</v>
      </c>
      <c r="K9" s="302">
        <v>287182384</v>
      </c>
      <c r="L9" s="302">
        <v>538883657</v>
      </c>
      <c r="M9" s="302">
        <v>197356020</v>
      </c>
      <c r="N9" s="302">
        <v>18067209</v>
      </c>
      <c r="O9" s="302">
        <v>836137243</v>
      </c>
      <c r="P9" s="302">
        <v>295212291</v>
      </c>
      <c r="Q9" s="302">
        <v>540924952</v>
      </c>
    </row>
    <row r="10" spans="1:17" x14ac:dyDescent="0.25">
      <c r="A10" s="300">
        <v>276</v>
      </c>
      <c r="B10" s="330">
        <v>7</v>
      </c>
      <c r="C10" s="312">
        <v>890930545</v>
      </c>
      <c r="D10" s="312" t="s">
        <v>1180</v>
      </c>
      <c r="E10" s="312" t="s">
        <v>758</v>
      </c>
      <c r="F10" s="312" t="s">
        <v>876</v>
      </c>
      <c r="G10" s="313" t="s">
        <v>877</v>
      </c>
      <c r="H10" s="314">
        <v>306557376</v>
      </c>
      <c r="I10" s="314">
        <v>97284544</v>
      </c>
      <c r="J10" s="314">
        <v>682859272</v>
      </c>
      <c r="K10" s="314">
        <v>160589824</v>
      </c>
      <c r="L10" s="314">
        <v>522269448</v>
      </c>
      <c r="M10" s="314">
        <v>272960897</v>
      </c>
      <c r="N10" s="314">
        <v>51243240</v>
      </c>
      <c r="O10" s="314">
        <v>636649439</v>
      </c>
      <c r="P10" s="314">
        <v>153024503</v>
      </c>
      <c r="Q10" s="314">
        <v>483624936</v>
      </c>
    </row>
    <row r="11" spans="1:17" x14ac:dyDescent="0.25">
      <c r="A11" s="300">
        <v>279</v>
      </c>
      <c r="B11" s="330">
        <v>8</v>
      </c>
      <c r="C11" s="300">
        <v>860058070</v>
      </c>
      <c r="D11" s="300" t="s">
        <v>1385</v>
      </c>
      <c r="E11" s="300" t="s">
        <v>758</v>
      </c>
      <c r="F11" s="300" t="s">
        <v>1290</v>
      </c>
      <c r="G11" s="311" t="s">
        <v>877</v>
      </c>
      <c r="H11" s="302">
        <v>194744045</v>
      </c>
      <c r="I11" s="302">
        <v>52596420</v>
      </c>
      <c r="J11" s="302">
        <v>718598988</v>
      </c>
      <c r="K11" s="302">
        <v>410298513</v>
      </c>
      <c r="L11" s="302">
        <v>308300475</v>
      </c>
      <c r="M11" s="302">
        <v>290200073</v>
      </c>
      <c r="N11" s="302">
        <v>48598933</v>
      </c>
      <c r="O11" s="302">
        <v>631973818</v>
      </c>
      <c r="P11" s="302">
        <v>366727351</v>
      </c>
      <c r="Q11" s="302">
        <v>265246467</v>
      </c>
    </row>
    <row r="12" spans="1:17" x14ac:dyDescent="0.25">
      <c r="A12" s="300">
        <v>287</v>
      </c>
      <c r="B12" s="330">
        <v>9</v>
      </c>
      <c r="C12" s="300">
        <v>800093117</v>
      </c>
      <c r="D12" s="300" t="s">
        <v>1793</v>
      </c>
      <c r="E12" s="300" t="s">
        <v>763</v>
      </c>
      <c r="F12" s="300" t="s">
        <v>1794</v>
      </c>
      <c r="G12" s="311" t="s">
        <v>877</v>
      </c>
      <c r="H12" s="302">
        <v>100277884</v>
      </c>
      <c r="I12" s="302">
        <v>17033967</v>
      </c>
      <c r="J12" s="302">
        <v>500718077</v>
      </c>
      <c r="K12" s="302">
        <v>214535416</v>
      </c>
      <c r="L12" s="302">
        <v>286182661</v>
      </c>
      <c r="M12" s="302">
        <v>81105699</v>
      </c>
      <c r="N12" s="302">
        <v>44555346</v>
      </c>
      <c r="O12" s="302">
        <v>436923725</v>
      </c>
      <c r="P12" s="302">
        <v>190568252</v>
      </c>
      <c r="Q12" s="302">
        <v>246355473</v>
      </c>
    </row>
    <row r="13" spans="1:17" x14ac:dyDescent="0.25">
      <c r="A13" s="300">
        <v>295</v>
      </c>
      <c r="B13" s="330">
        <v>10</v>
      </c>
      <c r="C13" s="300">
        <v>890903035</v>
      </c>
      <c r="D13" s="300" t="s">
        <v>1232</v>
      </c>
      <c r="E13" s="300" t="s">
        <v>758</v>
      </c>
      <c r="F13" s="300" t="s">
        <v>876</v>
      </c>
      <c r="G13" s="311" t="s">
        <v>877</v>
      </c>
      <c r="H13" s="302">
        <v>270286917</v>
      </c>
      <c r="I13" s="302">
        <v>22310708</v>
      </c>
      <c r="J13" s="302">
        <v>426679078</v>
      </c>
      <c r="K13" s="302">
        <v>156615539</v>
      </c>
      <c r="L13" s="302">
        <v>270063539</v>
      </c>
      <c r="M13" s="302">
        <v>304894305</v>
      </c>
      <c r="N13" s="302">
        <v>10415449</v>
      </c>
      <c r="O13" s="302">
        <v>385823063</v>
      </c>
      <c r="P13" s="302">
        <v>137639493</v>
      </c>
      <c r="Q13" s="302">
        <v>248183570</v>
      </c>
    </row>
    <row r="14" spans="1:17" s="337" customFormat="1" x14ac:dyDescent="0.25">
      <c r="A14" s="332">
        <v>319</v>
      </c>
      <c r="B14" s="336">
        <v>11</v>
      </c>
      <c r="C14" s="300">
        <v>800182330</v>
      </c>
      <c r="D14" s="300" t="s">
        <v>1199</v>
      </c>
      <c r="E14" s="300" t="s">
        <v>768</v>
      </c>
      <c r="F14" s="300" t="s">
        <v>876</v>
      </c>
      <c r="G14" s="311" t="s">
        <v>877</v>
      </c>
      <c r="H14" s="302">
        <v>294662429</v>
      </c>
      <c r="I14" s="302">
        <v>20681207</v>
      </c>
      <c r="J14" s="302">
        <v>590537449</v>
      </c>
      <c r="K14" s="302">
        <v>374309590</v>
      </c>
      <c r="L14" s="302">
        <v>216227859</v>
      </c>
      <c r="M14" s="302">
        <v>205440453</v>
      </c>
      <c r="N14" s="302">
        <v>7698159</v>
      </c>
      <c r="O14" s="302">
        <v>481145606</v>
      </c>
      <c r="P14" s="302">
        <v>260582896</v>
      </c>
      <c r="Q14" s="302">
        <v>220562710</v>
      </c>
    </row>
    <row r="15" spans="1:17" x14ac:dyDescent="0.25">
      <c r="A15" s="312">
        <v>320</v>
      </c>
      <c r="B15" s="330">
        <v>12</v>
      </c>
      <c r="C15" s="300">
        <v>830099238</v>
      </c>
      <c r="D15" s="300" t="s">
        <v>1870</v>
      </c>
      <c r="E15" s="300" t="s">
        <v>758</v>
      </c>
      <c r="F15" s="300" t="s">
        <v>943</v>
      </c>
      <c r="G15" s="311" t="s">
        <v>877</v>
      </c>
      <c r="H15" s="302">
        <v>92627224</v>
      </c>
      <c r="I15" s="302">
        <v>-33721469</v>
      </c>
      <c r="J15" s="302">
        <v>411682050</v>
      </c>
      <c r="K15" s="302">
        <v>209095963</v>
      </c>
      <c r="L15" s="302">
        <v>202586087</v>
      </c>
      <c r="M15" s="302">
        <v>64454232</v>
      </c>
      <c r="N15" s="302">
        <v>-30606571</v>
      </c>
      <c r="O15" s="302">
        <v>315493685</v>
      </c>
      <c r="P15" s="302">
        <v>164622654</v>
      </c>
      <c r="Q15" s="302">
        <v>150871031</v>
      </c>
    </row>
    <row r="16" spans="1:17" x14ac:dyDescent="0.25">
      <c r="A16" s="300">
        <v>337</v>
      </c>
      <c r="B16" s="330">
        <v>13</v>
      </c>
      <c r="C16" s="300">
        <v>860000531</v>
      </c>
      <c r="D16" s="300" t="s">
        <v>1702</v>
      </c>
      <c r="E16" s="300" t="s">
        <v>758</v>
      </c>
      <c r="F16" s="300" t="s">
        <v>1331</v>
      </c>
      <c r="G16" s="311" t="s">
        <v>877</v>
      </c>
      <c r="H16" s="302">
        <v>112098468</v>
      </c>
      <c r="I16" s="302">
        <v>24938270</v>
      </c>
      <c r="J16" s="302">
        <v>389368339</v>
      </c>
      <c r="K16" s="302">
        <v>212063842</v>
      </c>
      <c r="L16" s="302">
        <v>177304497</v>
      </c>
      <c r="M16" s="302">
        <v>113701921</v>
      </c>
      <c r="N16" s="302">
        <v>26765199</v>
      </c>
      <c r="O16" s="302">
        <v>239366753</v>
      </c>
      <c r="P16" s="302">
        <v>88921046</v>
      </c>
      <c r="Q16" s="302">
        <v>150445707</v>
      </c>
    </row>
    <row r="17" spans="1:17" s="335" customFormat="1" x14ac:dyDescent="0.25">
      <c r="A17" s="312">
        <v>349</v>
      </c>
      <c r="B17" s="331">
        <v>14</v>
      </c>
      <c r="C17" s="300">
        <v>800185295</v>
      </c>
      <c r="D17" s="300" t="s">
        <v>1807</v>
      </c>
      <c r="E17" s="300" t="s">
        <v>758</v>
      </c>
      <c r="F17" s="300" t="s">
        <v>1331</v>
      </c>
      <c r="G17" s="311" t="s">
        <v>877</v>
      </c>
      <c r="H17" s="302">
        <v>98726917</v>
      </c>
      <c r="I17" s="302">
        <v>57932326</v>
      </c>
      <c r="J17" s="302">
        <v>363436017</v>
      </c>
      <c r="K17" s="302">
        <v>191999575</v>
      </c>
      <c r="L17" s="302">
        <v>171436442</v>
      </c>
      <c r="M17" s="302">
        <v>98458351</v>
      </c>
      <c r="N17" s="302">
        <v>43766767</v>
      </c>
      <c r="O17" s="302">
        <v>265455418</v>
      </c>
      <c r="P17" s="302">
        <v>155106091</v>
      </c>
      <c r="Q17" s="302">
        <v>110349327</v>
      </c>
    </row>
    <row r="18" spans="1:17" x14ac:dyDescent="0.25">
      <c r="A18" s="300">
        <v>359</v>
      </c>
      <c r="B18" s="330">
        <v>15</v>
      </c>
      <c r="C18" s="300">
        <v>890906413</v>
      </c>
      <c r="D18" s="300" t="s">
        <v>1294</v>
      </c>
      <c r="E18" s="300" t="s">
        <v>763</v>
      </c>
      <c r="F18" s="300" t="s">
        <v>876</v>
      </c>
      <c r="G18" s="311" t="s">
        <v>877</v>
      </c>
      <c r="H18" s="302">
        <v>241319770</v>
      </c>
      <c r="I18" s="302">
        <v>14132565</v>
      </c>
      <c r="J18" s="302">
        <v>268122037</v>
      </c>
      <c r="K18" s="302">
        <v>97903974</v>
      </c>
      <c r="L18" s="302">
        <v>170218063</v>
      </c>
      <c r="M18" s="302">
        <v>157229694</v>
      </c>
      <c r="N18" s="302">
        <v>16601299</v>
      </c>
      <c r="O18" s="302">
        <v>207394661</v>
      </c>
      <c r="P18" s="302">
        <v>62454986</v>
      </c>
      <c r="Q18" s="302">
        <v>144939675</v>
      </c>
    </row>
    <row r="19" spans="1:17" x14ac:dyDescent="0.25">
      <c r="A19" s="300">
        <v>367</v>
      </c>
      <c r="B19" s="330">
        <v>16</v>
      </c>
      <c r="C19" s="300">
        <v>890205645</v>
      </c>
      <c r="D19" s="300" t="s">
        <v>1373</v>
      </c>
      <c r="E19" s="300" t="s">
        <v>891</v>
      </c>
      <c r="F19" s="300" t="s">
        <v>1290</v>
      </c>
      <c r="G19" s="311" t="s">
        <v>877</v>
      </c>
      <c r="H19" s="302">
        <v>200578084</v>
      </c>
      <c r="I19" s="302">
        <v>15842843</v>
      </c>
      <c r="J19" s="302">
        <v>544198913</v>
      </c>
      <c r="K19" s="302">
        <v>376181946</v>
      </c>
      <c r="L19" s="302">
        <v>168016967</v>
      </c>
      <c r="M19" s="302">
        <v>215802506</v>
      </c>
      <c r="N19" s="302">
        <v>11961078</v>
      </c>
      <c r="O19" s="302">
        <v>420064525</v>
      </c>
      <c r="P19" s="302">
        <v>307014427</v>
      </c>
      <c r="Q19" s="302">
        <v>113050098</v>
      </c>
    </row>
    <row r="20" spans="1:17" s="335" customFormat="1" x14ac:dyDescent="0.25">
      <c r="A20" s="312">
        <v>410</v>
      </c>
      <c r="B20" s="331">
        <v>17</v>
      </c>
      <c r="C20" s="300">
        <v>890911431</v>
      </c>
      <c r="D20" s="300" t="s">
        <v>1370</v>
      </c>
      <c r="E20" s="300" t="s">
        <v>763</v>
      </c>
      <c r="F20" s="300" t="s">
        <v>876</v>
      </c>
      <c r="G20" s="311" t="s">
        <v>877</v>
      </c>
      <c r="H20" s="302">
        <v>201502021</v>
      </c>
      <c r="I20" s="302">
        <v>16591355</v>
      </c>
      <c r="J20" s="302">
        <v>339543946</v>
      </c>
      <c r="K20" s="302">
        <v>191318915</v>
      </c>
      <c r="L20" s="302">
        <v>148225031</v>
      </c>
      <c r="M20" s="302">
        <v>139845719</v>
      </c>
      <c r="N20" s="302">
        <v>12498153</v>
      </c>
      <c r="O20" s="302">
        <v>277337544</v>
      </c>
      <c r="P20" s="302">
        <v>143219272</v>
      </c>
      <c r="Q20" s="302">
        <v>134118272</v>
      </c>
    </row>
    <row r="21" spans="1:17" x14ac:dyDescent="0.25">
      <c r="A21" s="300">
        <v>417</v>
      </c>
      <c r="B21" s="330">
        <v>18</v>
      </c>
      <c r="C21" s="300">
        <v>830094920</v>
      </c>
      <c r="D21" s="300" t="s">
        <v>1330</v>
      </c>
      <c r="E21" s="300" t="s">
        <v>758</v>
      </c>
      <c r="F21" s="300" t="s">
        <v>1331</v>
      </c>
      <c r="G21" s="311" t="s">
        <v>877</v>
      </c>
      <c r="H21" s="302">
        <v>222676882</v>
      </c>
      <c r="I21" s="302">
        <v>12858532</v>
      </c>
      <c r="J21" s="302">
        <v>306720194</v>
      </c>
      <c r="K21" s="302">
        <v>161598725</v>
      </c>
      <c r="L21" s="302">
        <v>145121469</v>
      </c>
      <c r="M21" s="302">
        <v>192343686</v>
      </c>
      <c r="N21" s="302">
        <v>1059479</v>
      </c>
      <c r="O21" s="302">
        <v>354276822</v>
      </c>
      <c r="P21" s="302">
        <v>219208791</v>
      </c>
      <c r="Q21" s="302">
        <v>135068031</v>
      </c>
    </row>
    <row r="22" spans="1:17" x14ac:dyDescent="0.25">
      <c r="A22" s="300">
        <v>419</v>
      </c>
      <c r="B22" s="330">
        <v>19</v>
      </c>
      <c r="C22" s="300">
        <v>890932424</v>
      </c>
      <c r="D22" s="300" t="s">
        <v>1292</v>
      </c>
      <c r="E22" s="300" t="s">
        <v>763</v>
      </c>
      <c r="F22" s="300" t="s">
        <v>876</v>
      </c>
      <c r="G22" s="311" t="s">
        <v>877</v>
      </c>
      <c r="H22" s="302">
        <v>241723272</v>
      </c>
      <c r="I22" s="302">
        <v>8853710</v>
      </c>
      <c r="J22" s="302">
        <v>194658823</v>
      </c>
      <c r="K22" s="302">
        <v>56422374</v>
      </c>
      <c r="L22" s="302">
        <v>138236449</v>
      </c>
      <c r="M22" s="302">
        <v>209242999</v>
      </c>
      <c r="N22" s="302">
        <v>20245591</v>
      </c>
      <c r="O22" s="302">
        <v>200355425</v>
      </c>
      <c r="P22" s="302">
        <v>68422510</v>
      </c>
      <c r="Q22" s="302">
        <v>131932915</v>
      </c>
    </row>
    <row r="23" spans="1:17" x14ac:dyDescent="0.25">
      <c r="A23" s="300">
        <v>421</v>
      </c>
      <c r="B23" s="330">
        <v>20</v>
      </c>
      <c r="C23" s="300">
        <v>890327996</v>
      </c>
      <c r="D23" s="300" t="s">
        <v>1688</v>
      </c>
      <c r="E23" s="300" t="s">
        <v>808</v>
      </c>
      <c r="F23" s="300" t="s">
        <v>759</v>
      </c>
      <c r="G23" s="311" t="s">
        <v>877</v>
      </c>
      <c r="H23" s="302">
        <v>115231371</v>
      </c>
      <c r="I23" s="302">
        <v>50621143</v>
      </c>
      <c r="J23" s="302">
        <v>300077355</v>
      </c>
      <c r="K23" s="302">
        <v>167595522</v>
      </c>
      <c r="L23" s="302">
        <v>132481833</v>
      </c>
      <c r="M23" s="302">
        <v>112144709.99999999</v>
      </c>
      <c r="N23" s="302">
        <v>50581320</v>
      </c>
      <c r="O23" s="302">
        <v>315422690</v>
      </c>
      <c r="P23" s="302">
        <v>190165010</v>
      </c>
      <c r="Q23" s="302">
        <v>125257680</v>
      </c>
    </row>
    <row r="24" spans="1:17" x14ac:dyDescent="0.25">
      <c r="A24" s="300">
        <v>422</v>
      </c>
      <c r="B24" s="330">
        <v>21</v>
      </c>
      <c r="C24" s="312">
        <v>800186228</v>
      </c>
      <c r="D24" s="312" t="s">
        <v>1317</v>
      </c>
      <c r="E24" s="312" t="s">
        <v>758</v>
      </c>
      <c r="F24" s="312" t="s">
        <v>876</v>
      </c>
      <c r="G24" s="313" t="s">
        <v>877</v>
      </c>
      <c r="H24" s="314">
        <v>229015895</v>
      </c>
      <c r="I24" s="314">
        <v>11021132</v>
      </c>
      <c r="J24" s="314">
        <v>211286376</v>
      </c>
      <c r="K24" s="314">
        <v>81162124</v>
      </c>
      <c r="L24" s="314">
        <v>130124252</v>
      </c>
      <c r="M24" s="314">
        <v>171932833</v>
      </c>
      <c r="N24" s="314">
        <v>5882243</v>
      </c>
      <c r="O24" s="314">
        <v>167658659</v>
      </c>
      <c r="P24" s="314">
        <v>76861750</v>
      </c>
      <c r="Q24" s="314">
        <v>90796909</v>
      </c>
    </row>
    <row r="25" spans="1:17" x14ac:dyDescent="0.25">
      <c r="A25" s="300">
        <v>434</v>
      </c>
      <c r="B25" s="330">
        <v>22</v>
      </c>
      <c r="C25" s="300">
        <v>860506688</v>
      </c>
      <c r="D25" s="300" t="s">
        <v>1547</v>
      </c>
      <c r="E25" s="300" t="s">
        <v>758</v>
      </c>
      <c r="F25" s="300" t="s">
        <v>876</v>
      </c>
      <c r="G25" s="311" t="s">
        <v>877</v>
      </c>
      <c r="H25" s="302">
        <v>142546614</v>
      </c>
      <c r="I25" s="302">
        <v>15808203</v>
      </c>
      <c r="J25" s="302">
        <v>256691877</v>
      </c>
      <c r="K25" s="302">
        <v>127472571</v>
      </c>
      <c r="L25" s="302">
        <v>129219306</v>
      </c>
      <c r="M25" s="302">
        <v>99535878</v>
      </c>
      <c r="N25" s="302">
        <v>306924</v>
      </c>
      <c r="O25" s="302">
        <v>246758025</v>
      </c>
      <c r="P25" s="302">
        <v>132524472</v>
      </c>
      <c r="Q25" s="302">
        <v>114233553</v>
      </c>
    </row>
    <row r="26" spans="1:17" x14ac:dyDescent="0.25">
      <c r="A26" s="300">
        <v>439</v>
      </c>
      <c r="B26" s="330">
        <v>23</v>
      </c>
      <c r="C26" s="300">
        <v>890906388</v>
      </c>
      <c r="D26" s="300" t="s">
        <v>1376</v>
      </c>
      <c r="E26" s="300" t="s">
        <v>763</v>
      </c>
      <c r="F26" s="300" t="s">
        <v>876</v>
      </c>
      <c r="G26" s="311" t="s">
        <v>877</v>
      </c>
      <c r="H26" s="302">
        <v>199625932</v>
      </c>
      <c r="I26" s="302">
        <v>8207381</v>
      </c>
      <c r="J26" s="302">
        <v>205300661</v>
      </c>
      <c r="K26" s="302">
        <v>76677076</v>
      </c>
      <c r="L26" s="302">
        <v>128623585</v>
      </c>
      <c r="M26" s="302">
        <v>222411852</v>
      </c>
      <c r="N26" s="302">
        <v>2939374</v>
      </c>
      <c r="O26" s="302">
        <v>217474888</v>
      </c>
      <c r="P26" s="302">
        <v>94258665</v>
      </c>
      <c r="Q26" s="302">
        <v>123216223</v>
      </c>
    </row>
    <row r="27" spans="1:17" x14ac:dyDescent="0.25">
      <c r="A27" s="300">
        <v>443</v>
      </c>
      <c r="B27" s="330">
        <v>24</v>
      </c>
      <c r="C27" s="300">
        <v>800086042</v>
      </c>
      <c r="D27" s="300" t="s">
        <v>1841</v>
      </c>
      <c r="E27" s="300" t="s">
        <v>758</v>
      </c>
      <c r="F27" s="300" t="s">
        <v>1290</v>
      </c>
      <c r="G27" s="311" t="s">
        <v>877</v>
      </c>
      <c r="H27" s="302">
        <v>95161925</v>
      </c>
      <c r="I27" s="302">
        <v>19581018</v>
      </c>
      <c r="J27" s="302">
        <v>265582193</v>
      </c>
      <c r="K27" s="302">
        <v>141739471</v>
      </c>
      <c r="L27" s="302">
        <v>123842722</v>
      </c>
      <c r="M27" s="302">
        <v>71180705</v>
      </c>
      <c r="N27" s="302">
        <v>5095989</v>
      </c>
      <c r="O27" s="302">
        <v>211241216</v>
      </c>
      <c r="P27" s="302">
        <v>126078383</v>
      </c>
      <c r="Q27" s="302">
        <v>85162833</v>
      </c>
    </row>
    <row r="28" spans="1:17" s="335" customFormat="1" x14ac:dyDescent="0.25">
      <c r="A28" s="312">
        <v>444</v>
      </c>
      <c r="B28" s="331">
        <v>25</v>
      </c>
      <c r="C28" s="300">
        <v>890312765</v>
      </c>
      <c r="D28" s="300" t="s">
        <v>1224</v>
      </c>
      <c r="E28" s="300" t="s">
        <v>808</v>
      </c>
      <c r="F28" s="300" t="s">
        <v>876</v>
      </c>
      <c r="G28" s="311" t="s">
        <v>877</v>
      </c>
      <c r="H28" s="302">
        <v>277609471</v>
      </c>
      <c r="I28" s="302">
        <v>13367307</v>
      </c>
      <c r="J28" s="302">
        <v>233904915</v>
      </c>
      <c r="K28" s="302">
        <v>115695200</v>
      </c>
      <c r="L28" s="302">
        <v>118209715</v>
      </c>
      <c r="M28" s="302">
        <v>278562899</v>
      </c>
      <c r="N28" s="302">
        <v>34832773</v>
      </c>
      <c r="O28" s="302">
        <v>237987495</v>
      </c>
      <c r="P28" s="302">
        <v>127566377</v>
      </c>
      <c r="Q28" s="302">
        <v>110421118</v>
      </c>
    </row>
    <row r="29" spans="1:17" x14ac:dyDescent="0.25">
      <c r="A29" s="300">
        <v>453</v>
      </c>
      <c r="B29" s="330">
        <v>26</v>
      </c>
      <c r="C29" s="300">
        <v>890100248</v>
      </c>
      <c r="D29" s="312" t="s">
        <v>1883</v>
      </c>
      <c r="E29" s="300" t="s">
        <v>768</v>
      </c>
      <c r="F29" s="300" t="s">
        <v>876</v>
      </c>
      <c r="G29" s="311" t="s">
        <v>877</v>
      </c>
      <c r="H29" s="302">
        <v>91488778</v>
      </c>
      <c r="I29" s="302">
        <v>43203915</v>
      </c>
      <c r="J29" s="302">
        <v>182056301</v>
      </c>
      <c r="K29" s="302">
        <v>69954728</v>
      </c>
      <c r="L29" s="302">
        <v>112101573</v>
      </c>
      <c r="M29" s="302">
        <v>80474188</v>
      </c>
      <c r="N29" s="302">
        <v>2754672</v>
      </c>
      <c r="O29" s="302">
        <v>160679147</v>
      </c>
      <c r="P29" s="302">
        <v>83174425</v>
      </c>
      <c r="Q29" s="302">
        <v>77504722</v>
      </c>
    </row>
    <row r="30" spans="1:17" x14ac:dyDescent="0.25">
      <c r="A30" s="300">
        <v>457</v>
      </c>
      <c r="B30" s="330">
        <v>27</v>
      </c>
      <c r="C30" s="300">
        <v>844000670</v>
      </c>
      <c r="D30" s="300" t="s">
        <v>1148</v>
      </c>
      <c r="E30" s="300" t="s">
        <v>1149</v>
      </c>
      <c r="F30" s="300" t="s">
        <v>876</v>
      </c>
      <c r="G30" s="311" t="s">
        <v>877</v>
      </c>
      <c r="H30" s="302">
        <v>338556074</v>
      </c>
      <c r="I30" s="302">
        <v>29205968</v>
      </c>
      <c r="J30" s="302">
        <v>255517272</v>
      </c>
      <c r="K30" s="302">
        <v>144414769</v>
      </c>
      <c r="L30" s="302">
        <v>111102503</v>
      </c>
      <c r="M30" s="302">
        <v>261305524</v>
      </c>
      <c r="N30" s="302">
        <v>2355585</v>
      </c>
      <c r="O30" s="302">
        <v>224472230</v>
      </c>
      <c r="P30" s="302">
        <v>133821411</v>
      </c>
      <c r="Q30" s="302">
        <v>90650819</v>
      </c>
    </row>
    <row r="31" spans="1:17" x14ac:dyDescent="0.25">
      <c r="A31" s="300">
        <v>468</v>
      </c>
      <c r="B31" s="330">
        <v>28</v>
      </c>
      <c r="C31" s="312">
        <v>804000752</v>
      </c>
      <c r="D31" s="312" t="s">
        <v>1613</v>
      </c>
      <c r="E31" s="312" t="s">
        <v>891</v>
      </c>
      <c r="F31" s="312" t="s">
        <v>876</v>
      </c>
      <c r="G31" s="313" t="s">
        <v>877</v>
      </c>
      <c r="H31" s="314">
        <v>126638903</v>
      </c>
      <c r="I31" s="314">
        <v>1105886</v>
      </c>
      <c r="J31" s="314">
        <v>215590903</v>
      </c>
      <c r="K31" s="314">
        <v>107622595</v>
      </c>
      <c r="L31" s="314">
        <v>107968308</v>
      </c>
      <c r="M31" s="314">
        <v>128794852</v>
      </c>
      <c r="N31" s="314">
        <v>2081187</v>
      </c>
      <c r="O31" s="314">
        <v>187755752</v>
      </c>
      <c r="P31" s="314">
        <v>88769871</v>
      </c>
      <c r="Q31" s="314">
        <v>98985881</v>
      </c>
    </row>
    <row r="32" spans="1:17" x14ac:dyDescent="0.25">
      <c r="A32" s="312">
        <v>471</v>
      </c>
      <c r="B32" s="330">
        <v>29</v>
      </c>
      <c r="C32" s="300">
        <v>830012053</v>
      </c>
      <c r="D32" s="300" t="s">
        <v>1295</v>
      </c>
      <c r="E32" s="300" t="s">
        <v>758</v>
      </c>
      <c r="F32" s="300" t="s">
        <v>1290</v>
      </c>
      <c r="G32" s="311" t="s">
        <v>877</v>
      </c>
      <c r="H32" s="302">
        <v>240672326</v>
      </c>
      <c r="I32" s="302">
        <v>12363690</v>
      </c>
      <c r="J32" s="302">
        <v>353766955</v>
      </c>
      <c r="K32" s="302">
        <v>247199753</v>
      </c>
      <c r="L32" s="302">
        <v>106567202</v>
      </c>
      <c r="M32" s="302">
        <v>231932643</v>
      </c>
      <c r="N32" s="302">
        <v>9964557</v>
      </c>
      <c r="O32" s="302">
        <v>277859817</v>
      </c>
      <c r="P32" s="302">
        <v>184122894</v>
      </c>
      <c r="Q32" s="302">
        <v>93736923</v>
      </c>
    </row>
    <row r="33" spans="1:17" x14ac:dyDescent="0.25">
      <c r="A33" s="300">
        <v>485</v>
      </c>
      <c r="B33" s="330">
        <v>30</v>
      </c>
      <c r="C33" s="300">
        <v>890904815</v>
      </c>
      <c r="D33" s="300" t="s">
        <v>1138</v>
      </c>
      <c r="E33" s="300" t="s">
        <v>763</v>
      </c>
      <c r="F33" s="300" t="s">
        <v>876</v>
      </c>
      <c r="G33" s="311" t="s">
        <v>877</v>
      </c>
      <c r="H33" s="302">
        <v>346278268</v>
      </c>
      <c r="I33" s="302">
        <v>1543411</v>
      </c>
      <c r="J33" s="302">
        <v>278709576</v>
      </c>
      <c r="K33" s="302">
        <v>172177728</v>
      </c>
      <c r="L33" s="302">
        <v>106531848</v>
      </c>
      <c r="M33" s="302">
        <v>413601769</v>
      </c>
      <c r="N33" s="302">
        <v>970082</v>
      </c>
      <c r="O33" s="302">
        <v>289333736</v>
      </c>
      <c r="P33" s="302">
        <v>186809095</v>
      </c>
      <c r="Q33" s="302">
        <v>102524641</v>
      </c>
    </row>
    <row r="34" spans="1:17" x14ac:dyDescent="0.25">
      <c r="A34" s="300">
        <v>488</v>
      </c>
      <c r="B34" s="330">
        <v>31</v>
      </c>
      <c r="C34" s="312">
        <v>800155291</v>
      </c>
      <c r="D34" s="312" t="s">
        <v>1213</v>
      </c>
      <c r="E34" s="312" t="s">
        <v>758</v>
      </c>
      <c r="F34" s="312" t="s">
        <v>876</v>
      </c>
      <c r="G34" s="313" t="s">
        <v>877</v>
      </c>
      <c r="H34" s="314">
        <v>284070833</v>
      </c>
      <c r="I34" s="314">
        <v>16252302</v>
      </c>
      <c r="J34" s="314">
        <v>302704346</v>
      </c>
      <c r="K34" s="314">
        <v>199051164</v>
      </c>
      <c r="L34" s="314">
        <v>103653182</v>
      </c>
      <c r="M34" s="314">
        <v>371306695</v>
      </c>
      <c r="N34" s="314">
        <v>10998954</v>
      </c>
      <c r="O34" s="314">
        <v>308001891</v>
      </c>
      <c r="P34" s="314">
        <v>219509408</v>
      </c>
      <c r="Q34" s="314">
        <v>88492483</v>
      </c>
    </row>
    <row r="35" spans="1:17" x14ac:dyDescent="0.25">
      <c r="A35" s="300">
        <v>491</v>
      </c>
      <c r="B35" s="330">
        <v>32</v>
      </c>
      <c r="C35" s="300">
        <v>900192711</v>
      </c>
      <c r="D35" s="300" t="s">
        <v>1308</v>
      </c>
      <c r="E35" s="300" t="s">
        <v>758</v>
      </c>
      <c r="F35" s="300" t="s">
        <v>1290</v>
      </c>
      <c r="G35" s="311" t="s">
        <v>877</v>
      </c>
      <c r="H35" s="302">
        <v>233322493</v>
      </c>
      <c r="I35" s="302">
        <v>59443259</v>
      </c>
      <c r="J35" s="302">
        <v>323870193</v>
      </c>
      <c r="K35" s="302">
        <v>220962495</v>
      </c>
      <c r="L35" s="302">
        <v>102907698</v>
      </c>
      <c r="M35" s="302">
        <v>184569861</v>
      </c>
      <c r="N35" s="302">
        <v>38572547</v>
      </c>
      <c r="O35" s="302">
        <v>216598917</v>
      </c>
      <c r="P35" s="302">
        <v>157811046</v>
      </c>
      <c r="Q35" s="302">
        <v>58787871</v>
      </c>
    </row>
    <row r="36" spans="1:17" x14ac:dyDescent="0.25">
      <c r="A36" s="300">
        <v>496</v>
      </c>
      <c r="B36" s="330">
        <v>33</v>
      </c>
      <c r="C36" s="312">
        <v>806008737</v>
      </c>
      <c r="D36" s="312" t="s">
        <v>1771</v>
      </c>
      <c r="E36" s="312" t="s">
        <v>758</v>
      </c>
      <c r="F36" s="312" t="s">
        <v>876</v>
      </c>
      <c r="G36" s="313" t="s">
        <v>877</v>
      </c>
      <c r="H36" s="314">
        <v>102342316</v>
      </c>
      <c r="I36" s="314">
        <v>2001973</v>
      </c>
      <c r="J36" s="314">
        <v>200697881</v>
      </c>
      <c r="K36" s="314">
        <v>104593172</v>
      </c>
      <c r="L36" s="314">
        <v>96104709</v>
      </c>
      <c r="M36" s="314">
        <v>100004736</v>
      </c>
      <c r="N36" s="314">
        <v>3742602</v>
      </c>
      <c r="O36" s="314">
        <v>192734244</v>
      </c>
      <c r="P36" s="314">
        <v>99570059</v>
      </c>
      <c r="Q36" s="314">
        <v>93164185</v>
      </c>
    </row>
    <row r="37" spans="1:17" x14ac:dyDescent="0.25">
      <c r="A37" s="300">
        <v>499</v>
      </c>
      <c r="B37" s="330">
        <v>34</v>
      </c>
      <c r="C37" s="300">
        <v>890211777</v>
      </c>
      <c r="D37" s="300" t="s">
        <v>1316</v>
      </c>
      <c r="E37" s="300" t="s">
        <v>891</v>
      </c>
      <c r="F37" s="300" t="s">
        <v>1290</v>
      </c>
      <c r="G37" s="311" t="s">
        <v>877</v>
      </c>
      <c r="H37" s="302">
        <v>229278625</v>
      </c>
      <c r="I37" s="302">
        <v>19833919</v>
      </c>
      <c r="J37" s="302">
        <v>178247018</v>
      </c>
      <c r="K37" s="302">
        <v>90516586</v>
      </c>
      <c r="L37" s="302">
        <v>87730432</v>
      </c>
      <c r="M37" s="302">
        <v>143185709</v>
      </c>
      <c r="N37" s="302">
        <v>4227561</v>
      </c>
      <c r="O37" s="302">
        <v>115960578</v>
      </c>
      <c r="P37" s="302">
        <v>99532821</v>
      </c>
      <c r="Q37" s="302">
        <v>16427757</v>
      </c>
    </row>
    <row r="38" spans="1:17" x14ac:dyDescent="0.25">
      <c r="A38" s="300">
        <v>500</v>
      </c>
      <c r="B38" s="330">
        <v>35</v>
      </c>
      <c r="C38" s="300">
        <v>860006282</v>
      </c>
      <c r="D38" s="300" t="s">
        <v>1526</v>
      </c>
      <c r="E38" s="300" t="s">
        <v>758</v>
      </c>
      <c r="F38" s="300" t="s">
        <v>876</v>
      </c>
      <c r="G38" s="311" t="s">
        <v>877</v>
      </c>
      <c r="H38" s="302">
        <v>147338750</v>
      </c>
      <c r="I38" s="302">
        <v>6561783</v>
      </c>
      <c r="J38" s="302">
        <v>152983600</v>
      </c>
      <c r="K38" s="302">
        <v>69125117</v>
      </c>
      <c r="L38" s="302">
        <v>83858483</v>
      </c>
      <c r="M38" s="302">
        <v>101950350</v>
      </c>
      <c r="N38" s="302">
        <v>3234855</v>
      </c>
      <c r="O38" s="302">
        <v>137708984</v>
      </c>
      <c r="P38" s="302">
        <v>60146338</v>
      </c>
      <c r="Q38" s="302">
        <v>77562646</v>
      </c>
    </row>
    <row r="39" spans="1:17" x14ac:dyDescent="0.25">
      <c r="A39" s="300">
        <v>537</v>
      </c>
      <c r="B39" s="330">
        <v>36</v>
      </c>
      <c r="C39" s="300">
        <v>891100881</v>
      </c>
      <c r="D39" s="300" t="s">
        <v>1521</v>
      </c>
      <c r="E39" s="300" t="s">
        <v>758</v>
      </c>
      <c r="F39" s="300" t="s">
        <v>876</v>
      </c>
      <c r="G39" s="311" t="s">
        <v>877</v>
      </c>
      <c r="H39" s="302">
        <v>149524345</v>
      </c>
      <c r="I39" s="302">
        <v>8733296</v>
      </c>
      <c r="J39" s="302">
        <v>105688107</v>
      </c>
      <c r="K39" s="302">
        <v>29321151</v>
      </c>
      <c r="L39" s="302">
        <v>76366956</v>
      </c>
      <c r="M39" s="302">
        <v>112341075</v>
      </c>
      <c r="N39" s="302">
        <v>2148003</v>
      </c>
      <c r="O39" s="302">
        <v>62375456</v>
      </c>
      <c r="P39" s="302">
        <v>31639018</v>
      </c>
      <c r="Q39" s="302">
        <v>30736438</v>
      </c>
    </row>
    <row r="40" spans="1:17" x14ac:dyDescent="0.25">
      <c r="A40" s="312">
        <v>552</v>
      </c>
      <c r="B40" s="330">
        <v>37</v>
      </c>
      <c r="C40" s="312">
        <v>890311243</v>
      </c>
      <c r="D40" s="312" t="s">
        <v>1353</v>
      </c>
      <c r="E40" s="312" t="s">
        <v>808</v>
      </c>
      <c r="F40" s="312" t="s">
        <v>876</v>
      </c>
      <c r="G40" s="313" t="s">
        <v>877</v>
      </c>
      <c r="H40" s="314">
        <v>209684966</v>
      </c>
      <c r="I40" s="314">
        <v>53076</v>
      </c>
      <c r="J40" s="314">
        <v>213128497</v>
      </c>
      <c r="K40" s="314">
        <v>138892896</v>
      </c>
      <c r="L40" s="314">
        <v>74235601</v>
      </c>
      <c r="M40" s="314">
        <v>244729718</v>
      </c>
      <c r="N40" s="314">
        <v>438327</v>
      </c>
      <c r="O40" s="314">
        <v>189010243</v>
      </c>
      <c r="P40" s="314">
        <v>110047985</v>
      </c>
      <c r="Q40" s="314">
        <v>78962258</v>
      </c>
    </row>
    <row r="41" spans="1:17" x14ac:dyDescent="0.25">
      <c r="A41" s="300">
        <v>573</v>
      </c>
      <c r="B41" s="330">
        <v>38</v>
      </c>
      <c r="C41" s="300">
        <v>800143586</v>
      </c>
      <c r="D41" s="300" t="s">
        <v>1381</v>
      </c>
      <c r="E41" s="300" t="s">
        <v>758</v>
      </c>
      <c r="F41" s="300" t="s">
        <v>876</v>
      </c>
      <c r="G41" s="311" t="s">
        <v>877</v>
      </c>
      <c r="H41" s="302">
        <v>197141792</v>
      </c>
      <c r="I41" s="302">
        <v>8439344</v>
      </c>
      <c r="J41" s="302">
        <v>154516362</v>
      </c>
      <c r="K41" s="302">
        <v>82100989</v>
      </c>
      <c r="L41" s="302">
        <v>72415373</v>
      </c>
      <c r="M41" s="302">
        <v>159006851</v>
      </c>
      <c r="N41" s="302">
        <v>4545196</v>
      </c>
      <c r="O41" s="302">
        <v>149911038</v>
      </c>
      <c r="P41" s="302">
        <v>88937017</v>
      </c>
      <c r="Q41" s="302">
        <v>60974021</v>
      </c>
    </row>
    <row r="42" spans="1:17" x14ac:dyDescent="0.25">
      <c r="A42" s="300">
        <v>627</v>
      </c>
      <c r="B42" s="330">
        <v>39</v>
      </c>
      <c r="C42" s="312">
        <v>800233881</v>
      </c>
      <c r="D42" s="312" t="s">
        <v>1281</v>
      </c>
      <c r="E42" s="312" t="s">
        <v>763</v>
      </c>
      <c r="F42" s="312" t="s">
        <v>876</v>
      </c>
      <c r="G42" s="313" t="s">
        <v>877</v>
      </c>
      <c r="H42" s="314">
        <v>244921084</v>
      </c>
      <c r="I42" s="314">
        <v>17390165</v>
      </c>
      <c r="J42" s="314">
        <v>172113336</v>
      </c>
      <c r="K42" s="314">
        <v>100649549</v>
      </c>
      <c r="L42" s="314">
        <v>71463787</v>
      </c>
      <c r="M42" s="314">
        <v>146903020</v>
      </c>
      <c r="N42" s="314">
        <v>7466893</v>
      </c>
      <c r="O42" s="314">
        <v>127790322</v>
      </c>
      <c r="P42" s="314">
        <v>67595557</v>
      </c>
      <c r="Q42" s="314">
        <v>60194765</v>
      </c>
    </row>
    <row r="43" spans="1:17" x14ac:dyDescent="0.25">
      <c r="A43" s="300">
        <v>632</v>
      </c>
      <c r="B43" s="330">
        <v>40</v>
      </c>
      <c r="C43" s="300">
        <v>860037232</v>
      </c>
      <c r="D43" s="300" t="s">
        <v>1129</v>
      </c>
      <c r="E43" s="300" t="s">
        <v>758</v>
      </c>
      <c r="F43" s="300" t="s">
        <v>876</v>
      </c>
      <c r="G43" s="311" t="s">
        <v>877</v>
      </c>
      <c r="H43" s="302">
        <v>354468481</v>
      </c>
      <c r="I43" s="302">
        <v>7712949</v>
      </c>
      <c r="J43" s="302">
        <v>217932766</v>
      </c>
      <c r="K43" s="302">
        <v>152126473</v>
      </c>
      <c r="L43" s="302">
        <v>65806293</v>
      </c>
      <c r="M43" s="302">
        <v>357493941</v>
      </c>
      <c r="N43" s="302">
        <v>6930817</v>
      </c>
      <c r="O43" s="302">
        <v>190628044</v>
      </c>
      <c r="P43" s="302">
        <v>132407430</v>
      </c>
      <c r="Q43" s="302">
        <v>58220614</v>
      </c>
    </row>
    <row r="44" spans="1:17" x14ac:dyDescent="0.25">
      <c r="A44" s="300">
        <v>650</v>
      </c>
      <c r="B44" s="330">
        <v>41</v>
      </c>
      <c r="C44" s="300">
        <v>811032292</v>
      </c>
      <c r="D44" s="300" t="s">
        <v>1289</v>
      </c>
      <c r="E44" s="300" t="s">
        <v>763</v>
      </c>
      <c r="F44" s="300" t="s">
        <v>1290</v>
      </c>
      <c r="G44" s="311" t="s">
        <v>877</v>
      </c>
      <c r="H44" s="302">
        <v>242931675</v>
      </c>
      <c r="I44" s="302">
        <v>57290904</v>
      </c>
      <c r="J44" s="302">
        <v>228798462</v>
      </c>
      <c r="K44" s="302">
        <v>163039997</v>
      </c>
      <c r="L44" s="302">
        <v>65758465</v>
      </c>
      <c r="M44" s="302">
        <v>228010268</v>
      </c>
      <c r="N44" s="302">
        <v>20372587</v>
      </c>
      <c r="O44" s="302">
        <v>214303576</v>
      </c>
      <c r="P44" s="302">
        <v>191680989</v>
      </c>
      <c r="Q44" s="302">
        <v>22622587</v>
      </c>
    </row>
    <row r="45" spans="1:17" x14ac:dyDescent="0.25">
      <c r="A45" s="312">
        <v>708</v>
      </c>
      <c r="B45" s="330">
        <v>42</v>
      </c>
      <c r="C45" s="312">
        <v>900031253</v>
      </c>
      <c r="D45" s="312" t="s">
        <v>1741</v>
      </c>
      <c r="E45" s="312" t="s">
        <v>758</v>
      </c>
      <c r="F45" s="312" t="s">
        <v>876</v>
      </c>
      <c r="G45" s="313" t="s">
        <v>877</v>
      </c>
      <c r="H45" s="314">
        <v>105702907</v>
      </c>
      <c r="I45" s="314">
        <v>1195873</v>
      </c>
      <c r="J45" s="314">
        <v>124694297</v>
      </c>
      <c r="K45" s="314">
        <v>60369692</v>
      </c>
      <c r="L45" s="314">
        <v>64324605</v>
      </c>
      <c r="M45" s="314">
        <v>53438945</v>
      </c>
      <c r="N45" s="314">
        <v>582938</v>
      </c>
      <c r="O45" s="314">
        <v>130505149</v>
      </c>
      <c r="P45" s="314">
        <v>67376418</v>
      </c>
      <c r="Q45" s="314">
        <v>63128731</v>
      </c>
    </row>
    <row r="46" spans="1:17" x14ac:dyDescent="0.25">
      <c r="A46" s="300">
        <v>712</v>
      </c>
      <c r="B46" s="330">
        <v>43</v>
      </c>
      <c r="C46" s="300">
        <v>800094968</v>
      </c>
      <c r="D46" s="300" t="s">
        <v>1762</v>
      </c>
      <c r="E46" s="300" t="s">
        <v>808</v>
      </c>
      <c r="F46" s="300" t="s">
        <v>1290</v>
      </c>
      <c r="G46" s="311" t="s">
        <v>877</v>
      </c>
      <c r="H46" s="302">
        <v>103002805</v>
      </c>
      <c r="I46" s="302">
        <v>14554176</v>
      </c>
      <c r="J46" s="302">
        <v>197025365</v>
      </c>
      <c r="K46" s="302">
        <v>132822559</v>
      </c>
      <c r="L46" s="302">
        <v>64202806</v>
      </c>
      <c r="M46" s="302">
        <v>91378768</v>
      </c>
      <c r="N46" s="302">
        <v>4133839</v>
      </c>
      <c r="O46" s="302">
        <v>121287417</v>
      </c>
      <c r="P46" s="302">
        <v>83979319</v>
      </c>
      <c r="Q46" s="302">
        <v>37308098</v>
      </c>
    </row>
    <row r="47" spans="1:17" x14ac:dyDescent="0.25">
      <c r="A47" s="300">
        <v>769</v>
      </c>
      <c r="B47" s="330">
        <v>44</v>
      </c>
      <c r="C47" s="312">
        <v>830129289</v>
      </c>
      <c r="D47" s="312" t="s">
        <v>1443</v>
      </c>
      <c r="E47" s="312" t="s">
        <v>758</v>
      </c>
      <c r="F47" s="312" t="s">
        <v>876</v>
      </c>
      <c r="G47" s="313" t="s">
        <v>877</v>
      </c>
      <c r="H47" s="314">
        <v>171235727</v>
      </c>
      <c r="I47" s="314">
        <v>12036037</v>
      </c>
      <c r="J47" s="314">
        <v>208850501</v>
      </c>
      <c r="K47" s="314">
        <v>145040948</v>
      </c>
      <c r="L47" s="314">
        <v>63809553</v>
      </c>
      <c r="M47" s="314">
        <v>129130149</v>
      </c>
      <c r="N47" s="314">
        <v>6382704</v>
      </c>
      <c r="O47" s="314">
        <v>159667047</v>
      </c>
      <c r="P47" s="314">
        <v>110370402</v>
      </c>
      <c r="Q47" s="314">
        <v>49296645</v>
      </c>
    </row>
    <row r="48" spans="1:17" x14ac:dyDescent="0.25">
      <c r="A48" s="300">
        <v>781</v>
      </c>
      <c r="B48" s="330">
        <v>45</v>
      </c>
      <c r="C48" s="300">
        <v>860036081</v>
      </c>
      <c r="D48" s="300" t="s">
        <v>1384</v>
      </c>
      <c r="E48" s="300" t="s">
        <v>758</v>
      </c>
      <c r="F48" s="300" t="s">
        <v>1331</v>
      </c>
      <c r="G48" s="311" t="s">
        <v>877</v>
      </c>
      <c r="H48" s="302">
        <v>194844069</v>
      </c>
      <c r="I48" s="302">
        <v>3872325</v>
      </c>
      <c r="J48" s="302">
        <v>182767108</v>
      </c>
      <c r="K48" s="302">
        <v>124038273</v>
      </c>
      <c r="L48" s="302">
        <v>58728835</v>
      </c>
      <c r="M48" s="302">
        <v>252538268</v>
      </c>
      <c r="N48" s="302">
        <v>-12914491</v>
      </c>
      <c r="O48" s="302">
        <v>174517789</v>
      </c>
      <c r="P48" s="302">
        <v>129707778</v>
      </c>
      <c r="Q48" s="302">
        <v>44810011</v>
      </c>
    </row>
    <row r="49" spans="1:17" x14ac:dyDescent="0.25">
      <c r="A49" s="300">
        <v>790</v>
      </c>
      <c r="B49" s="330">
        <v>46</v>
      </c>
      <c r="C49" s="300">
        <v>860002585</v>
      </c>
      <c r="D49" s="300" t="s">
        <v>1914</v>
      </c>
      <c r="E49" s="300" t="s">
        <v>758</v>
      </c>
      <c r="F49" s="300" t="s">
        <v>1915</v>
      </c>
      <c r="G49" s="311" t="s">
        <v>877</v>
      </c>
      <c r="H49" s="302">
        <v>88011133</v>
      </c>
      <c r="I49" s="302">
        <v>1139022</v>
      </c>
      <c r="J49" s="302">
        <v>96396991</v>
      </c>
      <c r="K49" s="302">
        <v>43508253</v>
      </c>
      <c r="L49" s="302">
        <v>52888738</v>
      </c>
      <c r="M49" s="302">
        <v>73216601</v>
      </c>
      <c r="N49" s="302">
        <v>378015</v>
      </c>
      <c r="O49" s="302">
        <v>81208955</v>
      </c>
      <c r="P49" s="302">
        <v>41419502</v>
      </c>
      <c r="Q49" s="302">
        <v>39789453</v>
      </c>
    </row>
    <row r="50" spans="1:17" x14ac:dyDescent="0.25">
      <c r="A50" s="300">
        <v>795</v>
      </c>
      <c r="B50" s="330">
        <v>47</v>
      </c>
      <c r="C50" s="300">
        <v>900412461</v>
      </c>
      <c r="D50" s="300" t="s">
        <v>1126</v>
      </c>
      <c r="E50" s="300" t="s">
        <v>758</v>
      </c>
      <c r="F50" s="300" t="s">
        <v>876</v>
      </c>
      <c r="G50" s="311" t="s">
        <v>877</v>
      </c>
      <c r="H50" s="302">
        <v>355843522</v>
      </c>
      <c r="I50" s="302">
        <v>15515708</v>
      </c>
      <c r="J50" s="302">
        <v>108022208</v>
      </c>
      <c r="K50" s="302">
        <v>58003474</v>
      </c>
      <c r="L50" s="302">
        <v>50018734</v>
      </c>
      <c r="M50" s="302">
        <v>697566937</v>
      </c>
      <c r="N50" s="302">
        <v>24558848</v>
      </c>
      <c r="O50" s="302">
        <v>194757662</v>
      </c>
      <c r="P50" s="302">
        <v>135425259</v>
      </c>
      <c r="Q50" s="302">
        <v>59332403</v>
      </c>
    </row>
    <row r="51" spans="1:17" x14ac:dyDescent="0.25">
      <c r="A51" s="312">
        <v>831</v>
      </c>
      <c r="B51" s="330">
        <v>48</v>
      </c>
      <c r="C51" s="300">
        <v>800222937</v>
      </c>
      <c r="D51" s="300" t="s">
        <v>1897</v>
      </c>
      <c r="E51" s="300" t="s">
        <v>891</v>
      </c>
      <c r="F51" s="300" t="s">
        <v>1290</v>
      </c>
      <c r="G51" s="311" t="s">
        <v>877</v>
      </c>
      <c r="H51" s="302">
        <v>90197513</v>
      </c>
      <c r="I51" s="302">
        <v>2820505</v>
      </c>
      <c r="J51" s="302">
        <v>224263705</v>
      </c>
      <c r="K51" s="302">
        <v>177524709</v>
      </c>
      <c r="L51" s="302">
        <v>46738996</v>
      </c>
      <c r="M51" s="302">
        <v>84875589</v>
      </c>
      <c r="N51" s="302">
        <v>2691396</v>
      </c>
      <c r="O51" s="302">
        <v>185963634</v>
      </c>
      <c r="P51" s="302">
        <v>142045143</v>
      </c>
      <c r="Q51" s="302">
        <v>43918491</v>
      </c>
    </row>
    <row r="52" spans="1:17" x14ac:dyDescent="0.25">
      <c r="A52" s="300">
        <v>851</v>
      </c>
      <c r="B52" s="330">
        <v>49</v>
      </c>
      <c r="C52" s="300">
        <v>800014246</v>
      </c>
      <c r="D52" s="300" t="s">
        <v>1676</v>
      </c>
      <c r="E52" s="300" t="s">
        <v>763</v>
      </c>
      <c r="F52" s="300" t="s">
        <v>876</v>
      </c>
      <c r="G52" s="311" t="s">
        <v>877</v>
      </c>
      <c r="H52" s="302">
        <v>117234765</v>
      </c>
      <c r="I52" s="302">
        <v>4082087</v>
      </c>
      <c r="J52" s="302">
        <v>97725505</v>
      </c>
      <c r="K52" s="302">
        <v>55807930</v>
      </c>
      <c r="L52" s="302">
        <v>41917575</v>
      </c>
      <c r="M52" s="302">
        <v>113490159</v>
      </c>
      <c r="N52" s="302">
        <v>5011171</v>
      </c>
      <c r="O52" s="302">
        <v>75516557</v>
      </c>
      <c r="P52" s="302">
        <v>38268092</v>
      </c>
      <c r="Q52" s="302">
        <v>37248465</v>
      </c>
    </row>
    <row r="53" spans="1:17" x14ac:dyDescent="0.25">
      <c r="A53" s="312">
        <v>860</v>
      </c>
      <c r="B53" s="330">
        <v>50</v>
      </c>
      <c r="C53" s="312">
        <v>900390238</v>
      </c>
      <c r="D53" s="312" t="s">
        <v>1093</v>
      </c>
      <c r="E53" s="312" t="s">
        <v>758</v>
      </c>
      <c r="F53" s="312" t="s">
        <v>876</v>
      </c>
      <c r="G53" s="313" t="s">
        <v>877</v>
      </c>
      <c r="H53" s="314">
        <v>396541978</v>
      </c>
      <c r="I53" s="314">
        <v>75669005</v>
      </c>
      <c r="J53" s="314">
        <v>78027645</v>
      </c>
      <c r="K53" s="314">
        <v>39366770</v>
      </c>
      <c r="L53" s="314">
        <v>38660875</v>
      </c>
      <c r="M53" s="314">
        <v>303458792</v>
      </c>
      <c r="N53" s="314">
        <v>55256510</v>
      </c>
      <c r="O53" s="314">
        <v>63513268</v>
      </c>
      <c r="P53" s="314">
        <v>35108496</v>
      </c>
      <c r="Q53" s="314">
        <v>28404772</v>
      </c>
    </row>
    <row r="54" spans="1:17" x14ac:dyDescent="0.25">
      <c r="A54" s="300">
        <v>873</v>
      </c>
      <c r="B54" s="330">
        <v>51</v>
      </c>
      <c r="C54" s="300">
        <v>800200598</v>
      </c>
      <c r="D54" s="300" t="s">
        <v>1335</v>
      </c>
      <c r="E54" s="300" t="s">
        <v>758</v>
      </c>
      <c r="F54" s="300" t="s">
        <v>1290</v>
      </c>
      <c r="G54" s="316" t="s">
        <v>877</v>
      </c>
      <c r="H54" s="302">
        <v>220755309</v>
      </c>
      <c r="I54" s="302">
        <v>10357411</v>
      </c>
      <c r="J54" s="302">
        <v>274606268</v>
      </c>
      <c r="K54" s="302">
        <v>236788426</v>
      </c>
      <c r="L54" s="302">
        <v>37817842</v>
      </c>
      <c r="M54" s="302">
        <v>172093709</v>
      </c>
      <c r="N54" s="302">
        <v>9665265</v>
      </c>
      <c r="O54" s="302">
        <v>203076076</v>
      </c>
      <c r="P54" s="302">
        <v>171043669</v>
      </c>
      <c r="Q54" s="302">
        <v>32032407</v>
      </c>
    </row>
    <row r="55" spans="1:17" x14ac:dyDescent="0.25">
      <c r="A55" s="300">
        <v>876</v>
      </c>
      <c r="B55" s="330">
        <v>52</v>
      </c>
      <c r="C55" s="300">
        <v>800152208</v>
      </c>
      <c r="D55" s="300" t="s">
        <v>1465</v>
      </c>
      <c r="E55" s="300" t="s">
        <v>758</v>
      </c>
      <c r="F55" s="300" t="s">
        <v>1466</v>
      </c>
      <c r="G55" s="311" t="s">
        <v>877</v>
      </c>
      <c r="H55" s="302">
        <v>164832647</v>
      </c>
      <c r="I55" s="302">
        <v>5368560</v>
      </c>
      <c r="J55" s="302">
        <v>81067508</v>
      </c>
      <c r="K55" s="302">
        <v>45867458</v>
      </c>
      <c r="L55" s="302">
        <v>35200050</v>
      </c>
      <c r="M55" s="302">
        <v>134001512</v>
      </c>
      <c r="N55" s="302">
        <v>4185546</v>
      </c>
      <c r="O55" s="302">
        <v>69024318</v>
      </c>
      <c r="P55" s="302">
        <v>39985797</v>
      </c>
      <c r="Q55" s="302">
        <v>29038521</v>
      </c>
    </row>
    <row r="56" spans="1:17" x14ac:dyDescent="0.25">
      <c r="A56" s="300">
        <v>880</v>
      </c>
      <c r="B56" s="330">
        <v>53</v>
      </c>
      <c r="C56" s="300">
        <v>860072045</v>
      </c>
      <c r="D56" s="300" t="s">
        <v>1806</v>
      </c>
      <c r="E56" s="300" t="s">
        <v>758</v>
      </c>
      <c r="F56" s="300" t="s">
        <v>1331</v>
      </c>
      <c r="G56" s="311" t="s">
        <v>877</v>
      </c>
      <c r="H56" s="302">
        <v>99020688</v>
      </c>
      <c r="I56" s="302">
        <v>870998</v>
      </c>
      <c r="J56" s="302">
        <v>84102443</v>
      </c>
      <c r="K56" s="302">
        <v>58764348</v>
      </c>
      <c r="L56" s="302">
        <v>25338095</v>
      </c>
      <c r="M56" s="302">
        <v>96031381</v>
      </c>
      <c r="N56" s="302">
        <v>1291421</v>
      </c>
      <c r="O56" s="302">
        <v>82194685</v>
      </c>
      <c r="P56" s="302">
        <v>56349657</v>
      </c>
      <c r="Q56" s="302">
        <v>25845028</v>
      </c>
    </row>
    <row r="57" spans="1:17" x14ac:dyDescent="0.25">
      <c r="A57" s="300">
        <v>890</v>
      </c>
      <c r="B57" s="330">
        <v>54</v>
      </c>
      <c r="C57" s="300">
        <v>830035702</v>
      </c>
      <c r="D57" s="312" t="s">
        <v>1823</v>
      </c>
      <c r="E57" s="300" t="s">
        <v>758</v>
      </c>
      <c r="F57" s="300" t="s">
        <v>1588</v>
      </c>
      <c r="G57" s="311" t="s">
        <v>877</v>
      </c>
      <c r="H57" s="302">
        <v>97047956</v>
      </c>
      <c r="I57" s="302">
        <v>926637</v>
      </c>
      <c r="J57" s="302">
        <v>102736195</v>
      </c>
      <c r="K57" s="302">
        <v>78742329</v>
      </c>
      <c r="L57" s="302">
        <v>23993866</v>
      </c>
      <c r="M57" s="302">
        <v>83878696</v>
      </c>
      <c r="N57" s="302">
        <v>1755759</v>
      </c>
      <c r="O57" s="302">
        <v>71989393</v>
      </c>
      <c r="P57" s="302">
        <v>48665106</v>
      </c>
      <c r="Q57" s="302">
        <v>23324287</v>
      </c>
    </row>
    <row r="58" spans="1:17" x14ac:dyDescent="0.25">
      <c r="A58" s="300">
        <v>891</v>
      </c>
      <c r="B58" s="330">
        <v>55</v>
      </c>
      <c r="C58" s="300">
        <v>830043648</v>
      </c>
      <c r="D58" s="300" t="s">
        <v>1848</v>
      </c>
      <c r="E58" s="300" t="s">
        <v>758</v>
      </c>
      <c r="F58" s="300" t="s">
        <v>876</v>
      </c>
      <c r="G58" s="311" t="s">
        <v>877</v>
      </c>
      <c r="H58" s="302">
        <v>94579523</v>
      </c>
      <c r="I58" s="302">
        <v>1799054</v>
      </c>
      <c r="J58" s="302">
        <v>93909508</v>
      </c>
      <c r="K58" s="302">
        <v>71498057</v>
      </c>
      <c r="L58" s="302">
        <v>22411451</v>
      </c>
      <c r="M58" s="302">
        <v>62251968</v>
      </c>
      <c r="N58" s="302">
        <v>6010448</v>
      </c>
      <c r="O58" s="302">
        <v>75127992</v>
      </c>
      <c r="P58" s="302">
        <v>62631644</v>
      </c>
      <c r="Q58" s="302">
        <v>12496348</v>
      </c>
    </row>
    <row r="59" spans="1:17" x14ac:dyDescent="0.25">
      <c r="A59" s="300">
        <v>905</v>
      </c>
      <c r="B59" s="330">
        <v>56</v>
      </c>
      <c r="C59" s="300">
        <v>890300604</v>
      </c>
      <c r="D59" s="300" t="s">
        <v>1789</v>
      </c>
      <c r="E59" s="300" t="s">
        <v>808</v>
      </c>
      <c r="F59" s="300" t="s">
        <v>759</v>
      </c>
      <c r="G59" s="311" t="s">
        <v>877</v>
      </c>
      <c r="H59" s="302">
        <v>100568890</v>
      </c>
      <c r="I59" s="302">
        <v>-26421940</v>
      </c>
      <c r="J59" s="302">
        <v>229166360</v>
      </c>
      <c r="K59" s="302">
        <v>212446080</v>
      </c>
      <c r="L59" s="302">
        <v>16720280</v>
      </c>
      <c r="M59" s="302">
        <v>157305539</v>
      </c>
      <c r="N59" s="302">
        <v>-6546594</v>
      </c>
      <c r="O59" s="302">
        <v>260315094</v>
      </c>
      <c r="P59" s="302">
        <v>214048245</v>
      </c>
      <c r="Q59" s="302">
        <v>46266849</v>
      </c>
    </row>
    <row r="60" spans="1:17" x14ac:dyDescent="0.25">
      <c r="A60" s="300">
        <v>922</v>
      </c>
      <c r="B60" s="330">
        <v>57</v>
      </c>
      <c r="C60" s="300">
        <v>830106557</v>
      </c>
      <c r="D60" s="300" t="s">
        <v>1907</v>
      </c>
      <c r="E60" s="300" t="s">
        <v>758</v>
      </c>
      <c r="F60" s="300" t="s">
        <v>876</v>
      </c>
      <c r="G60" s="311" t="s">
        <v>877</v>
      </c>
      <c r="H60" s="302">
        <v>88823150</v>
      </c>
      <c r="I60" s="302">
        <v>-1381329</v>
      </c>
      <c r="J60" s="302">
        <v>245357232</v>
      </c>
      <c r="K60" s="302">
        <v>230516010</v>
      </c>
      <c r="L60" s="302">
        <v>14841222</v>
      </c>
      <c r="M60" s="302">
        <v>83587250</v>
      </c>
      <c r="N60" s="302">
        <v>2789931</v>
      </c>
      <c r="O60" s="302">
        <v>201984470</v>
      </c>
      <c r="P60" s="302">
        <v>185761919</v>
      </c>
      <c r="Q60" s="302">
        <v>16222551</v>
      </c>
    </row>
    <row r="61" spans="1:17" x14ac:dyDescent="0.25">
      <c r="A61" s="300">
        <v>929</v>
      </c>
      <c r="B61" s="330">
        <v>58</v>
      </c>
      <c r="C61" s="300">
        <v>817000790</v>
      </c>
      <c r="D61" s="300" t="s">
        <v>1697</v>
      </c>
      <c r="E61" s="300" t="s">
        <v>808</v>
      </c>
      <c r="F61" s="300" t="s">
        <v>1477</v>
      </c>
      <c r="G61" s="311" t="s">
        <v>877</v>
      </c>
      <c r="H61" s="302">
        <v>112926451</v>
      </c>
      <c r="I61" s="302">
        <v>1666850</v>
      </c>
      <c r="J61" s="302">
        <v>75198035</v>
      </c>
      <c r="K61" s="302">
        <v>61714935</v>
      </c>
      <c r="L61" s="302">
        <v>13483100</v>
      </c>
      <c r="M61" s="302">
        <v>59472017</v>
      </c>
      <c r="N61" s="302">
        <v>1859728</v>
      </c>
      <c r="O61" s="302">
        <v>60207107</v>
      </c>
      <c r="P61" s="302">
        <v>44368578</v>
      </c>
      <c r="Q61" s="302">
        <v>15838529</v>
      </c>
    </row>
    <row r="62" spans="1:17" x14ac:dyDescent="0.25">
      <c r="A62" s="300">
        <v>950</v>
      </c>
      <c r="B62" s="330">
        <v>59</v>
      </c>
      <c r="C62" s="300">
        <v>830108963</v>
      </c>
      <c r="D62" s="300" t="s">
        <v>1786</v>
      </c>
      <c r="E62" s="300" t="s">
        <v>758</v>
      </c>
      <c r="F62" s="300" t="s">
        <v>1331</v>
      </c>
      <c r="G62" s="311" t="s">
        <v>877</v>
      </c>
      <c r="H62" s="302">
        <v>100905294</v>
      </c>
      <c r="I62" s="302">
        <v>250819</v>
      </c>
      <c r="J62" s="302">
        <v>85655758</v>
      </c>
      <c r="K62" s="302">
        <v>73063732</v>
      </c>
      <c r="L62" s="302">
        <v>12592026</v>
      </c>
      <c r="M62" s="302">
        <v>259827421</v>
      </c>
      <c r="N62" s="302">
        <v>7577137</v>
      </c>
      <c r="O62" s="302">
        <v>102123436</v>
      </c>
      <c r="P62" s="302">
        <v>82837163</v>
      </c>
      <c r="Q62" s="302">
        <v>19286273</v>
      </c>
    </row>
    <row r="63" spans="1:17" x14ac:dyDescent="0.25">
      <c r="A63" s="300">
        <v>961</v>
      </c>
      <c r="B63" s="330">
        <v>60</v>
      </c>
      <c r="C63" s="300">
        <v>900190385</v>
      </c>
      <c r="D63" s="300" t="s">
        <v>875</v>
      </c>
      <c r="E63" s="300" t="s">
        <v>768</v>
      </c>
      <c r="F63" s="300" t="s">
        <v>876</v>
      </c>
      <c r="G63" s="311" t="s">
        <v>877</v>
      </c>
      <c r="H63" s="302">
        <v>1030747892</v>
      </c>
      <c r="I63" s="302">
        <v>7410386</v>
      </c>
      <c r="J63" s="302">
        <v>630648560</v>
      </c>
      <c r="K63" s="302">
        <v>622893280</v>
      </c>
      <c r="L63" s="302">
        <v>7755280</v>
      </c>
      <c r="M63" s="302">
        <v>597302446</v>
      </c>
      <c r="N63" s="302">
        <v>6955356</v>
      </c>
      <c r="O63" s="302">
        <v>514525293</v>
      </c>
      <c r="P63" s="302">
        <v>507225043</v>
      </c>
      <c r="Q63" s="302">
        <v>7300250</v>
      </c>
    </row>
    <row r="64" spans="1:17" x14ac:dyDescent="0.25">
      <c r="A64" s="300">
        <v>975</v>
      </c>
      <c r="B64" s="330">
        <v>61</v>
      </c>
      <c r="C64" s="300">
        <v>900475730</v>
      </c>
      <c r="D64" s="300" t="s">
        <v>1617</v>
      </c>
      <c r="E64" s="300" t="s">
        <v>758</v>
      </c>
      <c r="F64" s="300" t="s">
        <v>876</v>
      </c>
      <c r="G64" s="311" t="s">
        <v>877</v>
      </c>
      <c r="H64" s="302">
        <v>126182559</v>
      </c>
      <c r="I64" s="302">
        <v>181478</v>
      </c>
      <c r="J64" s="302">
        <v>205391232</v>
      </c>
      <c r="K64" s="302">
        <v>205082751</v>
      </c>
      <c r="L64" s="302">
        <v>308481</v>
      </c>
      <c r="M64" s="302">
        <v>60389200</v>
      </c>
      <c r="N64" s="302">
        <v>26595</v>
      </c>
      <c r="O64" s="302">
        <v>189631782</v>
      </c>
      <c r="P64" s="302">
        <v>189504780</v>
      </c>
      <c r="Q64" s="302">
        <v>127002</v>
      </c>
    </row>
    <row r="65" spans="1:17" x14ac:dyDescent="0.25">
      <c r="A65" s="300">
        <v>984</v>
      </c>
      <c r="B65" s="330">
        <v>62</v>
      </c>
      <c r="C65" s="300">
        <v>900329889</v>
      </c>
      <c r="D65" s="300" t="s">
        <v>1110</v>
      </c>
      <c r="E65" s="300" t="s">
        <v>758</v>
      </c>
      <c r="F65" s="300" t="s">
        <v>876</v>
      </c>
      <c r="G65" s="311" t="s">
        <v>877</v>
      </c>
      <c r="H65" s="302">
        <v>378054805</v>
      </c>
      <c r="I65" s="302">
        <v>-1929091</v>
      </c>
      <c r="J65" s="302">
        <v>241543401</v>
      </c>
      <c r="K65" s="302">
        <v>245478392</v>
      </c>
      <c r="L65" s="302">
        <v>-3934991</v>
      </c>
      <c r="M65" s="302">
        <v>280534985</v>
      </c>
      <c r="N65" s="302">
        <v>-156400497</v>
      </c>
      <c r="O65" s="302">
        <v>267256003</v>
      </c>
      <c r="P65" s="302">
        <v>420308188</v>
      </c>
      <c r="Q65" s="302">
        <v>-153052185</v>
      </c>
    </row>
    <row r="66" spans="1:17" x14ac:dyDescent="0.25">
      <c r="A66" s="300">
        <v>990</v>
      </c>
      <c r="B66" s="330">
        <v>63</v>
      </c>
      <c r="C66" s="300">
        <v>900234565</v>
      </c>
      <c r="D66" s="300" t="s">
        <v>1913</v>
      </c>
      <c r="E66" s="300" t="s">
        <v>758</v>
      </c>
      <c r="F66" s="300" t="s">
        <v>949</v>
      </c>
      <c r="G66" s="311" t="s">
        <v>877</v>
      </c>
      <c r="H66" s="302">
        <v>88343395</v>
      </c>
      <c r="I66" s="302">
        <v>-7893300</v>
      </c>
      <c r="J66" s="302">
        <v>37537365</v>
      </c>
      <c r="K66" s="302">
        <v>45310747</v>
      </c>
      <c r="L66" s="302">
        <v>-7773382</v>
      </c>
      <c r="M66" s="302">
        <v>71992425</v>
      </c>
      <c r="N66" s="302">
        <v>-1818393</v>
      </c>
      <c r="O66" s="302">
        <v>33275000</v>
      </c>
      <c r="P66" s="302">
        <v>32754906</v>
      </c>
      <c r="Q66" s="302">
        <v>520094</v>
      </c>
    </row>
    <row r="67" spans="1:17" x14ac:dyDescent="0.25">
      <c r="A67" s="300">
        <v>991</v>
      </c>
      <c r="B67" s="330">
        <v>64</v>
      </c>
      <c r="C67" s="300">
        <v>900397359</v>
      </c>
      <c r="D67" s="312" t="s">
        <v>1428</v>
      </c>
      <c r="E67" s="300" t="s">
        <v>758</v>
      </c>
      <c r="F67" s="300" t="s">
        <v>876</v>
      </c>
      <c r="G67" s="311" t="s">
        <v>877</v>
      </c>
      <c r="H67" s="302">
        <v>177771547</v>
      </c>
      <c r="I67" s="302">
        <v>-139509</v>
      </c>
      <c r="J67" s="302">
        <v>179619046</v>
      </c>
      <c r="K67" s="302">
        <v>233507946</v>
      </c>
      <c r="L67" s="302">
        <v>-53888900</v>
      </c>
      <c r="M67" s="302">
        <v>125731212</v>
      </c>
      <c r="N67" s="302">
        <v>-59550613</v>
      </c>
      <c r="O67" s="302">
        <v>179182224</v>
      </c>
      <c r="P67" s="302">
        <v>232931614</v>
      </c>
      <c r="Q67" s="302">
        <v>-53749390</v>
      </c>
    </row>
    <row r="68" spans="1:17" x14ac:dyDescent="0.25">
      <c r="C68" t="s">
        <v>1942</v>
      </c>
      <c r="D68" s="338" t="s">
        <v>1943</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68"/>
  <sheetViews>
    <sheetView topLeftCell="A2" workbookViewId="0">
      <selection activeCell="B4" sqref="B4:B67"/>
    </sheetView>
  </sheetViews>
  <sheetFormatPr baseColWidth="10" defaultRowHeight="15" x14ac:dyDescent="0.25"/>
  <cols>
    <col min="2" max="2" width="11" style="123" bestFit="1" customWidth="1"/>
    <col min="4" max="4" width="50" customWidth="1"/>
    <col min="5" max="5" width="19.7109375" customWidth="1"/>
    <col min="6" max="6" width="0" hidden="1" customWidth="1"/>
    <col min="7" max="7" width="18.5703125" customWidth="1"/>
    <col min="8" max="8" width="13.7109375" customWidth="1"/>
    <col min="9" max="9" width="11.7109375" customWidth="1"/>
    <col min="10" max="10" width="12.7109375" bestFit="1" customWidth="1"/>
    <col min="11" max="11" width="11.140625" bestFit="1" customWidth="1"/>
    <col min="12" max="12" width="12.7109375" bestFit="1" customWidth="1"/>
    <col min="14" max="14" width="11.85546875" bestFit="1" customWidth="1"/>
    <col min="15" max="15" width="12.7109375" bestFit="1" customWidth="1"/>
    <col min="16" max="16" width="11.140625" bestFit="1" customWidth="1"/>
    <col min="17" max="17" width="11.85546875" bestFit="1" customWidth="1"/>
  </cols>
  <sheetData>
    <row r="3" spans="1:17" ht="45" x14ac:dyDescent="0.25">
      <c r="A3" s="298" t="s">
        <v>1930</v>
      </c>
      <c r="B3" s="298" t="s">
        <v>1931</v>
      </c>
      <c r="C3" s="298" t="s">
        <v>742</v>
      </c>
      <c r="D3" s="298" t="s">
        <v>743</v>
      </c>
      <c r="E3" s="298" t="s">
        <v>744</v>
      </c>
      <c r="F3" s="298" t="s">
        <v>745</v>
      </c>
      <c r="G3" s="298" t="s">
        <v>746</v>
      </c>
      <c r="H3" s="298" t="s">
        <v>1932</v>
      </c>
      <c r="I3" s="298" t="s">
        <v>1933</v>
      </c>
      <c r="J3" s="298" t="s">
        <v>1934</v>
      </c>
      <c r="K3" s="298" t="s">
        <v>1935</v>
      </c>
      <c r="L3" s="298" t="s">
        <v>1936</v>
      </c>
      <c r="M3" s="298" t="s">
        <v>1937</v>
      </c>
      <c r="N3" s="298" t="s">
        <v>1938</v>
      </c>
      <c r="O3" s="298" t="s">
        <v>1939</v>
      </c>
      <c r="P3" s="298" t="s">
        <v>1940</v>
      </c>
      <c r="Q3" s="298" t="s">
        <v>1941</v>
      </c>
    </row>
    <row r="4" spans="1:17" x14ac:dyDescent="0.25">
      <c r="A4" s="300">
        <v>84</v>
      </c>
      <c r="B4" s="330">
        <v>1</v>
      </c>
      <c r="C4" s="312">
        <v>890901110</v>
      </c>
      <c r="D4" s="312" t="s">
        <v>979</v>
      </c>
      <c r="E4" s="312" t="s">
        <v>763</v>
      </c>
      <c r="F4" s="312" t="s">
        <v>759</v>
      </c>
      <c r="G4" s="313" t="s">
        <v>877</v>
      </c>
      <c r="H4" s="314">
        <v>616595360</v>
      </c>
      <c r="I4" s="314">
        <v>60610080</v>
      </c>
      <c r="J4" s="314">
        <v>1546108190</v>
      </c>
      <c r="K4" s="314">
        <v>540121400</v>
      </c>
      <c r="L4" s="314">
        <v>1005986790</v>
      </c>
      <c r="M4" s="314">
        <v>597378548</v>
      </c>
      <c r="N4" s="314">
        <v>50362166</v>
      </c>
      <c r="O4" s="314">
        <v>1341195425</v>
      </c>
      <c r="P4" s="314">
        <v>427206853</v>
      </c>
      <c r="Q4" s="314">
        <v>913988574</v>
      </c>
    </row>
    <row r="5" spans="1:17" x14ac:dyDescent="0.25">
      <c r="A5" s="312">
        <v>118</v>
      </c>
      <c r="B5" s="331">
        <v>2</v>
      </c>
      <c r="C5" s="312">
        <v>832006599</v>
      </c>
      <c r="D5" s="312" t="s">
        <v>1007</v>
      </c>
      <c r="E5" s="312" t="s">
        <v>758</v>
      </c>
      <c r="F5" s="312" t="s">
        <v>876</v>
      </c>
      <c r="G5" s="313" t="s">
        <v>877</v>
      </c>
      <c r="H5" s="314">
        <v>544333164</v>
      </c>
      <c r="I5" s="314">
        <v>71276915</v>
      </c>
      <c r="J5" s="314">
        <v>1293992515</v>
      </c>
      <c r="K5" s="314">
        <v>458536312</v>
      </c>
      <c r="L5" s="314">
        <v>835456203</v>
      </c>
      <c r="M5" s="314">
        <v>476830706</v>
      </c>
      <c r="N5" s="314">
        <v>61513883</v>
      </c>
      <c r="O5" s="314">
        <v>1111070925</v>
      </c>
      <c r="P5" s="314">
        <v>378747419</v>
      </c>
      <c r="Q5" s="314">
        <v>732323506</v>
      </c>
    </row>
    <row r="6" spans="1:17" x14ac:dyDescent="0.25">
      <c r="A6" s="312">
        <v>163</v>
      </c>
      <c r="B6" s="330">
        <v>3</v>
      </c>
      <c r="C6" s="300">
        <v>800169499</v>
      </c>
      <c r="D6" s="300" t="s">
        <v>1313</v>
      </c>
      <c r="E6" s="300" t="s">
        <v>758</v>
      </c>
      <c r="F6" s="300" t="s">
        <v>759</v>
      </c>
      <c r="G6" s="311" t="s">
        <v>877</v>
      </c>
      <c r="H6" s="302">
        <v>231364170</v>
      </c>
      <c r="I6" s="302">
        <v>83041820</v>
      </c>
      <c r="J6" s="302">
        <v>1211457640</v>
      </c>
      <c r="K6" s="302">
        <v>481914260</v>
      </c>
      <c r="L6" s="302">
        <v>729543380</v>
      </c>
      <c r="M6" s="302">
        <v>346351019</v>
      </c>
      <c r="N6" s="302">
        <v>142173598</v>
      </c>
      <c r="O6" s="302">
        <v>1093975513</v>
      </c>
      <c r="P6" s="302">
        <v>431321639</v>
      </c>
      <c r="Q6" s="302">
        <v>662653874</v>
      </c>
    </row>
    <row r="7" spans="1:17" s="335" customFormat="1" x14ac:dyDescent="0.25">
      <c r="A7" s="312">
        <v>185</v>
      </c>
      <c r="B7" s="330">
        <v>4</v>
      </c>
      <c r="C7" s="312">
        <v>890318278</v>
      </c>
      <c r="D7" s="312" t="s">
        <v>921</v>
      </c>
      <c r="E7" s="312" t="s">
        <v>808</v>
      </c>
      <c r="F7" s="312" t="s">
        <v>876</v>
      </c>
      <c r="G7" s="313" t="s">
        <v>877</v>
      </c>
      <c r="H7" s="314">
        <v>809804698</v>
      </c>
      <c r="I7" s="314">
        <v>4086154</v>
      </c>
      <c r="J7" s="314">
        <v>1197377065</v>
      </c>
      <c r="K7" s="314">
        <v>630607534</v>
      </c>
      <c r="L7" s="314">
        <v>566769531</v>
      </c>
      <c r="M7" s="314">
        <v>725421484</v>
      </c>
      <c r="N7" s="314">
        <v>29521822</v>
      </c>
      <c r="O7" s="314">
        <v>1062654723</v>
      </c>
      <c r="P7" s="314">
        <v>499548448</v>
      </c>
      <c r="Q7" s="314">
        <v>563106275</v>
      </c>
    </row>
    <row r="8" spans="1:17" x14ac:dyDescent="0.25">
      <c r="A8" s="312">
        <v>249</v>
      </c>
      <c r="B8" s="336">
        <v>5</v>
      </c>
      <c r="C8" s="332">
        <v>890922447</v>
      </c>
      <c r="D8" s="332" t="s">
        <v>1179</v>
      </c>
      <c r="E8" s="332" t="s">
        <v>763</v>
      </c>
      <c r="F8" s="332" t="s">
        <v>759</v>
      </c>
      <c r="G8" s="333" t="s">
        <v>877</v>
      </c>
      <c r="H8" s="334">
        <v>306866993</v>
      </c>
      <c r="I8" s="334">
        <v>55803762</v>
      </c>
      <c r="J8" s="334">
        <v>856808995</v>
      </c>
      <c r="K8" s="334">
        <v>204438952</v>
      </c>
      <c r="L8" s="334">
        <v>652370043</v>
      </c>
      <c r="M8" s="334">
        <v>264981218</v>
      </c>
      <c r="N8" s="334">
        <v>31750875</v>
      </c>
      <c r="O8" s="334">
        <v>809041672</v>
      </c>
      <c r="P8" s="334">
        <v>188266253</v>
      </c>
      <c r="Q8" s="334">
        <v>620775422</v>
      </c>
    </row>
    <row r="9" spans="1:17" x14ac:dyDescent="0.25">
      <c r="A9" s="300">
        <v>261</v>
      </c>
      <c r="B9" s="330">
        <v>6</v>
      </c>
      <c r="C9" s="300">
        <v>860024586</v>
      </c>
      <c r="D9" s="300" t="s">
        <v>1350</v>
      </c>
      <c r="E9" s="300" t="s">
        <v>758</v>
      </c>
      <c r="F9" s="300" t="s">
        <v>876</v>
      </c>
      <c r="G9" s="311" t="s">
        <v>877</v>
      </c>
      <c r="H9" s="302">
        <v>211331613</v>
      </c>
      <c r="I9" s="302">
        <v>22306977</v>
      </c>
      <c r="J9" s="302">
        <v>826066041</v>
      </c>
      <c r="K9" s="302">
        <v>287182384</v>
      </c>
      <c r="L9" s="302">
        <v>538883657</v>
      </c>
      <c r="M9" s="302">
        <v>197356020</v>
      </c>
      <c r="N9" s="302">
        <v>18067209</v>
      </c>
      <c r="O9" s="302">
        <v>836137243</v>
      </c>
      <c r="P9" s="302">
        <v>295212291</v>
      </c>
      <c r="Q9" s="302">
        <v>540924952</v>
      </c>
    </row>
    <row r="10" spans="1:17" x14ac:dyDescent="0.25">
      <c r="A10" s="300">
        <v>276</v>
      </c>
      <c r="B10" s="331">
        <v>7</v>
      </c>
      <c r="C10" s="300">
        <v>860058070</v>
      </c>
      <c r="D10" s="300" t="s">
        <v>1385</v>
      </c>
      <c r="E10" s="300" t="s">
        <v>758</v>
      </c>
      <c r="F10" s="300" t="s">
        <v>1290</v>
      </c>
      <c r="G10" s="311" t="s">
        <v>877</v>
      </c>
      <c r="H10" s="302">
        <v>194744045</v>
      </c>
      <c r="I10" s="302">
        <v>52596420</v>
      </c>
      <c r="J10" s="302">
        <v>718598988</v>
      </c>
      <c r="K10" s="302">
        <v>410298513</v>
      </c>
      <c r="L10" s="302">
        <v>308300475</v>
      </c>
      <c r="M10" s="302">
        <v>290200073</v>
      </c>
      <c r="N10" s="302">
        <v>48598933</v>
      </c>
      <c r="O10" s="302">
        <v>631973818</v>
      </c>
      <c r="P10" s="302">
        <v>366727351</v>
      </c>
      <c r="Q10" s="302">
        <v>265246467</v>
      </c>
    </row>
    <row r="11" spans="1:17" x14ac:dyDescent="0.25">
      <c r="A11" s="300">
        <v>279</v>
      </c>
      <c r="B11" s="330">
        <v>8</v>
      </c>
      <c r="C11" s="312">
        <v>890930545</v>
      </c>
      <c r="D11" s="312" t="s">
        <v>1180</v>
      </c>
      <c r="E11" s="312" t="s">
        <v>758</v>
      </c>
      <c r="F11" s="312" t="s">
        <v>876</v>
      </c>
      <c r="G11" s="313" t="s">
        <v>877</v>
      </c>
      <c r="H11" s="314">
        <v>306557376</v>
      </c>
      <c r="I11" s="314">
        <v>97284544</v>
      </c>
      <c r="J11" s="314">
        <v>682859272</v>
      </c>
      <c r="K11" s="314">
        <v>160589824</v>
      </c>
      <c r="L11" s="314">
        <v>522269448</v>
      </c>
      <c r="M11" s="314">
        <v>272960897</v>
      </c>
      <c r="N11" s="314">
        <v>51243240</v>
      </c>
      <c r="O11" s="314">
        <v>636649439</v>
      </c>
      <c r="P11" s="314">
        <v>153024503</v>
      </c>
      <c r="Q11" s="314">
        <v>483624936</v>
      </c>
    </row>
    <row r="12" spans="1:17" x14ac:dyDescent="0.25">
      <c r="A12" s="300">
        <v>287</v>
      </c>
      <c r="B12" s="330">
        <v>9</v>
      </c>
      <c r="C12" s="300">
        <v>900190385</v>
      </c>
      <c r="D12" s="300" t="s">
        <v>875</v>
      </c>
      <c r="E12" s="300" t="s">
        <v>768</v>
      </c>
      <c r="F12" s="300" t="s">
        <v>876</v>
      </c>
      <c r="G12" s="311" t="s">
        <v>877</v>
      </c>
      <c r="H12" s="302">
        <v>1030747892</v>
      </c>
      <c r="I12" s="302">
        <v>7410386</v>
      </c>
      <c r="J12" s="302">
        <v>630648560</v>
      </c>
      <c r="K12" s="302">
        <v>622893280</v>
      </c>
      <c r="L12" s="302">
        <v>7755280</v>
      </c>
      <c r="M12" s="302">
        <v>597302446</v>
      </c>
      <c r="N12" s="302">
        <v>6955356</v>
      </c>
      <c r="O12" s="302">
        <v>514525293</v>
      </c>
      <c r="P12" s="302">
        <v>507225043</v>
      </c>
      <c r="Q12" s="302">
        <v>7300250</v>
      </c>
    </row>
    <row r="13" spans="1:17" x14ac:dyDescent="0.25">
      <c r="A13" s="300">
        <v>295</v>
      </c>
      <c r="B13" s="336">
        <v>10</v>
      </c>
      <c r="C13" s="300">
        <v>800182330</v>
      </c>
      <c r="D13" s="300" t="s">
        <v>1199</v>
      </c>
      <c r="E13" s="300" t="s">
        <v>768</v>
      </c>
      <c r="F13" s="300" t="s">
        <v>876</v>
      </c>
      <c r="G13" s="311" t="s">
        <v>877</v>
      </c>
      <c r="H13" s="302">
        <v>294662429</v>
      </c>
      <c r="I13" s="302">
        <v>20681207</v>
      </c>
      <c r="J13" s="302">
        <v>590537449</v>
      </c>
      <c r="K13" s="302">
        <v>374309590</v>
      </c>
      <c r="L13" s="302">
        <v>216227859</v>
      </c>
      <c r="M13" s="302">
        <v>205440453</v>
      </c>
      <c r="N13" s="302">
        <v>7698159</v>
      </c>
      <c r="O13" s="302">
        <v>481145606</v>
      </c>
      <c r="P13" s="302">
        <v>260582896</v>
      </c>
      <c r="Q13" s="302">
        <v>220562710</v>
      </c>
    </row>
    <row r="14" spans="1:17" s="337" customFormat="1" x14ac:dyDescent="0.25">
      <c r="A14" s="332">
        <v>319</v>
      </c>
      <c r="B14" s="330">
        <v>11</v>
      </c>
      <c r="C14" s="300">
        <v>890205645</v>
      </c>
      <c r="D14" s="300" t="s">
        <v>1373</v>
      </c>
      <c r="E14" s="300" t="s">
        <v>891</v>
      </c>
      <c r="F14" s="300" t="s">
        <v>1290</v>
      </c>
      <c r="G14" s="311" t="s">
        <v>877</v>
      </c>
      <c r="H14" s="302">
        <v>200578084</v>
      </c>
      <c r="I14" s="302">
        <v>15842843</v>
      </c>
      <c r="J14" s="302">
        <v>544198913</v>
      </c>
      <c r="K14" s="302">
        <v>376181946</v>
      </c>
      <c r="L14" s="302">
        <v>168016967</v>
      </c>
      <c r="M14" s="302">
        <v>215802506</v>
      </c>
      <c r="N14" s="302">
        <v>11961078</v>
      </c>
      <c r="O14" s="302">
        <v>420064525</v>
      </c>
      <c r="P14" s="302">
        <v>307014427</v>
      </c>
      <c r="Q14" s="302">
        <v>113050098</v>
      </c>
    </row>
    <row r="15" spans="1:17" x14ac:dyDescent="0.25">
      <c r="A15" s="312">
        <v>320</v>
      </c>
      <c r="B15" s="331">
        <v>12</v>
      </c>
      <c r="C15" s="300">
        <v>800093117</v>
      </c>
      <c r="D15" s="300" t="s">
        <v>1793</v>
      </c>
      <c r="E15" s="300" t="s">
        <v>763</v>
      </c>
      <c r="F15" s="300" t="s">
        <v>1794</v>
      </c>
      <c r="G15" s="311" t="s">
        <v>877</v>
      </c>
      <c r="H15" s="302">
        <v>100277884</v>
      </c>
      <c r="I15" s="302">
        <v>17033967</v>
      </c>
      <c r="J15" s="302">
        <v>500718077</v>
      </c>
      <c r="K15" s="302">
        <v>214535416</v>
      </c>
      <c r="L15" s="302">
        <v>286182661</v>
      </c>
      <c r="M15" s="302">
        <v>81105699</v>
      </c>
      <c r="N15" s="302">
        <v>44555346</v>
      </c>
      <c r="O15" s="302">
        <v>436923725</v>
      </c>
      <c r="P15" s="302">
        <v>190568252</v>
      </c>
      <c r="Q15" s="302">
        <v>246355473</v>
      </c>
    </row>
    <row r="16" spans="1:17" x14ac:dyDescent="0.25">
      <c r="A16" s="300">
        <v>337</v>
      </c>
      <c r="B16" s="330">
        <v>13</v>
      </c>
      <c r="C16" s="300">
        <v>890903035</v>
      </c>
      <c r="D16" s="300" t="s">
        <v>1232</v>
      </c>
      <c r="E16" s="300" t="s">
        <v>758</v>
      </c>
      <c r="F16" s="300" t="s">
        <v>876</v>
      </c>
      <c r="G16" s="311" t="s">
        <v>877</v>
      </c>
      <c r="H16" s="302">
        <v>270286917</v>
      </c>
      <c r="I16" s="302">
        <v>22310708</v>
      </c>
      <c r="J16" s="302">
        <v>426679078</v>
      </c>
      <c r="K16" s="302">
        <v>156615539</v>
      </c>
      <c r="L16" s="302">
        <v>270063539</v>
      </c>
      <c r="M16" s="302">
        <v>304894305</v>
      </c>
      <c r="N16" s="302">
        <v>10415449</v>
      </c>
      <c r="O16" s="302">
        <v>385823063</v>
      </c>
      <c r="P16" s="302">
        <v>137639493</v>
      </c>
      <c r="Q16" s="302">
        <v>248183570</v>
      </c>
    </row>
    <row r="17" spans="1:17" s="335" customFormat="1" x14ac:dyDescent="0.25">
      <c r="A17" s="312">
        <v>349</v>
      </c>
      <c r="B17" s="330">
        <v>14</v>
      </c>
      <c r="C17" s="300">
        <v>830099238</v>
      </c>
      <c r="D17" s="300" t="s">
        <v>1870</v>
      </c>
      <c r="E17" s="300" t="s">
        <v>758</v>
      </c>
      <c r="F17" s="300" t="s">
        <v>943</v>
      </c>
      <c r="G17" s="311" t="s">
        <v>877</v>
      </c>
      <c r="H17" s="302">
        <v>92627224</v>
      </c>
      <c r="I17" s="302">
        <v>-33721469</v>
      </c>
      <c r="J17" s="302">
        <v>411682050</v>
      </c>
      <c r="K17" s="302">
        <v>209095963</v>
      </c>
      <c r="L17" s="302">
        <v>202586087</v>
      </c>
      <c r="M17" s="302">
        <v>64454232</v>
      </c>
      <c r="N17" s="302">
        <v>-30606571</v>
      </c>
      <c r="O17" s="302">
        <v>315493685</v>
      </c>
      <c r="P17" s="302">
        <v>164622654</v>
      </c>
      <c r="Q17" s="302">
        <v>150871031</v>
      </c>
    </row>
    <row r="18" spans="1:17" x14ac:dyDescent="0.25">
      <c r="A18" s="300">
        <v>359</v>
      </c>
      <c r="B18" s="336">
        <v>15</v>
      </c>
      <c r="C18" s="300">
        <v>860000531</v>
      </c>
      <c r="D18" s="300" t="s">
        <v>1702</v>
      </c>
      <c r="E18" s="300" t="s">
        <v>758</v>
      </c>
      <c r="F18" s="300" t="s">
        <v>1331</v>
      </c>
      <c r="G18" s="311" t="s">
        <v>877</v>
      </c>
      <c r="H18" s="302">
        <v>112098468</v>
      </c>
      <c r="I18" s="302">
        <v>24938270</v>
      </c>
      <c r="J18" s="302">
        <v>389368339</v>
      </c>
      <c r="K18" s="302">
        <v>212063842</v>
      </c>
      <c r="L18" s="302">
        <v>177304497</v>
      </c>
      <c r="M18" s="302">
        <v>113701921</v>
      </c>
      <c r="N18" s="302">
        <v>26765199</v>
      </c>
      <c r="O18" s="302">
        <v>239366753</v>
      </c>
      <c r="P18" s="302">
        <v>88921046</v>
      </c>
      <c r="Q18" s="302">
        <v>150445707</v>
      </c>
    </row>
    <row r="19" spans="1:17" x14ac:dyDescent="0.25">
      <c r="A19" s="300">
        <v>367</v>
      </c>
      <c r="B19" s="330">
        <v>16</v>
      </c>
      <c r="C19" s="300">
        <v>800185295</v>
      </c>
      <c r="D19" s="300" t="s">
        <v>1807</v>
      </c>
      <c r="E19" s="300" t="s">
        <v>758</v>
      </c>
      <c r="F19" s="300" t="s">
        <v>1331</v>
      </c>
      <c r="G19" s="311" t="s">
        <v>877</v>
      </c>
      <c r="H19" s="302">
        <v>98726917</v>
      </c>
      <c r="I19" s="302">
        <v>57932326</v>
      </c>
      <c r="J19" s="302">
        <v>363436017</v>
      </c>
      <c r="K19" s="302">
        <v>191999575</v>
      </c>
      <c r="L19" s="302">
        <v>171436442</v>
      </c>
      <c r="M19" s="302">
        <v>98458351</v>
      </c>
      <c r="N19" s="302">
        <v>43766767</v>
      </c>
      <c r="O19" s="302">
        <v>265455418</v>
      </c>
      <c r="P19" s="302">
        <v>155106091</v>
      </c>
      <c r="Q19" s="302">
        <v>110349327</v>
      </c>
    </row>
    <row r="20" spans="1:17" s="335" customFormat="1" x14ac:dyDescent="0.25">
      <c r="A20" s="312">
        <v>410</v>
      </c>
      <c r="B20" s="331">
        <v>17</v>
      </c>
      <c r="C20" s="300">
        <v>830012053</v>
      </c>
      <c r="D20" s="300" t="s">
        <v>1295</v>
      </c>
      <c r="E20" s="300" t="s">
        <v>758</v>
      </c>
      <c r="F20" s="300" t="s">
        <v>1290</v>
      </c>
      <c r="G20" s="311" t="s">
        <v>877</v>
      </c>
      <c r="H20" s="302">
        <v>240672326</v>
      </c>
      <c r="I20" s="302">
        <v>12363690</v>
      </c>
      <c r="J20" s="302">
        <v>353766955</v>
      </c>
      <c r="K20" s="302">
        <v>247199753</v>
      </c>
      <c r="L20" s="302">
        <v>106567202</v>
      </c>
      <c r="M20" s="302">
        <v>231932643</v>
      </c>
      <c r="N20" s="302">
        <v>9964557</v>
      </c>
      <c r="O20" s="302">
        <v>277859817</v>
      </c>
      <c r="P20" s="302">
        <v>184122894</v>
      </c>
      <c r="Q20" s="302">
        <v>93736923</v>
      </c>
    </row>
    <row r="21" spans="1:17" x14ac:dyDescent="0.25">
      <c r="A21" s="300">
        <v>417</v>
      </c>
      <c r="B21" s="330">
        <v>18</v>
      </c>
      <c r="C21" s="300">
        <v>890911431</v>
      </c>
      <c r="D21" s="300" t="s">
        <v>1370</v>
      </c>
      <c r="E21" s="300" t="s">
        <v>763</v>
      </c>
      <c r="F21" s="300" t="s">
        <v>876</v>
      </c>
      <c r="G21" s="311" t="s">
        <v>877</v>
      </c>
      <c r="H21" s="302">
        <v>201502021</v>
      </c>
      <c r="I21" s="302">
        <v>16591355</v>
      </c>
      <c r="J21" s="302">
        <v>339543946</v>
      </c>
      <c r="K21" s="302">
        <v>191318915</v>
      </c>
      <c r="L21" s="302">
        <v>148225031</v>
      </c>
      <c r="M21" s="302">
        <v>139845719</v>
      </c>
      <c r="N21" s="302">
        <v>12498153</v>
      </c>
      <c r="O21" s="302">
        <v>277337544</v>
      </c>
      <c r="P21" s="302">
        <v>143219272</v>
      </c>
      <c r="Q21" s="302">
        <v>134118272</v>
      </c>
    </row>
    <row r="22" spans="1:17" x14ac:dyDescent="0.25">
      <c r="A22" s="300">
        <v>419</v>
      </c>
      <c r="B22" s="330">
        <v>19</v>
      </c>
      <c r="C22" s="300">
        <v>900192711</v>
      </c>
      <c r="D22" s="300" t="s">
        <v>1308</v>
      </c>
      <c r="E22" s="300" t="s">
        <v>758</v>
      </c>
      <c r="F22" s="300" t="s">
        <v>1290</v>
      </c>
      <c r="G22" s="311" t="s">
        <v>877</v>
      </c>
      <c r="H22" s="302">
        <v>233322493</v>
      </c>
      <c r="I22" s="302">
        <v>59443259</v>
      </c>
      <c r="J22" s="302">
        <v>323870193</v>
      </c>
      <c r="K22" s="302">
        <v>220962495</v>
      </c>
      <c r="L22" s="302">
        <v>102907698</v>
      </c>
      <c r="M22" s="302">
        <v>184569861</v>
      </c>
      <c r="N22" s="302">
        <v>38572547</v>
      </c>
      <c r="O22" s="302">
        <v>216598917</v>
      </c>
      <c r="P22" s="302">
        <v>157811046</v>
      </c>
      <c r="Q22" s="302">
        <v>58787871</v>
      </c>
    </row>
    <row r="23" spans="1:17" x14ac:dyDescent="0.25">
      <c r="A23" s="300">
        <v>421</v>
      </c>
      <c r="B23" s="336">
        <v>20</v>
      </c>
      <c r="C23" s="300">
        <v>830094920</v>
      </c>
      <c r="D23" s="300" t="s">
        <v>1330</v>
      </c>
      <c r="E23" s="300" t="s">
        <v>758</v>
      </c>
      <c r="F23" s="300" t="s">
        <v>1331</v>
      </c>
      <c r="G23" s="311" t="s">
        <v>877</v>
      </c>
      <c r="H23" s="302">
        <v>222676882</v>
      </c>
      <c r="I23" s="302">
        <v>12858532</v>
      </c>
      <c r="J23" s="302">
        <v>306720194</v>
      </c>
      <c r="K23" s="302">
        <v>161598725</v>
      </c>
      <c r="L23" s="302">
        <v>145121469</v>
      </c>
      <c r="M23" s="302">
        <v>192343686</v>
      </c>
      <c r="N23" s="302">
        <v>1059479</v>
      </c>
      <c r="O23" s="302">
        <v>354276822</v>
      </c>
      <c r="P23" s="302">
        <v>219208791</v>
      </c>
      <c r="Q23" s="302">
        <v>135068031</v>
      </c>
    </row>
    <row r="24" spans="1:17" x14ac:dyDescent="0.25">
      <c r="A24" s="300">
        <v>422</v>
      </c>
      <c r="B24" s="330">
        <v>21</v>
      </c>
      <c r="C24" s="312">
        <v>800155291</v>
      </c>
      <c r="D24" s="312" t="s">
        <v>1213</v>
      </c>
      <c r="E24" s="312" t="s">
        <v>758</v>
      </c>
      <c r="F24" s="312" t="s">
        <v>876</v>
      </c>
      <c r="G24" s="313" t="s">
        <v>877</v>
      </c>
      <c r="H24" s="314">
        <v>284070833</v>
      </c>
      <c r="I24" s="314">
        <v>16252302</v>
      </c>
      <c r="J24" s="314">
        <v>302704346</v>
      </c>
      <c r="K24" s="314">
        <v>199051164</v>
      </c>
      <c r="L24" s="314">
        <v>103653182</v>
      </c>
      <c r="M24" s="314">
        <v>371306695</v>
      </c>
      <c r="N24" s="314">
        <v>10998954</v>
      </c>
      <c r="O24" s="314">
        <v>308001891</v>
      </c>
      <c r="P24" s="314">
        <v>219509408</v>
      </c>
      <c r="Q24" s="314">
        <v>88492483</v>
      </c>
    </row>
    <row r="25" spans="1:17" x14ac:dyDescent="0.25">
      <c r="A25" s="300">
        <v>434</v>
      </c>
      <c r="B25" s="331">
        <v>22</v>
      </c>
      <c r="C25" s="300">
        <v>890327996</v>
      </c>
      <c r="D25" s="300" t="s">
        <v>1688</v>
      </c>
      <c r="E25" s="300" t="s">
        <v>808</v>
      </c>
      <c r="F25" s="300" t="s">
        <v>759</v>
      </c>
      <c r="G25" s="311" t="s">
        <v>877</v>
      </c>
      <c r="H25" s="302">
        <v>115231371</v>
      </c>
      <c r="I25" s="302">
        <v>50621143</v>
      </c>
      <c r="J25" s="302">
        <v>300077355</v>
      </c>
      <c r="K25" s="302">
        <v>167595522</v>
      </c>
      <c r="L25" s="302">
        <v>132481833</v>
      </c>
      <c r="M25" s="302">
        <v>112144709.99999999</v>
      </c>
      <c r="N25" s="302">
        <v>50581320</v>
      </c>
      <c r="O25" s="302">
        <v>315422690</v>
      </c>
      <c r="P25" s="302">
        <v>190165010</v>
      </c>
      <c r="Q25" s="302">
        <v>125257680</v>
      </c>
    </row>
    <row r="26" spans="1:17" x14ac:dyDescent="0.25">
      <c r="A26" s="300">
        <v>439</v>
      </c>
      <c r="B26" s="330">
        <v>23</v>
      </c>
      <c r="C26" s="300">
        <v>890904815</v>
      </c>
      <c r="D26" s="300" t="s">
        <v>1138</v>
      </c>
      <c r="E26" s="300" t="s">
        <v>763</v>
      </c>
      <c r="F26" s="300" t="s">
        <v>876</v>
      </c>
      <c r="G26" s="311" t="s">
        <v>877</v>
      </c>
      <c r="H26" s="302">
        <v>346278268</v>
      </c>
      <c r="I26" s="302">
        <v>1543411</v>
      </c>
      <c r="J26" s="302">
        <v>278709576</v>
      </c>
      <c r="K26" s="302">
        <v>172177728</v>
      </c>
      <c r="L26" s="302">
        <v>106531848</v>
      </c>
      <c r="M26" s="302">
        <v>413601769</v>
      </c>
      <c r="N26" s="302">
        <v>970082</v>
      </c>
      <c r="O26" s="302">
        <v>289333736</v>
      </c>
      <c r="P26" s="302">
        <v>186809095</v>
      </c>
      <c r="Q26" s="302">
        <v>102524641</v>
      </c>
    </row>
    <row r="27" spans="1:17" x14ac:dyDescent="0.25">
      <c r="A27" s="300">
        <v>443</v>
      </c>
      <c r="B27" s="330">
        <v>24</v>
      </c>
      <c r="C27" s="300">
        <v>800200598</v>
      </c>
      <c r="D27" s="300" t="s">
        <v>1335</v>
      </c>
      <c r="E27" s="300" t="s">
        <v>758</v>
      </c>
      <c r="F27" s="300" t="s">
        <v>1290</v>
      </c>
      <c r="G27" s="316" t="s">
        <v>877</v>
      </c>
      <c r="H27" s="302">
        <v>220755309</v>
      </c>
      <c r="I27" s="302">
        <v>10357411</v>
      </c>
      <c r="J27" s="302">
        <v>274606268</v>
      </c>
      <c r="K27" s="302">
        <v>236788426</v>
      </c>
      <c r="L27" s="302">
        <v>37817842</v>
      </c>
      <c r="M27" s="302">
        <v>172093709</v>
      </c>
      <c r="N27" s="302">
        <v>9665265</v>
      </c>
      <c r="O27" s="302">
        <v>203076076</v>
      </c>
      <c r="P27" s="302">
        <v>171043669</v>
      </c>
      <c r="Q27" s="302">
        <v>32032407</v>
      </c>
    </row>
    <row r="28" spans="1:17" s="335" customFormat="1" x14ac:dyDescent="0.25">
      <c r="A28" s="312">
        <v>444</v>
      </c>
      <c r="B28" s="336">
        <v>25</v>
      </c>
      <c r="C28" s="300">
        <v>890906413</v>
      </c>
      <c r="D28" s="300" t="s">
        <v>1294</v>
      </c>
      <c r="E28" s="300" t="s">
        <v>763</v>
      </c>
      <c r="F28" s="300" t="s">
        <v>876</v>
      </c>
      <c r="G28" s="311" t="s">
        <v>877</v>
      </c>
      <c r="H28" s="302">
        <v>241319770</v>
      </c>
      <c r="I28" s="302">
        <v>14132565</v>
      </c>
      <c r="J28" s="302">
        <v>268122037</v>
      </c>
      <c r="K28" s="302">
        <v>97903974</v>
      </c>
      <c r="L28" s="302">
        <v>170218063</v>
      </c>
      <c r="M28" s="302">
        <v>157229694</v>
      </c>
      <c r="N28" s="302">
        <v>16601299</v>
      </c>
      <c r="O28" s="302">
        <v>207394661</v>
      </c>
      <c r="P28" s="302">
        <v>62454986</v>
      </c>
      <c r="Q28" s="302">
        <v>144939675</v>
      </c>
    </row>
    <row r="29" spans="1:17" x14ac:dyDescent="0.25">
      <c r="A29" s="300">
        <v>453</v>
      </c>
      <c r="B29" s="330">
        <v>26</v>
      </c>
      <c r="C29" s="300">
        <v>800086042</v>
      </c>
      <c r="D29" s="300" t="s">
        <v>1841</v>
      </c>
      <c r="E29" s="300" t="s">
        <v>758</v>
      </c>
      <c r="F29" s="300" t="s">
        <v>1290</v>
      </c>
      <c r="G29" s="311" t="s">
        <v>877</v>
      </c>
      <c r="H29" s="302">
        <v>95161925</v>
      </c>
      <c r="I29" s="302">
        <v>19581018</v>
      </c>
      <c r="J29" s="302">
        <v>265582193</v>
      </c>
      <c r="K29" s="302">
        <v>141739471</v>
      </c>
      <c r="L29" s="302">
        <v>123842722</v>
      </c>
      <c r="M29" s="302">
        <v>71180705</v>
      </c>
      <c r="N29" s="302">
        <v>5095989</v>
      </c>
      <c r="O29" s="302">
        <v>211241216</v>
      </c>
      <c r="P29" s="302">
        <v>126078383</v>
      </c>
      <c r="Q29" s="302">
        <v>85162833</v>
      </c>
    </row>
    <row r="30" spans="1:17" x14ac:dyDescent="0.25">
      <c r="A30" s="300">
        <v>457</v>
      </c>
      <c r="B30" s="331">
        <v>27</v>
      </c>
      <c r="C30" s="300">
        <v>860506688</v>
      </c>
      <c r="D30" s="300" t="s">
        <v>1547</v>
      </c>
      <c r="E30" s="300" t="s">
        <v>758</v>
      </c>
      <c r="F30" s="300" t="s">
        <v>876</v>
      </c>
      <c r="G30" s="311" t="s">
        <v>877</v>
      </c>
      <c r="H30" s="302">
        <v>142546614</v>
      </c>
      <c r="I30" s="302">
        <v>15808203</v>
      </c>
      <c r="J30" s="302">
        <v>256691877</v>
      </c>
      <c r="K30" s="302">
        <v>127472571</v>
      </c>
      <c r="L30" s="302">
        <v>129219306</v>
      </c>
      <c r="M30" s="302">
        <v>99535878</v>
      </c>
      <c r="N30" s="302">
        <v>306924</v>
      </c>
      <c r="O30" s="302">
        <v>246758025</v>
      </c>
      <c r="P30" s="302">
        <v>132524472</v>
      </c>
      <c r="Q30" s="302">
        <v>114233553</v>
      </c>
    </row>
    <row r="31" spans="1:17" x14ac:dyDescent="0.25">
      <c r="A31" s="300">
        <v>468</v>
      </c>
      <c r="B31" s="330">
        <v>28</v>
      </c>
      <c r="C31" s="300">
        <v>844000670</v>
      </c>
      <c r="D31" s="300" t="s">
        <v>1148</v>
      </c>
      <c r="E31" s="300" t="s">
        <v>1149</v>
      </c>
      <c r="F31" s="300" t="s">
        <v>876</v>
      </c>
      <c r="G31" s="311" t="s">
        <v>877</v>
      </c>
      <c r="H31" s="302">
        <v>338556074</v>
      </c>
      <c r="I31" s="302">
        <v>29205968</v>
      </c>
      <c r="J31" s="302">
        <v>255517272</v>
      </c>
      <c r="K31" s="302">
        <v>144414769</v>
      </c>
      <c r="L31" s="302">
        <v>111102503</v>
      </c>
      <c r="M31" s="302">
        <v>261305524</v>
      </c>
      <c r="N31" s="302">
        <v>2355585</v>
      </c>
      <c r="O31" s="302">
        <v>224472230</v>
      </c>
      <c r="P31" s="302">
        <v>133821411</v>
      </c>
      <c r="Q31" s="302">
        <v>90650819</v>
      </c>
    </row>
    <row r="32" spans="1:17" x14ac:dyDescent="0.25">
      <c r="A32" s="312">
        <v>471</v>
      </c>
      <c r="B32" s="330">
        <v>29</v>
      </c>
      <c r="C32" s="300">
        <v>830106557</v>
      </c>
      <c r="D32" s="300" t="s">
        <v>1907</v>
      </c>
      <c r="E32" s="300" t="s">
        <v>758</v>
      </c>
      <c r="F32" s="300" t="s">
        <v>876</v>
      </c>
      <c r="G32" s="311" t="s">
        <v>877</v>
      </c>
      <c r="H32" s="302">
        <v>88823150</v>
      </c>
      <c r="I32" s="302">
        <v>-1381329</v>
      </c>
      <c r="J32" s="302">
        <v>245357232</v>
      </c>
      <c r="K32" s="302">
        <v>230516010</v>
      </c>
      <c r="L32" s="302">
        <v>14841222</v>
      </c>
      <c r="M32" s="302">
        <v>83587250</v>
      </c>
      <c r="N32" s="302">
        <v>2789931</v>
      </c>
      <c r="O32" s="302">
        <v>201984470</v>
      </c>
      <c r="P32" s="302">
        <v>185761919</v>
      </c>
      <c r="Q32" s="302">
        <v>16222551</v>
      </c>
    </row>
    <row r="33" spans="1:17" x14ac:dyDescent="0.25">
      <c r="A33" s="300">
        <v>485</v>
      </c>
      <c r="B33" s="336">
        <v>30</v>
      </c>
      <c r="C33" s="300">
        <v>900329889</v>
      </c>
      <c r="D33" s="300" t="s">
        <v>1110</v>
      </c>
      <c r="E33" s="300" t="s">
        <v>758</v>
      </c>
      <c r="F33" s="300" t="s">
        <v>876</v>
      </c>
      <c r="G33" s="311" t="s">
        <v>877</v>
      </c>
      <c r="H33" s="302">
        <v>378054805</v>
      </c>
      <c r="I33" s="302">
        <v>-1929091</v>
      </c>
      <c r="J33" s="302">
        <v>241543401</v>
      </c>
      <c r="K33" s="302">
        <v>245478392</v>
      </c>
      <c r="L33" s="302">
        <v>-3934991</v>
      </c>
      <c r="M33" s="302">
        <v>280534985</v>
      </c>
      <c r="N33" s="302">
        <v>-156400497</v>
      </c>
      <c r="O33" s="302">
        <v>267256003</v>
      </c>
      <c r="P33" s="302">
        <v>420308188</v>
      </c>
      <c r="Q33" s="302">
        <v>-153052185</v>
      </c>
    </row>
    <row r="34" spans="1:17" x14ac:dyDescent="0.25">
      <c r="A34" s="300">
        <v>488</v>
      </c>
      <c r="B34" s="330">
        <v>31</v>
      </c>
      <c r="C34" s="300">
        <v>890312765</v>
      </c>
      <c r="D34" s="300" t="s">
        <v>1224</v>
      </c>
      <c r="E34" s="300" t="s">
        <v>808</v>
      </c>
      <c r="F34" s="300" t="s">
        <v>876</v>
      </c>
      <c r="G34" s="311" t="s">
        <v>877</v>
      </c>
      <c r="H34" s="302">
        <v>277609471</v>
      </c>
      <c r="I34" s="302">
        <v>13367307</v>
      </c>
      <c r="J34" s="302">
        <v>233904915</v>
      </c>
      <c r="K34" s="302">
        <v>115695200</v>
      </c>
      <c r="L34" s="302">
        <v>118209715</v>
      </c>
      <c r="M34" s="302">
        <v>278562899</v>
      </c>
      <c r="N34" s="302">
        <v>34832773</v>
      </c>
      <c r="O34" s="302">
        <v>237987495</v>
      </c>
      <c r="P34" s="302">
        <v>127566377</v>
      </c>
      <c r="Q34" s="302">
        <v>110421118</v>
      </c>
    </row>
    <row r="35" spans="1:17" x14ac:dyDescent="0.25">
      <c r="A35" s="300">
        <v>491</v>
      </c>
      <c r="B35" s="331">
        <v>32</v>
      </c>
      <c r="C35" s="300">
        <v>890300604</v>
      </c>
      <c r="D35" s="300" t="s">
        <v>1789</v>
      </c>
      <c r="E35" s="300" t="s">
        <v>808</v>
      </c>
      <c r="F35" s="300" t="s">
        <v>759</v>
      </c>
      <c r="G35" s="311" t="s">
        <v>877</v>
      </c>
      <c r="H35" s="302">
        <v>100568890</v>
      </c>
      <c r="I35" s="302">
        <v>-26421940</v>
      </c>
      <c r="J35" s="302">
        <v>229166360</v>
      </c>
      <c r="K35" s="302">
        <v>212446080</v>
      </c>
      <c r="L35" s="302">
        <v>16720280</v>
      </c>
      <c r="M35" s="302">
        <v>157305539</v>
      </c>
      <c r="N35" s="302">
        <v>-6546594</v>
      </c>
      <c r="O35" s="302">
        <v>260315094</v>
      </c>
      <c r="P35" s="302">
        <v>214048245</v>
      </c>
      <c r="Q35" s="302">
        <v>46266849</v>
      </c>
    </row>
    <row r="36" spans="1:17" x14ac:dyDescent="0.25">
      <c r="A36" s="300">
        <v>496</v>
      </c>
      <c r="B36" s="330">
        <v>33</v>
      </c>
      <c r="C36" s="300">
        <v>811032292</v>
      </c>
      <c r="D36" s="300" t="s">
        <v>1289</v>
      </c>
      <c r="E36" s="300" t="s">
        <v>763</v>
      </c>
      <c r="F36" s="300" t="s">
        <v>1290</v>
      </c>
      <c r="G36" s="311" t="s">
        <v>877</v>
      </c>
      <c r="H36" s="302">
        <v>242931675</v>
      </c>
      <c r="I36" s="302">
        <v>57290904</v>
      </c>
      <c r="J36" s="302">
        <v>228798462</v>
      </c>
      <c r="K36" s="302">
        <v>163039997</v>
      </c>
      <c r="L36" s="302">
        <v>65758465</v>
      </c>
      <c r="M36" s="302">
        <v>228010268</v>
      </c>
      <c r="N36" s="302">
        <v>20372587</v>
      </c>
      <c r="O36" s="302">
        <v>214303576</v>
      </c>
      <c r="P36" s="302">
        <v>191680989</v>
      </c>
      <c r="Q36" s="302">
        <v>22622587</v>
      </c>
    </row>
    <row r="37" spans="1:17" x14ac:dyDescent="0.25">
      <c r="A37" s="300">
        <v>499</v>
      </c>
      <c r="B37" s="330">
        <v>34</v>
      </c>
      <c r="C37" s="300">
        <v>800222937</v>
      </c>
      <c r="D37" s="300" t="s">
        <v>1897</v>
      </c>
      <c r="E37" s="300" t="s">
        <v>891</v>
      </c>
      <c r="F37" s="300" t="s">
        <v>1290</v>
      </c>
      <c r="G37" s="311" t="s">
        <v>877</v>
      </c>
      <c r="H37" s="302">
        <v>90197513</v>
      </c>
      <c r="I37" s="302">
        <v>2820505</v>
      </c>
      <c r="J37" s="302">
        <v>224263705</v>
      </c>
      <c r="K37" s="302">
        <v>177524709</v>
      </c>
      <c r="L37" s="302">
        <v>46738996</v>
      </c>
      <c r="M37" s="302">
        <v>84875589</v>
      </c>
      <c r="N37" s="302">
        <v>2691396</v>
      </c>
      <c r="O37" s="302">
        <v>185963634</v>
      </c>
      <c r="P37" s="302">
        <v>142045143</v>
      </c>
      <c r="Q37" s="302">
        <v>43918491</v>
      </c>
    </row>
    <row r="38" spans="1:17" x14ac:dyDescent="0.25">
      <c r="A38" s="300">
        <v>500</v>
      </c>
      <c r="B38" s="336">
        <v>35</v>
      </c>
      <c r="C38" s="300">
        <v>860037232</v>
      </c>
      <c r="D38" s="300" t="s">
        <v>1129</v>
      </c>
      <c r="E38" s="300" t="s">
        <v>758</v>
      </c>
      <c r="F38" s="300" t="s">
        <v>876</v>
      </c>
      <c r="G38" s="311" t="s">
        <v>877</v>
      </c>
      <c r="H38" s="302">
        <v>354468481</v>
      </c>
      <c r="I38" s="302">
        <v>7712949</v>
      </c>
      <c r="J38" s="302">
        <v>217932766</v>
      </c>
      <c r="K38" s="302">
        <v>152126473</v>
      </c>
      <c r="L38" s="302">
        <v>65806293</v>
      </c>
      <c r="M38" s="302">
        <v>357493941</v>
      </c>
      <c r="N38" s="302">
        <v>6930817</v>
      </c>
      <c r="O38" s="302">
        <v>190628044</v>
      </c>
      <c r="P38" s="302">
        <v>132407430</v>
      </c>
      <c r="Q38" s="302">
        <v>58220614</v>
      </c>
    </row>
    <row r="39" spans="1:17" x14ac:dyDescent="0.25">
      <c r="A39" s="300">
        <v>537</v>
      </c>
      <c r="B39" s="330">
        <v>36</v>
      </c>
      <c r="C39" s="312">
        <v>804000752</v>
      </c>
      <c r="D39" s="312" t="s">
        <v>1613</v>
      </c>
      <c r="E39" s="312" t="s">
        <v>891</v>
      </c>
      <c r="F39" s="312" t="s">
        <v>876</v>
      </c>
      <c r="G39" s="313" t="s">
        <v>877</v>
      </c>
      <c r="H39" s="314">
        <v>126638903</v>
      </c>
      <c r="I39" s="314">
        <v>1105886</v>
      </c>
      <c r="J39" s="314">
        <v>215590903</v>
      </c>
      <c r="K39" s="314">
        <v>107622595</v>
      </c>
      <c r="L39" s="314">
        <v>107968308</v>
      </c>
      <c r="M39" s="314">
        <v>128794852</v>
      </c>
      <c r="N39" s="314">
        <v>2081187</v>
      </c>
      <c r="O39" s="314">
        <v>187755752</v>
      </c>
      <c r="P39" s="314">
        <v>88769871</v>
      </c>
      <c r="Q39" s="314">
        <v>98985881</v>
      </c>
    </row>
    <row r="40" spans="1:17" x14ac:dyDescent="0.25">
      <c r="A40" s="312">
        <v>552</v>
      </c>
      <c r="B40" s="331">
        <v>37</v>
      </c>
      <c r="C40" s="312">
        <v>890311243</v>
      </c>
      <c r="D40" s="312" t="s">
        <v>1353</v>
      </c>
      <c r="E40" s="312" t="s">
        <v>808</v>
      </c>
      <c r="F40" s="312" t="s">
        <v>876</v>
      </c>
      <c r="G40" s="313" t="s">
        <v>877</v>
      </c>
      <c r="H40" s="314">
        <v>209684966</v>
      </c>
      <c r="I40" s="314">
        <v>53076</v>
      </c>
      <c r="J40" s="314">
        <v>213128497</v>
      </c>
      <c r="K40" s="314">
        <v>138892896</v>
      </c>
      <c r="L40" s="314">
        <v>74235601</v>
      </c>
      <c r="M40" s="314">
        <v>244729718</v>
      </c>
      <c r="N40" s="314">
        <v>438327</v>
      </c>
      <c r="O40" s="314">
        <v>189010243</v>
      </c>
      <c r="P40" s="314">
        <v>110047985</v>
      </c>
      <c r="Q40" s="314">
        <v>78962258</v>
      </c>
    </row>
    <row r="41" spans="1:17" x14ac:dyDescent="0.25">
      <c r="A41" s="300">
        <v>573</v>
      </c>
      <c r="B41" s="330">
        <v>38</v>
      </c>
      <c r="C41" s="312">
        <v>800186228</v>
      </c>
      <c r="D41" s="312" t="s">
        <v>1317</v>
      </c>
      <c r="E41" s="312" t="s">
        <v>758</v>
      </c>
      <c r="F41" s="312" t="s">
        <v>876</v>
      </c>
      <c r="G41" s="313" t="s">
        <v>877</v>
      </c>
      <c r="H41" s="314">
        <v>229015895</v>
      </c>
      <c r="I41" s="314">
        <v>11021132</v>
      </c>
      <c r="J41" s="314">
        <v>211286376</v>
      </c>
      <c r="K41" s="314">
        <v>81162124</v>
      </c>
      <c r="L41" s="314">
        <v>130124252</v>
      </c>
      <c r="M41" s="314">
        <v>171932833</v>
      </c>
      <c r="N41" s="314">
        <v>5882243</v>
      </c>
      <c r="O41" s="314">
        <v>167658659</v>
      </c>
      <c r="P41" s="314">
        <v>76861750</v>
      </c>
      <c r="Q41" s="314">
        <v>90796909</v>
      </c>
    </row>
    <row r="42" spans="1:17" x14ac:dyDescent="0.25">
      <c r="A42" s="300">
        <v>627</v>
      </c>
      <c r="B42" s="330">
        <v>39</v>
      </c>
      <c r="C42" s="312">
        <v>830129289</v>
      </c>
      <c r="D42" s="312" t="s">
        <v>1443</v>
      </c>
      <c r="E42" s="312" t="s">
        <v>758</v>
      </c>
      <c r="F42" s="312" t="s">
        <v>876</v>
      </c>
      <c r="G42" s="313" t="s">
        <v>877</v>
      </c>
      <c r="H42" s="314">
        <v>171235727</v>
      </c>
      <c r="I42" s="314">
        <v>12036037</v>
      </c>
      <c r="J42" s="314">
        <v>208850501</v>
      </c>
      <c r="K42" s="314">
        <v>145040948</v>
      </c>
      <c r="L42" s="314">
        <v>63809553</v>
      </c>
      <c r="M42" s="314">
        <v>129130149</v>
      </c>
      <c r="N42" s="314">
        <v>6382704</v>
      </c>
      <c r="O42" s="314">
        <v>159667047</v>
      </c>
      <c r="P42" s="314">
        <v>110370402</v>
      </c>
      <c r="Q42" s="314">
        <v>49296645</v>
      </c>
    </row>
    <row r="43" spans="1:17" x14ac:dyDescent="0.25">
      <c r="A43" s="300">
        <v>632</v>
      </c>
      <c r="B43" s="336">
        <v>40</v>
      </c>
      <c r="C43" s="300">
        <v>900475730</v>
      </c>
      <c r="D43" s="300" t="s">
        <v>1617</v>
      </c>
      <c r="E43" s="300" t="s">
        <v>758</v>
      </c>
      <c r="F43" s="300" t="s">
        <v>876</v>
      </c>
      <c r="G43" s="311" t="s">
        <v>877</v>
      </c>
      <c r="H43" s="302">
        <v>126182559</v>
      </c>
      <c r="I43" s="302">
        <v>181478</v>
      </c>
      <c r="J43" s="302">
        <v>205391232</v>
      </c>
      <c r="K43" s="302">
        <v>205082751</v>
      </c>
      <c r="L43" s="302">
        <v>308481</v>
      </c>
      <c r="M43" s="302">
        <v>60389200</v>
      </c>
      <c r="N43" s="302">
        <v>26595</v>
      </c>
      <c r="O43" s="302">
        <v>189631782</v>
      </c>
      <c r="P43" s="302">
        <v>189504780</v>
      </c>
      <c r="Q43" s="302">
        <v>127002</v>
      </c>
    </row>
    <row r="44" spans="1:17" x14ac:dyDescent="0.25">
      <c r="A44" s="300">
        <v>650</v>
      </c>
      <c r="B44" s="330">
        <v>41</v>
      </c>
      <c r="C44" s="300">
        <v>890906388</v>
      </c>
      <c r="D44" s="300" t="s">
        <v>1376</v>
      </c>
      <c r="E44" s="300" t="s">
        <v>763</v>
      </c>
      <c r="F44" s="300" t="s">
        <v>876</v>
      </c>
      <c r="G44" s="311" t="s">
        <v>877</v>
      </c>
      <c r="H44" s="302">
        <v>199625932</v>
      </c>
      <c r="I44" s="302">
        <v>8207381</v>
      </c>
      <c r="J44" s="302">
        <v>205300661</v>
      </c>
      <c r="K44" s="302">
        <v>76677076</v>
      </c>
      <c r="L44" s="302">
        <v>128623585</v>
      </c>
      <c r="M44" s="302">
        <v>222411852</v>
      </c>
      <c r="N44" s="302">
        <v>2939374</v>
      </c>
      <c r="O44" s="302">
        <v>217474888</v>
      </c>
      <c r="P44" s="302">
        <v>94258665</v>
      </c>
      <c r="Q44" s="302">
        <v>123216223</v>
      </c>
    </row>
    <row r="45" spans="1:17" x14ac:dyDescent="0.25">
      <c r="A45" s="312">
        <v>708</v>
      </c>
      <c r="B45" s="331">
        <v>42</v>
      </c>
      <c r="C45" s="312">
        <v>806008737</v>
      </c>
      <c r="D45" s="312" t="s">
        <v>1771</v>
      </c>
      <c r="E45" s="312" t="s">
        <v>758</v>
      </c>
      <c r="F45" s="312" t="s">
        <v>876</v>
      </c>
      <c r="G45" s="313" t="s">
        <v>877</v>
      </c>
      <c r="H45" s="314">
        <v>102342316</v>
      </c>
      <c r="I45" s="314">
        <v>2001973</v>
      </c>
      <c r="J45" s="314">
        <v>200697881</v>
      </c>
      <c r="K45" s="314">
        <v>104593172</v>
      </c>
      <c r="L45" s="314">
        <v>96104709</v>
      </c>
      <c r="M45" s="314">
        <v>100004736</v>
      </c>
      <c r="N45" s="314">
        <v>3742602</v>
      </c>
      <c r="O45" s="314">
        <v>192734244</v>
      </c>
      <c r="P45" s="314">
        <v>99570059</v>
      </c>
      <c r="Q45" s="314">
        <v>93164185</v>
      </c>
    </row>
    <row r="46" spans="1:17" x14ac:dyDescent="0.25">
      <c r="A46" s="300">
        <v>712</v>
      </c>
      <c r="B46" s="330">
        <v>43</v>
      </c>
      <c r="C46" s="300">
        <v>800094968</v>
      </c>
      <c r="D46" s="300" t="s">
        <v>1762</v>
      </c>
      <c r="E46" s="300" t="s">
        <v>808</v>
      </c>
      <c r="F46" s="300" t="s">
        <v>1290</v>
      </c>
      <c r="G46" s="311" t="s">
        <v>877</v>
      </c>
      <c r="H46" s="302">
        <v>103002805</v>
      </c>
      <c r="I46" s="302">
        <v>14554176</v>
      </c>
      <c r="J46" s="302">
        <v>197025365</v>
      </c>
      <c r="K46" s="302">
        <v>132822559</v>
      </c>
      <c r="L46" s="302">
        <v>64202806</v>
      </c>
      <c r="M46" s="302">
        <v>91378768</v>
      </c>
      <c r="N46" s="302">
        <v>4133839</v>
      </c>
      <c r="O46" s="302">
        <v>121287417</v>
      </c>
      <c r="P46" s="302">
        <v>83979319</v>
      </c>
      <c r="Q46" s="302">
        <v>37308098</v>
      </c>
    </row>
    <row r="47" spans="1:17" x14ac:dyDescent="0.25">
      <c r="A47" s="300">
        <v>769</v>
      </c>
      <c r="B47" s="330">
        <v>44</v>
      </c>
      <c r="C47" s="300">
        <v>890932424</v>
      </c>
      <c r="D47" s="300" t="s">
        <v>1292</v>
      </c>
      <c r="E47" s="300" t="s">
        <v>763</v>
      </c>
      <c r="F47" s="300" t="s">
        <v>876</v>
      </c>
      <c r="G47" s="311" t="s">
        <v>877</v>
      </c>
      <c r="H47" s="302">
        <v>241723272</v>
      </c>
      <c r="I47" s="302">
        <v>8853710</v>
      </c>
      <c r="J47" s="302">
        <v>194658823</v>
      </c>
      <c r="K47" s="302">
        <v>56422374</v>
      </c>
      <c r="L47" s="302">
        <v>138236449</v>
      </c>
      <c r="M47" s="302">
        <v>209242999</v>
      </c>
      <c r="N47" s="302">
        <v>20245591</v>
      </c>
      <c r="O47" s="302">
        <v>200355425</v>
      </c>
      <c r="P47" s="302">
        <v>68422510</v>
      </c>
      <c r="Q47" s="302">
        <v>131932915</v>
      </c>
    </row>
    <row r="48" spans="1:17" x14ac:dyDescent="0.25">
      <c r="A48" s="300">
        <v>781</v>
      </c>
      <c r="B48" s="336">
        <v>45</v>
      </c>
      <c r="C48" s="300">
        <v>860036081</v>
      </c>
      <c r="D48" s="300" t="s">
        <v>1384</v>
      </c>
      <c r="E48" s="300" t="s">
        <v>758</v>
      </c>
      <c r="F48" s="300" t="s">
        <v>1331</v>
      </c>
      <c r="G48" s="311" t="s">
        <v>877</v>
      </c>
      <c r="H48" s="302">
        <v>194844069</v>
      </c>
      <c r="I48" s="302">
        <v>3872325</v>
      </c>
      <c r="J48" s="302">
        <v>182767108</v>
      </c>
      <c r="K48" s="302">
        <v>124038273</v>
      </c>
      <c r="L48" s="302">
        <v>58728835</v>
      </c>
      <c r="M48" s="302">
        <v>252538268</v>
      </c>
      <c r="N48" s="302">
        <v>-12914491</v>
      </c>
      <c r="O48" s="302">
        <v>174517789</v>
      </c>
      <c r="P48" s="302">
        <v>129707778</v>
      </c>
      <c r="Q48" s="302">
        <v>44810011</v>
      </c>
    </row>
    <row r="49" spans="1:17" x14ac:dyDescent="0.25">
      <c r="A49" s="300">
        <v>790</v>
      </c>
      <c r="B49" s="330">
        <v>46</v>
      </c>
      <c r="C49" s="300">
        <v>890100248</v>
      </c>
      <c r="D49" s="300" t="s">
        <v>1883</v>
      </c>
      <c r="E49" s="300" t="s">
        <v>768</v>
      </c>
      <c r="F49" s="300" t="s">
        <v>876</v>
      </c>
      <c r="G49" s="311" t="s">
        <v>877</v>
      </c>
      <c r="H49" s="302">
        <v>91488778</v>
      </c>
      <c r="I49" s="302">
        <v>43203915</v>
      </c>
      <c r="J49" s="302">
        <v>182056301</v>
      </c>
      <c r="K49" s="302">
        <v>69954728</v>
      </c>
      <c r="L49" s="302">
        <v>112101573</v>
      </c>
      <c r="M49" s="302">
        <v>80474188</v>
      </c>
      <c r="N49" s="302">
        <v>2754672</v>
      </c>
      <c r="O49" s="302">
        <v>160679147</v>
      </c>
      <c r="P49" s="302">
        <v>83174425</v>
      </c>
      <c r="Q49" s="302">
        <v>77504722</v>
      </c>
    </row>
    <row r="50" spans="1:17" x14ac:dyDescent="0.25">
      <c r="A50" s="300">
        <v>795</v>
      </c>
      <c r="B50" s="331">
        <v>47</v>
      </c>
      <c r="C50" s="300">
        <v>900397359</v>
      </c>
      <c r="D50" s="300" t="s">
        <v>1428</v>
      </c>
      <c r="E50" s="300" t="s">
        <v>758</v>
      </c>
      <c r="F50" s="300" t="s">
        <v>876</v>
      </c>
      <c r="G50" s="311" t="s">
        <v>877</v>
      </c>
      <c r="H50" s="302">
        <v>177771547</v>
      </c>
      <c r="I50" s="302">
        <v>-139509</v>
      </c>
      <c r="J50" s="302">
        <v>179619046</v>
      </c>
      <c r="K50" s="302">
        <v>233507946</v>
      </c>
      <c r="L50" s="302">
        <v>-53888900</v>
      </c>
      <c r="M50" s="302">
        <v>125731212</v>
      </c>
      <c r="N50" s="302">
        <v>-59550613</v>
      </c>
      <c r="O50" s="302">
        <v>179182224</v>
      </c>
      <c r="P50" s="302">
        <v>232931614</v>
      </c>
      <c r="Q50" s="302">
        <v>-53749390</v>
      </c>
    </row>
    <row r="51" spans="1:17" x14ac:dyDescent="0.25">
      <c r="A51" s="312">
        <v>831</v>
      </c>
      <c r="B51" s="330">
        <v>48</v>
      </c>
      <c r="C51" s="300">
        <v>890211777</v>
      </c>
      <c r="D51" s="300" t="s">
        <v>1316</v>
      </c>
      <c r="E51" s="300" t="s">
        <v>891</v>
      </c>
      <c r="F51" s="300" t="s">
        <v>1290</v>
      </c>
      <c r="G51" s="311" t="s">
        <v>877</v>
      </c>
      <c r="H51" s="302">
        <v>229278625</v>
      </c>
      <c r="I51" s="302">
        <v>19833919</v>
      </c>
      <c r="J51" s="302">
        <v>178247018</v>
      </c>
      <c r="K51" s="302">
        <v>90516586</v>
      </c>
      <c r="L51" s="302">
        <v>87730432</v>
      </c>
      <c r="M51" s="302">
        <v>143185709</v>
      </c>
      <c r="N51" s="302">
        <v>4227561</v>
      </c>
      <c r="O51" s="302">
        <v>115960578</v>
      </c>
      <c r="P51" s="302">
        <v>99532821</v>
      </c>
      <c r="Q51" s="302">
        <v>16427757</v>
      </c>
    </row>
    <row r="52" spans="1:17" x14ac:dyDescent="0.25">
      <c r="A52" s="300">
        <v>851</v>
      </c>
      <c r="B52" s="330">
        <v>49</v>
      </c>
      <c r="C52" s="312">
        <v>800233881</v>
      </c>
      <c r="D52" s="312" t="s">
        <v>1281</v>
      </c>
      <c r="E52" s="312" t="s">
        <v>763</v>
      </c>
      <c r="F52" s="312" t="s">
        <v>876</v>
      </c>
      <c r="G52" s="313" t="s">
        <v>877</v>
      </c>
      <c r="H52" s="314">
        <v>244921084</v>
      </c>
      <c r="I52" s="314">
        <v>17390165</v>
      </c>
      <c r="J52" s="314">
        <v>172113336</v>
      </c>
      <c r="K52" s="314">
        <v>100649549</v>
      </c>
      <c r="L52" s="314">
        <v>71463787</v>
      </c>
      <c r="M52" s="314">
        <v>146903020</v>
      </c>
      <c r="N52" s="314">
        <v>7466893</v>
      </c>
      <c r="O52" s="314">
        <v>127790322</v>
      </c>
      <c r="P52" s="314">
        <v>67595557</v>
      </c>
      <c r="Q52" s="314">
        <v>60194765</v>
      </c>
    </row>
    <row r="53" spans="1:17" x14ac:dyDescent="0.25">
      <c r="A53" s="312">
        <v>860</v>
      </c>
      <c r="B53" s="336">
        <v>50</v>
      </c>
      <c r="C53" s="300">
        <v>800143586</v>
      </c>
      <c r="D53" s="300" t="s">
        <v>1381</v>
      </c>
      <c r="E53" s="300" t="s">
        <v>758</v>
      </c>
      <c r="F53" s="300" t="s">
        <v>876</v>
      </c>
      <c r="G53" s="311" t="s">
        <v>877</v>
      </c>
      <c r="H53" s="302">
        <v>197141792</v>
      </c>
      <c r="I53" s="302">
        <v>8439344</v>
      </c>
      <c r="J53" s="302">
        <v>154516362</v>
      </c>
      <c r="K53" s="302">
        <v>82100989</v>
      </c>
      <c r="L53" s="302">
        <v>72415373</v>
      </c>
      <c r="M53" s="302">
        <v>159006851</v>
      </c>
      <c r="N53" s="302">
        <v>4545196</v>
      </c>
      <c r="O53" s="302">
        <v>149911038</v>
      </c>
      <c r="P53" s="302">
        <v>88937017</v>
      </c>
      <c r="Q53" s="302">
        <v>60974021</v>
      </c>
    </row>
    <row r="54" spans="1:17" x14ac:dyDescent="0.25">
      <c r="A54" s="300">
        <v>873</v>
      </c>
      <c r="B54" s="330">
        <v>51</v>
      </c>
      <c r="C54" s="300">
        <v>860006282</v>
      </c>
      <c r="D54" s="300" t="s">
        <v>1526</v>
      </c>
      <c r="E54" s="300" t="s">
        <v>758</v>
      </c>
      <c r="F54" s="300" t="s">
        <v>876</v>
      </c>
      <c r="G54" s="311" t="s">
        <v>877</v>
      </c>
      <c r="H54" s="302">
        <v>147338750</v>
      </c>
      <c r="I54" s="302">
        <v>6561783</v>
      </c>
      <c r="J54" s="302">
        <v>152983600</v>
      </c>
      <c r="K54" s="302">
        <v>69125117</v>
      </c>
      <c r="L54" s="302">
        <v>83858483</v>
      </c>
      <c r="M54" s="302">
        <v>101950350</v>
      </c>
      <c r="N54" s="302">
        <v>3234855</v>
      </c>
      <c r="O54" s="302">
        <v>137708984</v>
      </c>
      <c r="P54" s="302">
        <v>60146338</v>
      </c>
      <c r="Q54" s="302">
        <v>77562646</v>
      </c>
    </row>
    <row r="55" spans="1:17" x14ac:dyDescent="0.25">
      <c r="A55" s="300">
        <v>876</v>
      </c>
      <c r="B55" s="331">
        <v>52</v>
      </c>
      <c r="C55" s="312">
        <v>900031253</v>
      </c>
      <c r="D55" s="312" t="s">
        <v>1741</v>
      </c>
      <c r="E55" s="312" t="s">
        <v>758</v>
      </c>
      <c r="F55" s="312" t="s">
        <v>876</v>
      </c>
      <c r="G55" s="313" t="s">
        <v>877</v>
      </c>
      <c r="H55" s="314">
        <v>105702907</v>
      </c>
      <c r="I55" s="314">
        <v>1195873</v>
      </c>
      <c r="J55" s="314">
        <v>124694297</v>
      </c>
      <c r="K55" s="314">
        <v>60369692</v>
      </c>
      <c r="L55" s="314">
        <v>64324605</v>
      </c>
      <c r="M55" s="314">
        <v>53438945</v>
      </c>
      <c r="N55" s="314">
        <v>582938</v>
      </c>
      <c r="O55" s="314">
        <v>130505149</v>
      </c>
      <c r="P55" s="314">
        <v>67376418</v>
      </c>
      <c r="Q55" s="314">
        <v>63128731</v>
      </c>
    </row>
    <row r="56" spans="1:17" x14ac:dyDescent="0.25">
      <c r="A56" s="300">
        <v>880</v>
      </c>
      <c r="B56" s="330">
        <v>53</v>
      </c>
      <c r="C56" s="300">
        <v>900412461</v>
      </c>
      <c r="D56" s="300" t="s">
        <v>1126</v>
      </c>
      <c r="E56" s="300" t="s">
        <v>758</v>
      </c>
      <c r="F56" s="300" t="s">
        <v>876</v>
      </c>
      <c r="G56" s="311" t="s">
        <v>877</v>
      </c>
      <c r="H56" s="302">
        <v>355843522</v>
      </c>
      <c r="I56" s="302">
        <v>15515708</v>
      </c>
      <c r="J56" s="302">
        <v>108022208</v>
      </c>
      <c r="K56" s="302">
        <v>58003474</v>
      </c>
      <c r="L56" s="302">
        <v>50018734</v>
      </c>
      <c r="M56" s="302">
        <v>697566937</v>
      </c>
      <c r="N56" s="302">
        <v>24558848</v>
      </c>
      <c r="O56" s="302">
        <v>194757662</v>
      </c>
      <c r="P56" s="302">
        <v>135425259</v>
      </c>
      <c r="Q56" s="302">
        <v>59332403</v>
      </c>
    </row>
    <row r="57" spans="1:17" x14ac:dyDescent="0.25">
      <c r="A57" s="300">
        <v>890</v>
      </c>
      <c r="B57" s="330">
        <v>54</v>
      </c>
      <c r="C57" s="300">
        <v>891100881</v>
      </c>
      <c r="D57" s="300" t="s">
        <v>1521</v>
      </c>
      <c r="E57" s="300" t="s">
        <v>758</v>
      </c>
      <c r="F57" s="300" t="s">
        <v>876</v>
      </c>
      <c r="G57" s="311" t="s">
        <v>877</v>
      </c>
      <c r="H57" s="302">
        <v>149524345</v>
      </c>
      <c r="I57" s="302">
        <v>8733296</v>
      </c>
      <c r="J57" s="302">
        <v>105688107</v>
      </c>
      <c r="K57" s="302">
        <v>29321151</v>
      </c>
      <c r="L57" s="302">
        <v>76366956</v>
      </c>
      <c r="M57" s="302">
        <v>112341075</v>
      </c>
      <c r="N57" s="302">
        <v>2148003</v>
      </c>
      <c r="O57" s="302">
        <v>62375456</v>
      </c>
      <c r="P57" s="302">
        <v>31639018</v>
      </c>
      <c r="Q57" s="302">
        <v>30736438</v>
      </c>
    </row>
    <row r="58" spans="1:17" x14ac:dyDescent="0.25">
      <c r="A58" s="300">
        <v>891</v>
      </c>
      <c r="B58" s="336">
        <v>55</v>
      </c>
      <c r="C58" s="300">
        <v>830035702</v>
      </c>
      <c r="D58" s="300" t="s">
        <v>1823</v>
      </c>
      <c r="E58" s="300" t="s">
        <v>758</v>
      </c>
      <c r="F58" s="300" t="s">
        <v>1588</v>
      </c>
      <c r="G58" s="311" t="s">
        <v>877</v>
      </c>
      <c r="H58" s="302">
        <v>97047956</v>
      </c>
      <c r="I58" s="302">
        <v>926637</v>
      </c>
      <c r="J58" s="302">
        <v>102736195</v>
      </c>
      <c r="K58" s="302">
        <v>78742329</v>
      </c>
      <c r="L58" s="302">
        <v>23993866</v>
      </c>
      <c r="M58" s="302">
        <v>83878696</v>
      </c>
      <c r="N58" s="302">
        <v>1755759</v>
      </c>
      <c r="O58" s="302">
        <v>71989393</v>
      </c>
      <c r="P58" s="302">
        <v>48665106</v>
      </c>
      <c r="Q58" s="302">
        <v>23324287</v>
      </c>
    </row>
    <row r="59" spans="1:17" x14ac:dyDescent="0.25">
      <c r="A59" s="300">
        <v>905</v>
      </c>
      <c r="B59" s="330">
        <v>56</v>
      </c>
      <c r="C59" s="300">
        <v>800014246</v>
      </c>
      <c r="D59" s="300" t="s">
        <v>1676</v>
      </c>
      <c r="E59" s="300" t="s">
        <v>763</v>
      </c>
      <c r="F59" s="300" t="s">
        <v>876</v>
      </c>
      <c r="G59" s="311" t="s">
        <v>877</v>
      </c>
      <c r="H59" s="302">
        <v>117234765</v>
      </c>
      <c r="I59" s="302">
        <v>4082087</v>
      </c>
      <c r="J59" s="302">
        <v>97725505</v>
      </c>
      <c r="K59" s="302">
        <v>55807930</v>
      </c>
      <c r="L59" s="302">
        <v>41917575</v>
      </c>
      <c r="M59" s="302">
        <v>113490159</v>
      </c>
      <c r="N59" s="302">
        <v>5011171</v>
      </c>
      <c r="O59" s="302">
        <v>75516557</v>
      </c>
      <c r="P59" s="302">
        <v>38268092</v>
      </c>
      <c r="Q59" s="302">
        <v>37248465</v>
      </c>
    </row>
    <row r="60" spans="1:17" x14ac:dyDescent="0.25">
      <c r="A60" s="300">
        <v>922</v>
      </c>
      <c r="B60" s="331">
        <v>57</v>
      </c>
      <c r="C60" s="300">
        <v>860002585</v>
      </c>
      <c r="D60" s="300" t="s">
        <v>1914</v>
      </c>
      <c r="E60" s="300" t="s">
        <v>758</v>
      </c>
      <c r="F60" s="300" t="s">
        <v>1915</v>
      </c>
      <c r="G60" s="311" t="s">
        <v>877</v>
      </c>
      <c r="H60" s="302">
        <v>88011133</v>
      </c>
      <c r="I60" s="302">
        <v>1139022</v>
      </c>
      <c r="J60" s="302">
        <v>96396991</v>
      </c>
      <c r="K60" s="302">
        <v>43508253</v>
      </c>
      <c r="L60" s="302">
        <v>52888738</v>
      </c>
      <c r="M60" s="302">
        <v>73216601</v>
      </c>
      <c r="N60" s="302">
        <v>378015</v>
      </c>
      <c r="O60" s="302">
        <v>81208955</v>
      </c>
      <c r="P60" s="302">
        <v>41419502</v>
      </c>
      <c r="Q60" s="302">
        <v>39789453</v>
      </c>
    </row>
    <row r="61" spans="1:17" x14ac:dyDescent="0.25">
      <c r="A61" s="300">
        <v>929</v>
      </c>
      <c r="B61" s="330">
        <v>58</v>
      </c>
      <c r="C61" s="300">
        <v>830043648</v>
      </c>
      <c r="D61" s="300" t="s">
        <v>1848</v>
      </c>
      <c r="E61" s="300" t="s">
        <v>758</v>
      </c>
      <c r="F61" s="300" t="s">
        <v>876</v>
      </c>
      <c r="G61" s="311" t="s">
        <v>877</v>
      </c>
      <c r="H61" s="302">
        <v>94579523</v>
      </c>
      <c r="I61" s="302">
        <v>1799054</v>
      </c>
      <c r="J61" s="302">
        <v>93909508</v>
      </c>
      <c r="K61" s="302">
        <v>71498057</v>
      </c>
      <c r="L61" s="302">
        <v>22411451</v>
      </c>
      <c r="M61" s="302">
        <v>62251968</v>
      </c>
      <c r="N61" s="302">
        <v>6010448</v>
      </c>
      <c r="O61" s="302">
        <v>75127992</v>
      </c>
      <c r="P61" s="302">
        <v>62631644</v>
      </c>
      <c r="Q61" s="302">
        <v>12496348</v>
      </c>
    </row>
    <row r="62" spans="1:17" x14ac:dyDescent="0.25">
      <c r="A62" s="300">
        <v>950</v>
      </c>
      <c r="B62" s="330">
        <v>59</v>
      </c>
      <c r="C62" s="300">
        <v>830108963</v>
      </c>
      <c r="D62" s="300" t="s">
        <v>1786</v>
      </c>
      <c r="E62" s="300" t="s">
        <v>758</v>
      </c>
      <c r="F62" s="300" t="s">
        <v>1331</v>
      </c>
      <c r="G62" s="311" t="s">
        <v>877</v>
      </c>
      <c r="H62" s="302">
        <v>100905294</v>
      </c>
      <c r="I62" s="302">
        <v>250819</v>
      </c>
      <c r="J62" s="302">
        <v>85655758</v>
      </c>
      <c r="K62" s="302">
        <v>73063732</v>
      </c>
      <c r="L62" s="302">
        <v>12592026</v>
      </c>
      <c r="M62" s="302">
        <v>259827421</v>
      </c>
      <c r="N62" s="302">
        <v>7577137</v>
      </c>
      <c r="O62" s="302">
        <v>102123436</v>
      </c>
      <c r="P62" s="302">
        <v>82837163</v>
      </c>
      <c r="Q62" s="302">
        <v>19286273</v>
      </c>
    </row>
    <row r="63" spans="1:17" x14ac:dyDescent="0.25">
      <c r="A63" s="300">
        <v>961</v>
      </c>
      <c r="B63" s="336">
        <v>60</v>
      </c>
      <c r="C63" s="300">
        <v>860072045</v>
      </c>
      <c r="D63" s="300" t="s">
        <v>1806</v>
      </c>
      <c r="E63" s="300" t="s">
        <v>758</v>
      </c>
      <c r="F63" s="300" t="s">
        <v>1331</v>
      </c>
      <c r="G63" s="311" t="s">
        <v>877</v>
      </c>
      <c r="H63" s="302">
        <v>99020688</v>
      </c>
      <c r="I63" s="302">
        <v>870998</v>
      </c>
      <c r="J63" s="302">
        <v>84102443</v>
      </c>
      <c r="K63" s="302">
        <v>58764348</v>
      </c>
      <c r="L63" s="302">
        <v>25338095</v>
      </c>
      <c r="M63" s="302">
        <v>96031381</v>
      </c>
      <c r="N63" s="302">
        <v>1291421</v>
      </c>
      <c r="O63" s="302">
        <v>82194685</v>
      </c>
      <c r="P63" s="302">
        <v>56349657</v>
      </c>
      <c r="Q63" s="302">
        <v>25845028</v>
      </c>
    </row>
    <row r="64" spans="1:17" x14ac:dyDescent="0.25">
      <c r="A64" s="300">
        <v>975</v>
      </c>
      <c r="B64" s="330">
        <v>61</v>
      </c>
      <c r="C64" s="300">
        <v>800152208</v>
      </c>
      <c r="D64" s="300" t="s">
        <v>1465</v>
      </c>
      <c r="E64" s="300" t="s">
        <v>758</v>
      </c>
      <c r="F64" s="300" t="s">
        <v>1466</v>
      </c>
      <c r="G64" s="311" t="s">
        <v>877</v>
      </c>
      <c r="H64" s="302">
        <v>164832647</v>
      </c>
      <c r="I64" s="302">
        <v>5368560</v>
      </c>
      <c r="J64" s="302">
        <v>81067508</v>
      </c>
      <c r="K64" s="302">
        <v>45867458</v>
      </c>
      <c r="L64" s="302">
        <v>35200050</v>
      </c>
      <c r="M64" s="302">
        <v>134001512</v>
      </c>
      <c r="N64" s="302">
        <v>4185546</v>
      </c>
      <c r="O64" s="302">
        <v>69024318</v>
      </c>
      <c r="P64" s="302">
        <v>39985797</v>
      </c>
      <c r="Q64" s="302">
        <v>29038521</v>
      </c>
    </row>
    <row r="65" spans="1:17" x14ac:dyDescent="0.25">
      <c r="A65" s="300">
        <v>984</v>
      </c>
      <c r="B65" s="331">
        <v>62</v>
      </c>
      <c r="C65" s="312">
        <v>900390238</v>
      </c>
      <c r="D65" s="312" t="s">
        <v>1093</v>
      </c>
      <c r="E65" s="312" t="s">
        <v>758</v>
      </c>
      <c r="F65" s="312" t="s">
        <v>876</v>
      </c>
      <c r="G65" s="313" t="s">
        <v>877</v>
      </c>
      <c r="H65" s="314">
        <v>396541978</v>
      </c>
      <c r="I65" s="314">
        <v>75669005</v>
      </c>
      <c r="J65" s="314">
        <v>78027645</v>
      </c>
      <c r="K65" s="314">
        <v>39366770</v>
      </c>
      <c r="L65" s="314">
        <v>38660875</v>
      </c>
      <c r="M65" s="314">
        <v>303458792</v>
      </c>
      <c r="N65" s="314">
        <v>55256510</v>
      </c>
      <c r="O65" s="314">
        <v>63513268</v>
      </c>
      <c r="P65" s="314">
        <v>35108496</v>
      </c>
      <c r="Q65" s="314">
        <v>28404772</v>
      </c>
    </row>
    <row r="66" spans="1:17" x14ac:dyDescent="0.25">
      <c r="A66" s="300">
        <v>990</v>
      </c>
      <c r="B66" s="330">
        <v>63</v>
      </c>
      <c r="C66" s="300">
        <v>817000790</v>
      </c>
      <c r="D66" s="300" t="s">
        <v>1697</v>
      </c>
      <c r="E66" s="300" t="s">
        <v>808</v>
      </c>
      <c r="F66" s="300" t="s">
        <v>1477</v>
      </c>
      <c r="G66" s="311" t="s">
        <v>877</v>
      </c>
      <c r="H66" s="302">
        <v>112926451</v>
      </c>
      <c r="I66" s="302">
        <v>1666850</v>
      </c>
      <c r="J66" s="302">
        <v>75198035</v>
      </c>
      <c r="K66" s="302">
        <v>61714935</v>
      </c>
      <c r="L66" s="302">
        <v>13483100</v>
      </c>
      <c r="M66" s="302">
        <v>59472017</v>
      </c>
      <c r="N66" s="302">
        <v>1859728</v>
      </c>
      <c r="O66" s="302">
        <v>60207107</v>
      </c>
      <c r="P66" s="302">
        <v>44368578</v>
      </c>
      <c r="Q66" s="302">
        <v>15838529</v>
      </c>
    </row>
    <row r="67" spans="1:17" x14ac:dyDescent="0.25">
      <c r="A67" s="300">
        <v>991</v>
      </c>
      <c r="B67" s="330">
        <v>64</v>
      </c>
      <c r="C67" s="300">
        <v>900234565</v>
      </c>
      <c r="D67" s="300" t="s">
        <v>1913</v>
      </c>
      <c r="E67" s="300" t="s">
        <v>758</v>
      </c>
      <c r="F67" s="300" t="s">
        <v>949</v>
      </c>
      <c r="G67" s="311" t="s">
        <v>877</v>
      </c>
      <c r="H67" s="302">
        <v>88343395</v>
      </c>
      <c r="I67" s="302">
        <v>-7893300</v>
      </c>
      <c r="J67" s="302">
        <v>37537365</v>
      </c>
      <c r="K67" s="302">
        <v>45310747</v>
      </c>
      <c r="L67" s="302">
        <v>-7773382</v>
      </c>
      <c r="M67" s="302">
        <v>71992425</v>
      </c>
      <c r="N67" s="302">
        <v>-1818393</v>
      </c>
      <c r="O67" s="302">
        <v>33275000</v>
      </c>
      <c r="P67" s="302">
        <v>32754906</v>
      </c>
      <c r="Q67" s="302">
        <v>520094</v>
      </c>
    </row>
    <row r="68" spans="1:17" x14ac:dyDescent="0.25">
      <c r="C68" t="s">
        <v>1942</v>
      </c>
      <c r="D68" s="338" t="s">
        <v>1943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K152"/>
  <sheetViews>
    <sheetView showGridLines="0" workbookViewId="0">
      <selection activeCell="C9" sqref="C9"/>
    </sheetView>
  </sheetViews>
  <sheetFormatPr baseColWidth="10" defaultRowHeight="15" x14ac:dyDescent="0.25"/>
  <cols>
    <col min="1" max="2" width="11.42578125" style="2"/>
    <col min="3" max="3" width="63.5703125" style="2" bestFit="1" customWidth="1"/>
    <col min="4" max="4" width="12.28515625" style="2" bestFit="1" customWidth="1"/>
    <col min="5" max="5" width="13.28515625" style="2" bestFit="1" customWidth="1"/>
    <col min="6" max="6" width="12.28515625" style="2" bestFit="1" customWidth="1"/>
    <col min="7" max="9" width="12.5703125" style="2" bestFit="1" customWidth="1"/>
    <col min="10" max="16384" width="11.42578125" style="2"/>
  </cols>
  <sheetData>
    <row r="7" spans="3:9" ht="15.75" thickBot="1" x14ac:dyDescent="0.3"/>
    <row r="8" spans="3:9" ht="24" customHeight="1" thickBot="1" x14ac:dyDescent="0.3">
      <c r="C8" s="380" t="s">
        <v>190</v>
      </c>
      <c r="D8" s="381"/>
      <c r="E8" s="381"/>
      <c r="F8" s="381"/>
      <c r="G8" s="381"/>
      <c r="H8" s="381"/>
      <c r="I8" s="382"/>
    </row>
    <row r="9" spans="3:9" x14ac:dyDescent="0.25">
      <c r="C9" s="34" t="s">
        <v>209</v>
      </c>
      <c r="D9" s="59">
        <v>1000</v>
      </c>
    </row>
    <row r="10" spans="3:9" x14ac:dyDescent="0.25">
      <c r="C10" s="50"/>
      <c r="D10" s="88">
        <v>2008</v>
      </c>
      <c r="E10" s="88">
        <v>2009</v>
      </c>
      <c r="F10" s="88">
        <v>2010</v>
      </c>
      <c r="G10" s="88">
        <v>2011</v>
      </c>
      <c r="H10" s="88">
        <v>2012</v>
      </c>
      <c r="I10" s="88">
        <v>2013</v>
      </c>
    </row>
    <row r="11" spans="3:9" x14ac:dyDescent="0.25">
      <c r="C11" s="50"/>
      <c r="D11" s="50"/>
      <c r="E11" s="50"/>
      <c r="F11" s="50"/>
      <c r="G11" s="50"/>
    </row>
    <row r="12" spans="3:9" x14ac:dyDescent="0.25">
      <c r="C12" s="51" t="s">
        <v>80</v>
      </c>
      <c r="D12" s="52"/>
      <c r="E12" s="52"/>
      <c r="F12" s="52"/>
      <c r="G12" s="52"/>
    </row>
    <row r="13" spans="3:9" x14ac:dyDescent="0.25">
      <c r="C13" s="21" t="s">
        <v>81</v>
      </c>
      <c r="D13" s="22">
        <v>18895.363000000001</v>
      </c>
      <c r="E13" s="22">
        <v>31648.928</v>
      </c>
      <c r="F13" s="22">
        <v>24866.170999999998</v>
      </c>
      <c r="G13" s="22">
        <v>41593.779000000002</v>
      </c>
      <c r="H13" s="22">
        <v>31750.875</v>
      </c>
      <c r="I13" s="22">
        <v>55803.762000000002</v>
      </c>
    </row>
    <row r="14" spans="3:9" x14ac:dyDescent="0.25">
      <c r="C14" s="9"/>
      <c r="D14" s="10"/>
      <c r="E14" s="10"/>
      <c r="F14" s="10"/>
      <c r="G14" s="10"/>
      <c r="H14" s="10"/>
      <c r="I14" s="10"/>
    </row>
    <row r="15" spans="3:9" x14ac:dyDescent="0.25">
      <c r="C15" s="51" t="s">
        <v>82</v>
      </c>
      <c r="D15" s="20"/>
      <c r="E15" s="20"/>
      <c r="F15" s="20"/>
      <c r="G15" s="20"/>
      <c r="H15" s="20"/>
      <c r="I15" s="20"/>
    </row>
    <row r="16" spans="3:9" x14ac:dyDescent="0.25">
      <c r="C16" s="21" t="s">
        <v>83</v>
      </c>
      <c r="D16" s="22">
        <v>12052.148999999999</v>
      </c>
      <c r="E16" s="22">
        <v>14887.266</v>
      </c>
      <c r="F16" s="22">
        <v>15387.388999999999</v>
      </c>
      <c r="G16" s="22">
        <v>18010.786</v>
      </c>
      <c r="H16" s="22">
        <v>17478.534</v>
      </c>
      <c r="I16" s="22">
        <v>17434.353999999999</v>
      </c>
    </row>
    <row r="17" spans="3:9" x14ac:dyDescent="0.25">
      <c r="C17" s="21" t="s">
        <v>295</v>
      </c>
      <c r="D17" s="22">
        <v>0</v>
      </c>
      <c r="E17" s="22">
        <v>-4331.4470000000001</v>
      </c>
      <c r="F17" s="22">
        <v>-8542.3320000000003</v>
      </c>
      <c r="G17" s="22">
        <v>530.32000000000005</v>
      </c>
      <c r="H17" s="22">
        <v>114.169</v>
      </c>
      <c r="I17" s="22">
        <v>-73.716999999999999</v>
      </c>
    </row>
    <row r="18" spans="3:9" x14ac:dyDescent="0.25">
      <c r="C18" s="21" t="s">
        <v>296</v>
      </c>
      <c r="D18" s="22">
        <v>-5633.33</v>
      </c>
      <c r="E18" s="22">
        <v>-660.23199999999997</v>
      </c>
      <c r="F18" s="22">
        <v>-213.88800000000001</v>
      </c>
      <c r="G18" s="22">
        <v>0</v>
      </c>
      <c r="H18" s="22">
        <v>0</v>
      </c>
      <c r="I18" s="22">
        <v>0</v>
      </c>
    </row>
    <row r="19" spans="3:9" x14ac:dyDescent="0.25">
      <c r="C19" s="21" t="s">
        <v>84</v>
      </c>
      <c r="D19" s="22">
        <v>-134.376</v>
      </c>
      <c r="E19" s="22">
        <v>762.81200000000001</v>
      </c>
      <c r="F19" s="22">
        <v>-132.267</v>
      </c>
      <c r="G19" s="22">
        <v>-174.11799999999999</v>
      </c>
      <c r="H19" s="22">
        <v>-269.30500000000001</v>
      </c>
      <c r="I19" s="22">
        <v>-1144.0050000000001</v>
      </c>
    </row>
    <row r="20" spans="3:9" x14ac:dyDescent="0.25">
      <c r="C20" s="21" t="s">
        <v>297</v>
      </c>
      <c r="D20" s="22">
        <v>0</v>
      </c>
      <c r="E20" s="22">
        <v>0</v>
      </c>
      <c r="F20" s="22">
        <v>0</v>
      </c>
      <c r="G20" s="22">
        <v>0</v>
      </c>
      <c r="H20" s="22">
        <v>0</v>
      </c>
      <c r="I20" s="22">
        <v>-4845.1319999999996</v>
      </c>
    </row>
    <row r="21" spans="3:9" x14ac:dyDescent="0.25">
      <c r="C21" s="21" t="s">
        <v>298</v>
      </c>
      <c r="D21" s="22">
        <v>0</v>
      </c>
      <c r="E21" s="22">
        <v>0</v>
      </c>
      <c r="F21" s="22">
        <v>0</v>
      </c>
      <c r="G21" s="22">
        <v>0</v>
      </c>
      <c r="H21" s="22">
        <v>0</v>
      </c>
      <c r="I21" s="22">
        <v>15</v>
      </c>
    </row>
    <row r="22" spans="3:9" x14ac:dyDescent="0.25">
      <c r="C22" s="21" t="s">
        <v>85</v>
      </c>
      <c r="D22" s="22">
        <v>0</v>
      </c>
      <c r="E22" s="22">
        <v>60.002000000000002</v>
      </c>
      <c r="F22" s="22">
        <v>8.9</v>
      </c>
      <c r="G22" s="22">
        <v>0</v>
      </c>
      <c r="H22" s="22">
        <v>0</v>
      </c>
      <c r="I22" s="22">
        <v>0</v>
      </c>
    </row>
    <row r="23" spans="3:9" x14ac:dyDescent="0.25">
      <c r="C23" s="21" t="s">
        <v>108</v>
      </c>
      <c r="D23" s="22">
        <v>0</v>
      </c>
      <c r="E23" s="22">
        <v>0</v>
      </c>
      <c r="F23" s="22">
        <v>124.249</v>
      </c>
      <c r="G23" s="22">
        <v>1576.9159999999999</v>
      </c>
      <c r="H23" s="22">
        <v>135.28399999999999</v>
      </c>
      <c r="I23" s="22">
        <v>479.80900000000003</v>
      </c>
    </row>
    <row r="24" spans="3:9" x14ac:dyDescent="0.25">
      <c r="C24" s="53"/>
      <c r="D24" s="7"/>
      <c r="E24" s="7"/>
      <c r="F24" s="7"/>
      <c r="G24" s="7"/>
    </row>
    <row r="25" spans="3:9" x14ac:dyDescent="0.25">
      <c r="C25" s="53"/>
      <c r="D25" s="7">
        <f>SUM(D16:D23)</f>
        <v>6284.4429999999993</v>
      </c>
      <c r="E25" s="7">
        <f t="shared" ref="E25" si="0">SUM(E16:E23)</f>
        <v>10718.401</v>
      </c>
      <c r="F25" s="7">
        <f>SUM(F16:F23)</f>
        <v>6632.0509999999986</v>
      </c>
      <c r="G25" s="7">
        <f t="shared" ref="G25:I25" si="1">SUM(G16:G23)</f>
        <v>19943.904000000002</v>
      </c>
      <c r="H25" s="7">
        <f t="shared" si="1"/>
        <v>17458.682000000001</v>
      </c>
      <c r="I25" s="7">
        <f t="shared" si="1"/>
        <v>11866.308999999997</v>
      </c>
    </row>
    <row r="26" spans="3:9" x14ac:dyDescent="0.25">
      <c r="C26" s="53" t="s">
        <v>100</v>
      </c>
      <c r="D26" s="7">
        <f>+D13+D25</f>
        <v>25179.806</v>
      </c>
      <c r="E26" s="7">
        <f t="shared" ref="E26:G26" si="2">+E13+E25</f>
        <v>42367.328999999998</v>
      </c>
      <c r="F26" s="7">
        <f t="shared" si="2"/>
        <v>31498.221999999998</v>
      </c>
      <c r="G26" s="7">
        <f t="shared" si="2"/>
        <v>61537.683000000005</v>
      </c>
      <c r="H26" s="7">
        <f>+H13+H25</f>
        <v>49209.557000000001</v>
      </c>
      <c r="I26" s="7">
        <f t="shared" ref="I26" si="3">+I13+I25</f>
        <v>67670.070999999996</v>
      </c>
    </row>
    <row r="27" spans="3:9" x14ac:dyDescent="0.25">
      <c r="C27" s="53"/>
      <c r="D27" s="7"/>
      <c r="E27" s="7"/>
      <c r="F27" s="7"/>
      <c r="G27" s="7"/>
      <c r="H27" s="7"/>
      <c r="I27" s="7"/>
    </row>
    <row r="28" spans="3:9" x14ac:dyDescent="0.25">
      <c r="C28" s="383" t="s">
        <v>100</v>
      </c>
      <c r="D28" s="383"/>
      <c r="E28" s="383"/>
      <c r="F28" s="383"/>
      <c r="G28" s="383"/>
    </row>
    <row r="29" spans="3:9" x14ac:dyDescent="0.25">
      <c r="C29" s="53"/>
      <c r="D29" s="7"/>
      <c r="E29" s="7"/>
      <c r="F29" s="7"/>
      <c r="G29" s="7"/>
    </row>
    <row r="30" spans="3:9" x14ac:dyDescent="0.25">
      <c r="C30" s="53" t="s">
        <v>101</v>
      </c>
      <c r="D30" s="16"/>
      <c r="E30" s="16"/>
      <c r="F30" s="16"/>
      <c r="G30" s="16"/>
    </row>
    <row r="31" spans="3:9" x14ac:dyDescent="0.25">
      <c r="C31" s="9"/>
      <c r="D31" s="10"/>
      <c r="E31" s="10"/>
      <c r="F31" s="10"/>
      <c r="G31" s="10"/>
    </row>
    <row r="32" spans="3:9" x14ac:dyDescent="0.25">
      <c r="C32" s="21" t="s">
        <v>193</v>
      </c>
      <c r="D32" s="22">
        <v>0</v>
      </c>
      <c r="E32" s="22">
        <v>0</v>
      </c>
      <c r="F32" s="22">
        <v>0</v>
      </c>
      <c r="G32" s="22">
        <v>6147.2870000000003</v>
      </c>
      <c r="H32" s="22">
        <v>3795.7089999999998</v>
      </c>
      <c r="I32" s="22">
        <v>0</v>
      </c>
    </row>
    <row r="33" spans="3:9" x14ac:dyDescent="0.25">
      <c r="C33" s="21" t="s">
        <v>199</v>
      </c>
      <c r="D33" s="22">
        <v>0</v>
      </c>
      <c r="E33" s="22">
        <v>0</v>
      </c>
      <c r="F33" s="22">
        <v>0</v>
      </c>
      <c r="G33" s="22">
        <v>0</v>
      </c>
      <c r="H33" s="22">
        <v>155454.91699999999</v>
      </c>
      <c r="I33" s="22">
        <v>83346.620999999999</v>
      </c>
    </row>
    <row r="34" spans="3:9" x14ac:dyDescent="0.25">
      <c r="C34" s="21" t="s">
        <v>194</v>
      </c>
      <c r="D34" s="22">
        <v>13187.233</v>
      </c>
      <c r="E34" s="22">
        <v>13008.084999999999</v>
      </c>
      <c r="F34" s="22">
        <v>0</v>
      </c>
      <c r="G34" s="22">
        <v>3043.2460000000001</v>
      </c>
      <c r="H34" s="22">
        <v>0</v>
      </c>
      <c r="I34" s="22">
        <v>0</v>
      </c>
    </row>
    <row r="35" spans="3:9" x14ac:dyDescent="0.25">
      <c r="C35" s="21" t="s">
        <v>87</v>
      </c>
      <c r="D35" s="22">
        <v>284.096</v>
      </c>
      <c r="E35" s="22">
        <v>0</v>
      </c>
      <c r="F35" s="22">
        <v>22.738</v>
      </c>
      <c r="G35" s="22">
        <v>1069.5440000000001</v>
      </c>
      <c r="H35" s="22">
        <v>721.87199999999996</v>
      </c>
      <c r="I35" s="22">
        <v>166.26900000000001</v>
      </c>
    </row>
    <row r="36" spans="3:9" x14ac:dyDescent="0.25">
      <c r="C36" s="21" t="s">
        <v>201</v>
      </c>
      <c r="D36" s="22">
        <v>0</v>
      </c>
      <c r="E36" s="22">
        <v>0</v>
      </c>
      <c r="F36" s="22">
        <v>0</v>
      </c>
      <c r="G36" s="22">
        <v>0</v>
      </c>
      <c r="H36" s="22">
        <v>159711.69500000001</v>
      </c>
      <c r="I36" s="22">
        <v>0</v>
      </c>
    </row>
    <row r="37" spans="3:9" x14ac:dyDescent="0.25">
      <c r="C37" s="21" t="s">
        <v>200</v>
      </c>
      <c r="D37" s="22">
        <v>0</v>
      </c>
      <c r="E37" s="22">
        <v>150325.70499999999</v>
      </c>
      <c r="F37" s="22">
        <v>28719.144</v>
      </c>
      <c r="G37" s="22">
        <v>15238.152</v>
      </c>
      <c r="H37" s="22">
        <v>0</v>
      </c>
      <c r="I37" s="22">
        <v>0</v>
      </c>
    </row>
    <row r="38" spans="3:9" x14ac:dyDescent="0.25">
      <c r="C38" s="21" t="s">
        <v>105</v>
      </c>
      <c r="D38" s="22">
        <v>4825.241</v>
      </c>
      <c r="E38" s="22">
        <v>0</v>
      </c>
      <c r="F38" s="22">
        <v>9936.777</v>
      </c>
      <c r="G38" s="22">
        <v>0</v>
      </c>
      <c r="H38" s="22">
        <v>0</v>
      </c>
      <c r="I38" s="22">
        <v>35137.953999999998</v>
      </c>
    </row>
    <row r="39" spans="3:9" x14ac:dyDescent="0.25">
      <c r="C39" s="21" t="s">
        <v>195</v>
      </c>
      <c r="D39" s="22">
        <v>0</v>
      </c>
      <c r="E39" s="22">
        <v>0</v>
      </c>
      <c r="F39" s="22">
        <v>0</v>
      </c>
      <c r="G39" s="22">
        <v>38.079000000000001</v>
      </c>
      <c r="H39" s="22">
        <v>0</v>
      </c>
      <c r="I39" s="22">
        <v>0</v>
      </c>
    </row>
    <row r="40" spans="3:9" x14ac:dyDescent="0.25">
      <c r="C40" s="21" t="s">
        <v>196</v>
      </c>
      <c r="D40" s="22">
        <v>0</v>
      </c>
      <c r="E40" s="22">
        <v>0</v>
      </c>
      <c r="F40" s="22">
        <v>0</v>
      </c>
      <c r="G40" s="22">
        <v>3035.076</v>
      </c>
      <c r="H40" s="22">
        <v>0</v>
      </c>
      <c r="I40" s="22">
        <v>375.41300000000001</v>
      </c>
    </row>
    <row r="41" spans="3:9" x14ac:dyDescent="0.25">
      <c r="C41" s="21" t="s">
        <v>102</v>
      </c>
      <c r="D41" s="22">
        <v>0</v>
      </c>
      <c r="E41" s="22">
        <v>0</v>
      </c>
      <c r="F41" s="22">
        <v>0</v>
      </c>
      <c r="G41" s="22">
        <v>0</v>
      </c>
      <c r="H41" s="22">
        <v>4991.7169999999996</v>
      </c>
      <c r="I41" s="22">
        <v>0</v>
      </c>
    </row>
    <row r="42" spans="3:9" x14ac:dyDescent="0.25">
      <c r="C42" s="21" t="s">
        <v>103</v>
      </c>
      <c r="D42" s="22">
        <v>0</v>
      </c>
      <c r="E42" s="22">
        <v>221.09299999999999</v>
      </c>
      <c r="F42" s="22">
        <v>0</v>
      </c>
      <c r="G42" s="22">
        <v>0</v>
      </c>
      <c r="H42" s="22">
        <v>0</v>
      </c>
      <c r="I42" s="22">
        <v>0</v>
      </c>
    </row>
    <row r="43" spans="3:9" x14ac:dyDescent="0.25">
      <c r="C43" s="21" t="s">
        <v>104</v>
      </c>
      <c r="D43" s="22">
        <v>114.84399999999999</v>
      </c>
      <c r="E43" s="22">
        <v>0</v>
      </c>
      <c r="F43" s="22">
        <v>0</v>
      </c>
      <c r="G43" s="22">
        <v>0</v>
      </c>
      <c r="H43" s="22">
        <v>0</v>
      </c>
      <c r="I43" s="22">
        <v>0</v>
      </c>
    </row>
    <row r="44" spans="3:9" x14ac:dyDescent="0.25">
      <c r="C44" s="21" t="s">
        <v>197</v>
      </c>
      <c r="D44" s="22">
        <v>0</v>
      </c>
      <c r="E44" s="22">
        <v>0</v>
      </c>
      <c r="F44" s="22">
        <v>0</v>
      </c>
      <c r="G44" s="22">
        <v>3021.922</v>
      </c>
      <c r="H44" s="22">
        <v>0</v>
      </c>
      <c r="I44" s="22">
        <v>0</v>
      </c>
    </row>
    <row r="45" spans="3:9" x14ac:dyDescent="0.25">
      <c r="C45" s="21" t="s">
        <v>86</v>
      </c>
      <c r="D45" s="22">
        <v>0</v>
      </c>
      <c r="E45" s="22">
        <v>2199.0540000000001</v>
      </c>
      <c r="F45" s="22">
        <v>0</v>
      </c>
      <c r="G45" s="22">
        <v>0</v>
      </c>
      <c r="H45" s="22">
        <v>0</v>
      </c>
      <c r="I45" s="22">
        <v>0</v>
      </c>
    </row>
    <row r="46" spans="3:9" x14ac:dyDescent="0.25">
      <c r="C46" s="21" t="s">
        <v>88</v>
      </c>
      <c r="D46" s="22">
        <v>17708.581999999999</v>
      </c>
      <c r="E46" s="22">
        <v>0</v>
      </c>
      <c r="F46" s="22">
        <v>0</v>
      </c>
      <c r="G46" s="22">
        <v>0</v>
      </c>
      <c r="H46" s="22">
        <v>0</v>
      </c>
      <c r="I46" s="22">
        <v>0</v>
      </c>
    </row>
    <row r="47" spans="3:9" x14ac:dyDescent="0.25">
      <c r="C47" s="21" t="s">
        <v>106</v>
      </c>
      <c r="D47" s="22">
        <v>6422.8459999999995</v>
      </c>
      <c r="E47" s="22">
        <v>33.604999999999997</v>
      </c>
      <c r="F47" s="22">
        <v>0</v>
      </c>
      <c r="G47" s="22">
        <v>0</v>
      </c>
      <c r="H47" s="22">
        <v>2872.5120000000002</v>
      </c>
      <c r="I47" s="22">
        <v>0</v>
      </c>
    </row>
    <row r="48" spans="3:9" x14ac:dyDescent="0.25">
      <c r="C48" s="9"/>
      <c r="D48" s="10"/>
      <c r="E48" s="10"/>
      <c r="F48" s="10"/>
      <c r="G48" s="10"/>
      <c r="H48" s="10"/>
      <c r="I48" s="10"/>
    </row>
    <row r="49" spans="3:9" x14ac:dyDescent="0.25">
      <c r="C49" s="89"/>
      <c r="D49" s="18">
        <f>SUM(D32:D47)</f>
        <v>42542.841999999997</v>
      </c>
      <c r="E49" s="18">
        <f t="shared" ref="E49:I49" si="4">SUM(E32:E47)</f>
        <v>165787.54199999999</v>
      </c>
      <c r="F49" s="18">
        <f t="shared" si="4"/>
        <v>38678.659</v>
      </c>
      <c r="G49" s="18">
        <f t="shared" si="4"/>
        <v>31593.306</v>
      </c>
      <c r="H49" s="18">
        <f t="shared" si="4"/>
        <v>327548.42199999996</v>
      </c>
      <c r="I49" s="18">
        <f t="shared" si="4"/>
        <v>119026.257</v>
      </c>
    </row>
    <row r="50" spans="3:9" x14ac:dyDescent="0.25">
      <c r="C50" s="9"/>
      <c r="D50" s="10"/>
      <c r="E50" s="10"/>
      <c r="F50" s="10"/>
      <c r="G50" s="10"/>
    </row>
    <row r="51" spans="3:9" x14ac:dyDescent="0.25">
      <c r="C51" s="51" t="s">
        <v>107</v>
      </c>
      <c r="D51" s="18">
        <f t="shared" ref="D51:I51" si="5">+D13+D25+D49</f>
        <v>67722.648000000001</v>
      </c>
      <c r="E51" s="18">
        <f t="shared" si="5"/>
        <v>208154.87099999998</v>
      </c>
      <c r="F51" s="18">
        <f t="shared" si="5"/>
        <v>70176.880999999994</v>
      </c>
      <c r="G51" s="18">
        <f t="shared" si="5"/>
        <v>93130.989000000001</v>
      </c>
      <c r="H51" s="18">
        <f t="shared" si="5"/>
        <v>376757.97899999993</v>
      </c>
      <c r="I51" s="18">
        <f t="shared" si="5"/>
        <v>186696.32799999998</v>
      </c>
    </row>
    <row r="52" spans="3:9" x14ac:dyDescent="0.25">
      <c r="C52" s="51"/>
      <c r="D52" s="14"/>
      <c r="E52" s="14"/>
      <c r="F52" s="14"/>
      <c r="G52" s="14"/>
    </row>
    <row r="53" spans="3:9" x14ac:dyDescent="0.25">
      <c r="C53" s="51" t="s">
        <v>89</v>
      </c>
      <c r="D53" s="18"/>
      <c r="E53" s="18"/>
      <c r="F53" s="18"/>
      <c r="G53" s="18"/>
      <c r="H53" s="8"/>
    </row>
    <row r="54" spans="3:9" x14ac:dyDescent="0.25">
      <c r="C54" s="51"/>
      <c r="D54" s="18"/>
      <c r="E54" s="18"/>
      <c r="F54" s="18"/>
      <c r="G54" s="18"/>
    </row>
    <row r="55" spans="3:9" x14ac:dyDescent="0.25">
      <c r="C55" s="21" t="s">
        <v>109</v>
      </c>
      <c r="D55" s="22">
        <v>5167.2749999999996</v>
      </c>
      <c r="E55" s="22">
        <v>0</v>
      </c>
      <c r="F55" s="22">
        <v>16585.656999999999</v>
      </c>
      <c r="G55" s="22">
        <v>13263.056</v>
      </c>
      <c r="H55" s="22">
        <v>10063.385</v>
      </c>
      <c r="I55" s="22">
        <v>7465.9549999999999</v>
      </c>
    </row>
    <row r="56" spans="3:9" x14ac:dyDescent="0.25">
      <c r="C56" s="21" t="s">
        <v>202</v>
      </c>
      <c r="D56" s="22">
        <v>0</v>
      </c>
      <c r="E56" s="22">
        <v>0</v>
      </c>
      <c r="F56" s="22">
        <v>0</v>
      </c>
      <c r="G56" s="22">
        <v>0</v>
      </c>
      <c r="H56" s="22">
        <v>75666.64</v>
      </c>
      <c r="I56" s="22">
        <v>38463.582000000002</v>
      </c>
    </row>
    <row r="57" spans="3:9" x14ac:dyDescent="0.25">
      <c r="C57" s="21" t="s">
        <v>110</v>
      </c>
      <c r="D57" s="22">
        <v>0</v>
      </c>
      <c r="E57" s="22">
        <v>2076.3389999999999</v>
      </c>
      <c r="F57" s="22">
        <v>0</v>
      </c>
      <c r="G57" s="22">
        <v>0</v>
      </c>
      <c r="H57" s="22">
        <v>0</v>
      </c>
      <c r="I57" s="22">
        <v>0</v>
      </c>
    </row>
    <row r="58" spans="3:9" x14ac:dyDescent="0.25">
      <c r="C58" s="21" t="s">
        <v>203</v>
      </c>
      <c r="D58" s="22">
        <v>0</v>
      </c>
      <c r="E58" s="22">
        <v>0</v>
      </c>
      <c r="F58" s="22">
        <v>0</v>
      </c>
      <c r="G58" s="22">
        <v>0</v>
      </c>
      <c r="H58" s="22">
        <v>1510.962</v>
      </c>
      <c r="I58" s="22">
        <v>1510.96</v>
      </c>
    </row>
    <row r="59" spans="3:9" x14ac:dyDescent="0.25">
      <c r="C59" s="21" t="s">
        <v>204</v>
      </c>
      <c r="D59" s="22">
        <v>0</v>
      </c>
      <c r="E59" s="22">
        <v>0</v>
      </c>
      <c r="F59" s="22">
        <v>0</v>
      </c>
      <c r="G59" s="22">
        <v>0</v>
      </c>
      <c r="H59" s="22">
        <v>204.8</v>
      </c>
      <c r="I59" s="22">
        <v>0</v>
      </c>
    </row>
    <row r="60" spans="3:9" x14ac:dyDescent="0.25">
      <c r="C60" s="21" t="s">
        <v>205</v>
      </c>
      <c r="D60" s="22">
        <v>0</v>
      </c>
      <c r="E60" s="22">
        <v>0</v>
      </c>
      <c r="F60" s="22">
        <v>0</v>
      </c>
      <c r="G60" s="22">
        <v>0</v>
      </c>
      <c r="H60" s="22">
        <v>3410.49</v>
      </c>
      <c r="I60" s="22">
        <v>0</v>
      </c>
    </row>
    <row r="61" spans="3:9" x14ac:dyDescent="0.25">
      <c r="C61" s="21" t="s">
        <v>111</v>
      </c>
      <c r="D61" s="22">
        <v>33212.285000000003</v>
      </c>
      <c r="E61" s="22">
        <v>30001.358</v>
      </c>
      <c r="F61" s="22">
        <v>38118.182999999997</v>
      </c>
      <c r="G61" s="22">
        <v>6233.884</v>
      </c>
      <c r="H61" s="22">
        <v>149372.97700000001</v>
      </c>
      <c r="I61" s="22">
        <v>89348.604999999996</v>
      </c>
    </row>
    <row r="62" spans="3:9" x14ac:dyDescent="0.25">
      <c r="C62" s="21" t="s">
        <v>198</v>
      </c>
      <c r="D62" s="22">
        <v>3979.038</v>
      </c>
      <c r="E62" s="22">
        <v>0</v>
      </c>
      <c r="F62" s="22">
        <v>31053.446</v>
      </c>
      <c r="G62" s="22">
        <v>0</v>
      </c>
      <c r="H62" s="22">
        <v>0</v>
      </c>
      <c r="I62" s="22">
        <v>0</v>
      </c>
    </row>
    <row r="63" spans="3:9" x14ac:dyDescent="0.25">
      <c r="C63" s="21" t="s">
        <v>90</v>
      </c>
      <c r="D63" s="22">
        <v>0</v>
      </c>
      <c r="E63" s="22">
        <v>395.899</v>
      </c>
      <c r="F63" s="22">
        <v>395.899</v>
      </c>
      <c r="G63" s="22">
        <v>6043.8459999999995</v>
      </c>
      <c r="H63" s="22">
        <v>0</v>
      </c>
      <c r="I63" s="22">
        <v>0</v>
      </c>
    </row>
    <row r="64" spans="3:9" x14ac:dyDescent="0.25">
      <c r="C64" s="21" t="s">
        <v>112</v>
      </c>
      <c r="D64" s="22">
        <v>6291.4279999999999</v>
      </c>
      <c r="E64" s="22">
        <v>0</v>
      </c>
      <c r="F64" s="22">
        <v>7009.3860000000004</v>
      </c>
      <c r="G64" s="22">
        <v>17836.512999999999</v>
      </c>
      <c r="H64" s="22">
        <v>0</v>
      </c>
      <c r="I64" s="22">
        <v>2775.76</v>
      </c>
    </row>
    <row r="65" spans="3:11" x14ac:dyDescent="0.25">
      <c r="C65" s="21" t="s">
        <v>206</v>
      </c>
      <c r="D65" s="22">
        <v>0</v>
      </c>
      <c r="E65" s="22">
        <v>6734.6319999999996</v>
      </c>
      <c r="F65" s="22">
        <v>0</v>
      </c>
      <c r="G65" s="22">
        <v>10395.045</v>
      </c>
      <c r="H65" s="22">
        <v>197.041</v>
      </c>
      <c r="I65" s="22">
        <v>0</v>
      </c>
    </row>
    <row r="66" spans="3:11" x14ac:dyDescent="0.25">
      <c r="C66" s="21" t="s">
        <v>113</v>
      </c>
      <c r="D66" s="22">
        <v>0</v>
      </c>
      <c r="E66" s="22">
        <v>746.93399999999997</v>
      </c>
      <c r="F66" s="22">
        <v>1585.251</v>
      </c>
      <c r="G66" s="22">
        <v>0</v>
      </c>
      <c r="H66" s="22">
        <v>0</v>
      </c>
      <c r="I66" s="22">
        <v>88.177999999999997</v>
      </c>
    </row>
    <row r="67" spans="3:11" x14ac:dyDescent="0.25">
      <c r="C67" s="21" t="s">
        <v>91</v>
      </c>
      <c r="D67" s="22">
        <v>0</v>
      </c>
      <c r="E67" s="22">
        <v>265.76799999999997</v>
      </c>
      <c r="F67" s="22">
        <v>126.956</v>
      </c>
      <c r="G67" s="22">
        <v>0</v>
      </c>
      <c r="H67" s="22">
        <v>0</v>
      </c>
      <c r="I67" s="22">
        <v>0</v>
      </c>
    </row>
    <row r="68" spans="3:11" x14ac:dyDescent="0.25">
      <c r="C68" s="21" t="s">
        <v>192</v>
      </c>
      <c r="D68" s="22">
        <v>0</v>
      </c>
      <c r="E68" s="22">
        <v>29.388000000000002</v>
      </c>
      <c r="F68" s="22">
        <v>0</v>
      </c>
      <c r="G68" s="22">
        <v>0</v>
      </c>
      <c r="H68" s="22">
        <v>0</v>
      </c>
      <c r="I68" s="22">
        <v>0</v>
      </c>
    </row>
    <row r="69" spans="3:11" x14ac:dyDescent="0.25">
      <c r="C69" s="21" t="s">
        <v>191</v>
      </c>
      <c r="D69" s="22">
        <v>0</v>
      </c>
      <c r="E69" s="22">
        <v>234.51400000000001</v>
      </c>
      <c r="F69" s="22">
        <v>0</v>
      </c>
      <c r="G69" s="22">
        <v>0</v>
      </c>
      <c r="H69" s="22">
        <v>0</v>
      </c>
      <c r="I69" s="22">
        <v>0</v>
      </c>
    </row>
    <row r="70" spans="3:11" x14ac:dyDescent="0.25">
      <c r="C70" s="21" t="s">
        <v>207</v>
      </c>
      <c r="D70" s="22">
        <v>2334.7840000000001</v>
      </c>
      <c r="E70" s="22">
        <v>5470</v>
      </c>
      <c r="F70" s="22">
        <v>6400</v>
      </c>
      <c r="G70" s="22">
        <v>10280</v>
      </c>
      <c r="H70" s="22">
        <v>12500</v>
      </c>
      <c r="I70" s="22">
        <v>14014.526</v>
      </c>
    </row>
    <row r="71" spans="3:11" x14ac:dyDescent="0.25">
      <c r="C71" s="9"/>
      <c r="F71" s="19"/>
      <c r="G71" s="19"/>
      <c r="H71" s="19"/>
      <c r="I71" s="19"/>
    </row>
    <row r="72" spans="3:11" x14ac:dyDescent="0.25">
      <c r="C72" s="51" t="s">
        <v>114</v>
      </c>
      <c r="D72" s="18">
        <f t="shared" ref="D72:I72" si="6">SUM(D55:D70)</f>
        <v>50984.810000000005</v>
      </c>
      <c r="E72" s="18">
        <f t="shared" si="6"/>
        <v>45954.832000000002</v>
      </c>
      <c r="F72" s="18">
        <f t="shared" si="6"/>
        <v>101274.77800000001</v>
      </c>
      <c r="G72" s="18">
        <f t="shared" si="6"/>
        <v>64052.343999999997</v>
      </c>
      <c r="H72" s="18">
        <f t="shared" si="6"/>
        <v>252926.29500000001</v>
      </c>
      <c r="I72" s="18">
        <f t="shared" si="6"/>
        <v>153667.56600000005</v>
      </c>
    </row>
    <row r="73" spans="3:11" x14ac:dyDescent="0.25">
      <c r="C73" s="51"/>
      <c r="D73" s="17"/>
      <c r="E73" s="14"/>
      <c r="F73" s="18"/>
      <c r="G73" s="17"/>
      <c r="H73" s="17"/>
      <c r="I73" s="17"/>
    </row>
    <row r="74" spans="3:11" s="13" customFormat="1" x14ac:dyDescent="0.25">
      <c r="C74" s="51"/>
      <c r="D74" s="17"/>
      <c r="E74" s="14"/>
      <c r="F74" s="18"/>
      <c r="G74" s="17"/>
      <c r="H74" s="17"/>
      <c r="I74" s="17"/>
      <c r="J74" s="2"/>
      <c r="K74" s="2"/>
    </row>
    <row r="75" spans="3:11" x14ac:dyDescent="0.25">
      <c r="C75" s="51" t="s">
        <v>115</v>
      </c>
      <c r="D75" s="18">
        <f>+D51-D72</f>
        <v>16737.837999999996</v>
      </c>
      <c r="E75" s="18">
        <f>+E51-E72+E73</f>
        <v>162200.03899999999</v>
      </c>
      <c r="F75" s="18">
        <f>+F51-F72</f>
        <v>-31097.897000000012</v>
      </c>
      <c r="G75" s="18">
        <f>+G51-G72</f>
        <v>29078.645000000004</v>
      </c>
      <c r="H75" s="18">
        <f>+H51-H72</f>
        <v>123831.68399999992</v>
      </c>
      <c r="I75" s="18">
        <f>+I51-I72</f>
        <v>33028.76199999993</v>
      </c>
      <c r="J75" s="13"/>
      <c r="K75" s="13"/>
    </row>
    <row r="76" spans="3:11" x14ac:dyDescent="0.25">
      <c r="C76" s="51"/>
      <c r="D76" s="18"/>
      <c r="E76" s="18"/>
      <c r="F76" s="18"/>
      <c r="G76" s="18"/>
      <c r="H76" s="18"/>
      <c r="I76" s="18"/>
    </row>
    <row r="77" spans="3:11" s="13" customFormat="1" x14ac:dyDescent="0.25">
      <c r="C77" s="51"/>
      <c r="D77" s="2"/>
      <c r="E77" s="17"/>
      <c r="F77" s="17"/>
      <c r="G77" s="17"/>
      <c r="H77" s="17"/>
      <c r="I77" s="17"/>
      <c r="J77" s="2"/>
      <c r="K77" s="2"/>
    </row>
    <row r="78" spans="3:11" x14ac:dyDescent="0.25">
      <c r="C78" s="21" t="s">
        <v>116</v>
      </c>
      <c r="D78" s="22">
        <v>17217.034</v>
      </c>
      <c r="E78" s="22">
        <v>33954.870000000003</v>
      </c>
      <c r="F78" s="22">
        <v>0</v>
      </c>
      <c r="G78" s="22">
        <v>0</v>
      </c>
      <c r="H78" s="22">
        <v>0</v>
      </c>
      <c r="I78" s="22">
        <v>0</v>
      </c>
      <c r="J78" s="13"/>
      <c r="K78" s="13"/>
    </row>
    <row r="79" spans="3:11" x14ac:dyDescent="0.25">
      <c r="C79" s="21" t="s">
        <v>117</v>
      </c>
      <c r="D79" s="22">
        <f>(+E78)/1000</f>
        <v>33.95487</v>
      </c>
      <c r="E79" s="22">
        <v>196154.908</v>
      </c>
      <c r="F79" s="22">
        <v>0</v>
      </c>
      <c r="G79" s="22">
        <v>0</v>
      </c>
      <c r="H79" s="22">
        <v>0</v>
      </c>
      <c r="I79" s="22">
        <v>0</v>
      </c>
    </row>
    <row r="80" spans="3:11" x14ac:dyDescent="0.25">
      <c r="C80" s="21" t="s">
        <v>118</v>
      </c>
      <c r="D80" s="22">
        <v>0</v>
      </c>
      <c r="E80" s="22">
        <v>0</v>
      </c>
      <c r="F80" s="22">
        <v>196154.908</v>
      </c>
      <c r="G80" s="22">
        <v>165057.011</v>
      </c>
      <c r="H80" s="22">
        <v>0</v>
      </c>
      <c r="I80" s="22">
        <v>0</v>
      </c>
    </row>
    <row r="81" spans="3:9" x14ac:dyDescent="0.25">
      <c r="C81" s="21" t="s">
        <v>330</v>
      </c>
      <c r="D81" s="22">
        <v>0</v>
      </c>
      <c r="E81" s="22">
        <v>0</v>
      </c>
      <c r="F81" s="22">
        <v>165057.011</v>
      </c>
      <c r="G81" s="22">
        <v>194135.65599999999</v>
      </c>
      <c r="H81" s="22">
        <v>0</v>
      </c>
      <c r="I81" s="22">
        <v>0</v>
      </c>
    </row>
    <row r="82" spans="3:9" x14ac:dyDescent="0.25">
      <c r="C82" s="21" t="s">
        <v>331</v>
      </c>
      <c r="D82" s="22">
        <v>0</v>
      </c>
      <c r="E82" s="22">
        <v>0</v>
      </c>
      <c r="F82" s="22">
        <v>0</v>
      </c>
      <c r="G82" s="22">
        <v>0</v>
      </c>
      <c r="H82" s="22">
        <v>-25961.545999999998</v>
      </c>
      <c r="I82" s="22">
        <v>97870.137000000002</v>
      </c>
    </row>
    <row r="83" spans="3:9" x14ac:dyDescent="0.25">
      <c r="C83" s="21" t="s">
        <v>333</v>
      </c>
      <c r="D83" s="22">
        <v>0</v>
      </c>
      <c r="E83" s="22">
        <v>0</v>
      </c>
      <c r="F83" s="22">
        <v>0</v>
      </c>
      <c r="G83" s="22">
        <v>0</v>
      </c>
      <c r="H83" s="22">
        <f>(+I82)/1000</f>
        <v>97.870137</v>
      </c>
      <c r="I83" s="22">
        <v>130898.539</v>
      </c>
    </row>
    <row r="84" spans="3:9" x14ac:dyDescent="0.25">
      <c r="C84" s="51"/>
      <c r="D84" s="14"/>
      <c r="E84" s="14"/>
      <c r="F84" s="14"/>
      <c r="G84" s="14"/>
    </row>
    <row r="85" spans="3:9" s="59" customFormat="1" x14ac:dyDescent="0.25">
      <c r="C85" s="11" t="s">
        <v>332</v>
      </c>
      <c r="D85" s="18">
        <f>+D79-D78</f>
        <v>-17183.079129999998</v>
      </c>
      <c r="E85" s="18">
        <f>+E79-E78</f>
        <v>162200.038</v>
      </c>
      <c r="F85" s="18">
        <f>+F81-F80</f>
        <v>-31097.896999999997</v>
      </c>
      <c r="G85" s="18">
        <f>+G81-G80</f>
        <v>29078.64499999999</v>
      </c>
      <c r="H85" s="18">
        <f>+H83-H82</f>
        <v>26059.416137</v>
      </c>
      <c r="I85" s="18">
        <f>+I83-I82</f>
        <v>33028.402000000002</v>
      </c>
    </row>
    <row r="86" spans="3:9" s="59" customFormat="1" x14ac:dyDescent="0.25">
      <c r="C86" s="86"/>
      <c r="D86" s="60">
        <f t="shared" ref="D86:H86" si="7">+D85-D75</f>
        <v>-33920.917129999994</v>
      </c>
      <c r="E86" s="60">
        <f t="shared" si="7"/>
        <v>-9.9999998928979039E-4</v>
      </c>
      <c r="F86" s="60">
        <f t="shared" si="7"/>
        <v>0</v>
      </c>
      <c r="G86" s="60">
        <f t="shared" si="7"/>
        <v>0</v>
      </c>
      <c r="H86" s="60">
        <f t="shared" si="7"/>
        <v>-97772.267862999928</v>
      </c>
      <c r="I86" s="60">
        <f>+I85-I75</f>
        <v>-0.3599999999278225</v>
      </c>
    </row>
    <row r="87" spans="3:9" x14ac:dyDescent="0.25">
      <c r="C87" s="9"/>
      <c r="D87" s="10"/>
      <c r="E87" s="10"/>
      <c r="F87" s="10"/>
      <c r="G87" s="10"/>
    </row>
    <row r="88" spans="3:9" x14ac:dyDescent="0.25">
      <c r="C88" s="13"/>
      <c r="D88" s="13"/>
      <c r="E88" s="13"/>
      <c r="F88" s="13"/>
      <c r="G88" s="13"/>
    </row>
    <row r="89" spans="3:9" x14ac:dyDescent="0.25">
      <c r="C89" s="51"/>
      <c r="D89" s="14"/>
      <c r="E89" s="14"/>
      <c r="F89" s="14"/>
      <c r="G89" s="14"/>
    </row>
    <row r="90" spans="3:9" x14ac:dyDescent="0.25">
      <c r="C90" s="13"/>
      <c r="D90" s="13"/>
      <c r="E90" s="13"/>
      <c r="F90" s="13"/>
      <c r="G90" s="13"/>
    </row>
    <row r="91" spans="3:9" x14ac:dyDescent="0.25">
      <c r="C91" s="51"/>
      <c r="D91" s="13"/>
      <c r="E91" s="13"/>
      <c r="F91" s="13"/>
      <c r="G91" s="13"/>
    </row>
    <row r="92" spans="3:9" x14ac:dyDescent="0.25">
      <c r="C92" s="13"/>
      <c r="D92" s="13"/>
      <c r="E92" s="13"/>
      <c r="F92" s="13"/>
      <c r="G92" s="13"/>
    </row>
    <row r="93" spans="3:9" x14ac:dyDescent="0.25">
      <c r="C93" s="51"/>
      <c r="D93" s="13"/>
      <c r="E93" s="13"/>
      <c r="F93" s="13"/>
      <c r="G93" s="13"/>
    </row>
    <row r="94" spans="3:9" x14ac:dyDescent="0.25">
      <c r="C94" s="13"/>
      <c r="D94" s="13"/>
      <c r="E94" s="13"/>
      <c r="F94" s="13"/>
      <c r="G94" s="13"/>
    </row>
    <row r="95" spans="3:9" x14ac:dyDescent="0.25">
      <c r="C95" s="9"/>
      <c r="D95" s="10"/>
      <c r="E95" s="10"/>
      <c r="F95" s="10"/>
      <c r="G95" s="10"/>
    </row>
    <row r="96" spans="3:9" x14ac:dyDescent="0.25">
      <c r="C96" s="9"/>
      <c r="D96" s="10"/>
      <c r="E96" s="10"/>
      <c r="F96" s="10"/>
      <c r="G96" s="10"/>
    </row>
    <row r="97" spans="3:7" x14ac:dyDescent="0.25">
      <c r="C97" s="9"/>
      <c r="D97" s="10"/>
      <c r="E97" s="10"/>
      <c r="F97" s="10"/>
      <c r="G97" s="10"/>
    </row>
    <row r="98" spans="3:7" x14ac:dyDescent="0.25">
      <c r="C98" s="9"/>
      <c r="D98" s="10"/>
      <c r="E98" s="10"/>
      <c r="F98" s="10"/>
      <c r="G98" s="10"/>
    </row>
    <row r="99" spans="3:7" x14ac:dyDescent="0.25">
      <c r="C99" s="9"/>
      <c r="D99" s="10"/>
      <c r="E99" s="10"/>
      <c r="F99" s="10"/>
      <c r="G99" s="10"/>
    </row>
    <row r="100" spans="3:7" x14ac:dyDescent="0.25">
      <c r="C100" s="9"/>
      <c r="D100" s="10"/>
      <c r="E100" s="10"/>
      <c r="F100" s="10"/>
      <c r="G100" s="10"/>
    </row>
    <row r="101" spans="3:7" x14ac:dyDescent="0.25">
      <c r="C101" s="9"/>
      <c r="D101" s="10"/>
      <c r="E101" s="10"/>
      <c r="F101" s="10"/>
      <c r="G101" s="10"/>
    </row>
    <row r="102" spans="3:7" x14ac:dyDescent="0.25">
      <c r="C102" s="9"/>
      <c r="D102" s="10"/>
      <c r="E102" s="10"/>
      <c r="F102" s="10"/>
      <c r="G102" s="10"/>
    </row>
    <row r="103" spans="3:7" x14ac:dyDescent="0.25">
      <c r="C103" s="9"/>
      <c r="D103" s="10"/>
      <c r="E103" s="10"/>
      <c r="F103" s="10"/>
      <c r="G103" s="10"/>
    </row>
    <row r="104" spans="3:7" x14ac:dyDescent="0.25">
      <c r="C104" s="9"/>
      <c r="D104" s="10"/>
      <c r="E104" s="10"/>
      <c r="F104" s="10"/>
      <c r="G104" s="10"/>
    </row>
    <row r="105" spans="3:7" x14ac:dyDescent="0.25">
      <c r="C105" s="13"/>
      <c r="D105" s="13"/>
      <c r="E105" s="13"/>
      <c r="F105" s="13"/>
      <c r="G105" s="13"/>
    </row>
    <row r="106" spans="3:7" x14ac:dyDescent="0.25">
      <c r="C106" s="51"/>
      <c r="D106" s="14"/>
      <c r="E106" s="14"/>
      <c r="F106" s="14"/>
      <c r="G106" s="14"/>
    </row>
    <row r="107" spans="3:7" x14ac:dyDescent="0.25">
      <c r="C107" s="13"/>
      <c r="D107" s="13"/>
      <c r="E107" s="13"/>
      <c r="F107" s="13"/>
      <c r="G107" s="13"/>
    </row>
    <row r="108" spans="3:7" x14ac:dyDescent="0.25">
      <c r="C108" s="51"/>
      <c r="D108" s="13"/>
      <c r="E108" s="13"/>
      <c r="F108" s="13"/>
      <c r="G108" s="13"/>
    </row>
    <row r="109" spans="3:7" x14ac:dyDescent="0.25">
      <c r="C109" s="13"/>
      <c r="D109" s="13"/>
      <c r="E109" s="13"/>
      <c r="F109" s="13"/>
      <c r="G109" s="13"/>
    </row>
    <row r="110" spans="3:7" x14ac:dyDescent="0.25">
      <c r="C110" s="9"/>
      <c r="D110" s="10"/>
      <c r="E110" s="10"/>
      <c r="F110" s="10"/>
      <c r="G110" s="10"/>
    </row>
    <row r="111" spans="3:7" x14ac:dyDescent="0.25">
      <c r="C111" s="9"/>
      <c r="D111" s="10"/>
      <c r="E111" s="10"/>
      <c r="F111" s="10"/>
      <c r="G111" s="10"/>
    </row>
    <row r="112" spans="3:7" x14ac:dyDescent="0.25">
      <c r="C112" s="9"/>
      <c r="D112" s="10"/>
      <c r="E112" s="10"/>
      <c r="F112" s="10"/>
      <c r="G112" s="10"/>
    </row>
    <row r="113" spans="3:7" x14ac:dyDescent="0.25">
      <c r="C113" s="9"/>
      <c r="D113" s="10"/>
      <c r="E113" s="10"/>
      <c r="F113" s="10"/>
      <c r="G113" s="10"/>
    </row>
    <row r="114" spans="3:7" x14ac:dyDescent="0.25">
      <c r="C114" s="9"/>
      <c r="D114" s="10"/>
      <c r="E114" s="10"/>
      <c r="F114" s="10"/>
      <c r="G114" s="10"/>
    </row>
    <row r="115" spans="3:7" x14ac:dyDescent="0.25">
      <c r="C115" s="9"/>
      <c r="D115" s="10"/>
      <c r="E115" s="10"/>
      <c r="F115" s="10"/>
      <c r="G115" s="10"/>
    </row>
    <row r="116" spans="3:7" x14ac:dyDescent="0.25">
      <c r="C116" s="9"/>
      <c r="D116" s="10"/>
      <c r="E116" s="10"/>
      <c r="F116" s="10"/>
      <c r="G116" s="10"/>
    </row>
    <row r="117" spans="3:7" x14ac:dyDescent="0.25">
      <c r="C117" s="13"/>
      <c r="D117" s="13"/>
      <c r="E117" s="13"/>
      <c r="F117" s="13"/>
      <c r="G117" s="13"/>
    </row>
    <row r="118" spans="3:7" x14ac:dyDescent="0.25">
      <c r="C118" s="51"/>
      <c r="D118" s="14"/>
      <c r="E118" s="14"/>
      <c r="F118" s="14"/>
      <c r="G118" s="14"/>
    </row>
    <row r="119" spans="3:7" x14ac:dyDescent="0.25">
      <c r="C119" s="13"/>
      <c r="D119" s="13"/>
      <c r="E119" s="13"/>
      <c r="F119" s="13"/>
      <c r="G119" s="13"/>
    </row>
    <row r="120" spans="3:7" x14ac:dyDescent="0.25">
      <c r="C120" s="51"/>
      <c r="D120" s="14"/>
      <c r="E120" s="14"/>
      <c r="F120" s="14"/>
      <c r="G120" s="14"/>
    </row>
    <row r="121" spans="3:7" x14ac:dyDescent="0.25">
      <c r="C121" s="13"/>
      <c r="D121" s="13"/>
      <c r="E121" s="13"/>
      <c r="F121" s="13"/>
      <c r="G121" s="13"/>
    </row>
    <row r="122" spans="3:7" x14ac:dyDescent="0.25">
      <c r="C122" s="13"/>
      <c r="D122" s="13"/>
      <c r="E122" s="13"/>
      <c r="F122" s="13"/>
      <c r="G122" s="13"/>
    </row>
    <row r="123" spans="3:7" x14ac:dyDescent="0.25">
      <c r="C123" s="51"/>
      <c r="D123" s="14"/>
      <c r="E123" s="14"/>
      <c r="F123" s="14"/>
      <c r="G123" s="14"/>
    </row>
    <row r="124" spans="3:7" x14ac:dyDescent="0.25">
      <c r="C124" s="13"/>
      <c r="D124" s="13"/>
      <c r="E124" s="13"/>
      <c r="F124" s="13"/>
      <c r="G124" s="13"/>
    </row>
    <row r="125" spans="3:7" x14ac:dyDescent="0.25">
      <c r="C125" s="51"/>
      <c r="D125" s="13"/>
      <c r="E125" s="13"/>
      <c r="F125" s="13"/>
      <c r="G125" s="13"/>
    </row>
    <row r="126" spans="3:7" x14ac:dyDescent="0.25">
      <c r="C126" s="13"/>
      <c r="D126" s="13"/>
      <c r="E126" s="13"/>
      <c r="F126" s="13"/>
      <c r="G126" s="13"/>
    </row>
    <row r="127" spans="3:7" x14ac:dyDescent="0.25">
      <c r="C127" s="9"/>
      <c r="D127" s="10"/>
      <c r="E127" s="10"/>
      <c r="F127" s="10"/>
      <c r="G127" s="10"/>
    </row>
    <row r="128" spans="3:7" x14ac:dyDescent="0.25">
      <c r="C128" s="9"/>
      <c r="D128" s="10"/>
      <c r="E128" s="10"/>
      <c r="F128" s="10"/>
      <c r="G128" s="10"/>
    </row>
    <row r="129" spans="3:7" x14ac:dyDescent="0.25">
      <c r="C129" s="9"/>
      <c r="D129" s="10"/>
      <c r="E129" s="10"/>
      <c r="F129" s="10"/>
      <c r="G129" s="10"/>
    </row>
    <row r="130" spans="3:7" x14ac:dyDescent="0.25">
      <c r="C130" s="13"/>
      <c r="D130" s="13"/>
      <c r="E130" s="13"/>
      <c r="F130" s="13"/>
      <c r="G130" s="13"/>
    </row>
    <row r="131" spans="3:7" x14ac:dyDescent="0.25">
      <c r="C131" s="51"/>
      <c r="D131" s="14"/>
      <c r="E131" s="14"/>
      <c r="F131" s="14"/>
      <c r="G131" s="14"/>
    </row>
    <row r="132" spans="3:7" x14ac:dyDescent="0.25">
      <c r="C132" s="13"/>
      <c r="D132" s="13"/>
      <c r="E132" s="13"/>
      <c r="F132" s="13"/>
      <c r="G132" s="13"/>
    </row>
    <row r="133" spans="3:7" x14ac:dyDescent="0.25">
      <c r="C133" s="9"/>
      <c r="D133" s="10"/>
      <c r="E133" s="10"/>
      <c r="F133" s="10"/>
      <c r="G133" s="10"/>
    </row>
    <row r="134" spans="3:7" x14ac:dyDescent="0.25">
      <c r="C134" s="9"/>
      <c r="D134" s="10"/>
      <c r="E134" s="10"/>
      <c r="F134" s="10"/>
      <c r="G134" s="10"/>
    </row>
    <row r="135" spans="3:7" x14ac:dyDescent="0.25">
      <c r="C135" s="9"/>
      <c r="D135" s="10"/>
      <c r="E135" s="10"/>
      <c r="F135" s="10"/>
      <c r="G135" s="10"/>
    </row>
    <row r="136" spans="3:7" x14ac:dyDescent="0.25">
      <c r="C136" s="9"/>
      <c r="D136" s="10"/>
      <c r="E136" s="10"/>
      <c r="F136" s="10"/>
      <c r="G136" s="10"/>
    </row>
    <row r="137" spans="3:7" x14ac:dyDescent="0.25">
      <c r="C137" s="9"/>
      <c r="D137" s="10"/>
      <c r="E137" s="10"/>
      <c r="F137" s="10"/>
      <c r="G137" s="10"/>
    </row>
    <row r="138" spans="3:7" x14ac:dyDescent="0.25">
      <c r="C138" s="9"/>
      <c r="D138" s="10"/>
      <c r="E138" s="10"/>
      <c r="F138" s="10"/>
      <c r="G138" s="10"/>
    </row>
    <row r="139" spans="3:7" x14ac:dyDescent="0.25">
      <c r="C139" s="9"/>
      <c r="D139" s="10"/>
      <c r="E139" s="10"/>
      <c r="F139" s="10"/>
      <c r="G139" s="10"/>
    </row>
    <row r="140" spans="3:7" x14ac:dyDescent="0.25">
      <c r="C140" s="9"/>
      <c r="D140" s="10"/>
      <c r="E140" s="10"/>
      <c r="F140" s="10"/>
      <c r="G140" s="10"/>
    </row>
    <row r="141" spans="3:7" x14ac:dyDescent="0.25">
      <c r="C141" s="9"/>
      <c r="D141" s="10"/>
      <c r="E141" s="10"/>
      <c r="F141" s="10"/>
      <c r="G141" s="10"/>
    </row>
    <row r="142" spans="3:7" x14ac:dyDescent="0.25">
      <c r="C142" s="9"/>
      <c r="D142" s="10"/>
      <c r="E142" s="10"/>
      <c r="F142" s="10"/>
      <c r="G142" s="10"/>
    </row>
    <row r="143" spans="3:7" x14ac:dyDescent="0.25">
      <c r="C143" s="13"/>
      <c r="D143" s="13"/>
      <c r="E143" s="13"/>
      <c r="F143" s="13"/>
      <c r="G143" s="13"/>
    </row>
    <row r="144" spans="3:7" x14ac:dyDescent="0.25">
      <c r="C144" s="11"/>
      <c r="D144" s="14"/>
      <c r="E144" s="14"/>
      <c r="F144" s="14"/>
      <c r="G144" s="14"/>
    </row>
    <row r="145" spans="3:7" x14ac:dyDescent="0.25">
      <c r="C145" s="13"/>
      <c r="D145" s="13"/>
      <c r="E145" s="13"/>
      <c r="F145" s="13"/>
      <c r="G145" s="13"/>
    </row>
    <row r="146" spans="3:7" x14ac:dyDescent="0.25">
      <c r="C146" s="11"/>
      <c r="D146" s="14"/>
      <c r="E146" s="14"/>
      <c r="F146" s="14"/>
      <c r="G146" s="14"/>
    </row>
    <row r="147" spans="3:7" x14ac:dyDescent="0.25">
      <c r="C147" s="13"/>
      <c r="D147" s="15"/>
      <c r="E147" s="15"/>
      <c r="F147" s="15"/>
      <c r="G147" s="15"/>
    </row>
    <row r="148" spans="3:7" x14ac:dyDescent="0.25">
      <c r="C148" s="9"/>
      <c r="D148" s="10"/>
      <c r="E148" s="10"/>
      <c r="F148" s="10"/>
      <c r="G148" s="10"/>
    </row>
    <row r="149" spans="3:7" x14ac:dyDescent="0.25">
      <c r="C149" s="9"/>
      <c r="D149" s="10"/>
      <c r="E149" s="10"/>
      <c r="F149" s="10"/>
      <c r="G149" s="10"/>
    </row>
    <row r="150" spans="3:7" x14ac:dyDescent="0.25">
      <c r="C150" s="13"/>
      <c r="D150" s="13"/>
      <c r="E150" s="13"/>
      <c r="F150" s="13"/>
      <c r="G150" s="13"/>
    </row>
    <row r="151" spans="3:7" x14ac:dyDescent="0.25">
      <c r="C151" s="11"/>
      <c r="D151" s="14"/>
      <c r="E151" s="14"/>
      <c r="F151" s="14"/>
      <c r="G151" s="14"/>
    </row>
    <row r="152" spans="3:7" x14ac:dyDescent="0.25">
      <c r="C152" s="13"/>
      <c r="D152" s="13"/>
      <c r="E152" s="13"/>
      <c r="F152" s="13"/>
      <c r="G152" s="13"/>
    </row>
  </sheetData>
  <mergeCells count="2">
    <mergeCell ref="C28:G28"/>
    <mergeCell ref="C8:I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T146"/>
  <sheetViews>
    <sheetView showGridLines="0" workbookViewId="0">
      <selection activeCell="C9" sqref="C9"/>
    </sheetView>
  </sheetViews>
  <sheetFormatPr baseColWidth="10" defaultRowHeight="15" x14ac:dyDescent="0.25"/>
  <cols>
    <col min="1" max="2" width="11.42578125" style="2"/>
    <col min="3" max="3" width="63.5703125" style="2" bestFit="1" customWidth="1"/>
    <col min="4" max="4" width="11.5703125" style="2" bestFit="1" customWidth="1"/>
    <col min="5" max="9" width="12.5703125" style="2" bestFit="1" customWidth="1"/>
    <col min="10" max="10" width="14.140625" style="2" bestFit="1" customWidth="1"/>
    <col min="11" max="11" width="11.42578125" style="2"/>
    <col min="12" max="27" width="14.140625" style="2" bestFit="1" customWidth="1"/>
    <col min="28" max="16384" width="11.42578125" style="2"/>
  </cols>
  <sheetData>
    <row r="7" spans="3:20" ht="15.75" thickBot="1" x14ac:dyDescent="0.3"/>
    <row r="8" spans="3:20" ht="24" customHeight="1" thickBot="1" x14ac:dyDescent="0.3">
      <c r="C8" s="380" t="s">
        <v>190</v>
      </c>
      <c r="D8" s="381"/>
      <c r="E8" s="381"/>
      <c r="F8" s="381"/>
      <c r="G8" s="381"/>
      <c r="H8" s="381"/>
      <c r="I8" s="382"/>
    </row>
    <row r="9" spans="3:20" x14ac:dyDescent="0.25">
      <c r="C9" s="34" t="s">
        <v>209</v>
      </c>
      <c r="D9" s="59">
        <v>1000</v>
      </c>
    </row>
    <row r="10" spans="3:20" x14ac:dyDescent="0.25">
      <c r="C10" s="50"/>
      <c r="D10" s="88">
        <v>2008</v>
      </c>
      <c r="E10" s="88">
        <v>2009</v>
      </c>
      <c r="F10" s="88">
        <v>2010</v>
      </c>
      <c r="G10" s="88">
        <v>2011</v>
      </c>
      <c r="H10" s="88">
        <v>2012</v>
      </c>
      <c r="I10" s="88">
        <v>2013</v>
      </c>
    </row>
    <row r="11" spans="3:20" x14ac:dyDescent="0.25">
      <c r="C11" s="50"/>
      <c r="D11" s="50"/>
      <c r="E11" s="50"/>
      <c r="F11" s="50"/>
      <c r="G11" s="50"/>
    </row>
    <row r="12" spans="3:20" x14ac:dyDescent="0.25">
      <c r="C12" s="51" t="s">
        <v>80</v>
      </c>
      <c r="D12" s="52"/>
      <c r="E12" s="52"/>
      <c r="F12" s="52"/>
      <c r="G12" s="52"/>
    </row>
    <row r="13" spans="3:20" x14ac:dyDescent="0.25">
      <c r="C13" s="21" t="s">
        <v>81</v>
      </c>
      <c r="D13" s="22">
        <v>18895.363000000001</v>
      </c>
      <c r="E13" s="22">
        <v>31648.928</v>
      </c>
      <c r="F13" s="22">
        <v>24866.170999999998</v>
      </c>
      <c r="G13" s="22">
        <v>41593.779000000002</v>
      </c>
      <c r="H13" s="22">
        <v>31750.875</v>
      </c>
      <c r="I13" s="22">
        <v>55803.762000000002</v>
      </c>
    </row>
    <row r="14" spans="3:20" x14ac:dyDescent="0.25">
      <c r="C14" s="9"/>
      <c r="D14" s="77"/>
      <c r="E14" s="77"/>
      <c r="F14" s="77"/>
      <c r="G14" s="77"/>
      <c r="H14" s="77"/>
      <c r="I14" s="77"/>
      <c r="J14" s="144"/>
      <c r="K14" s="144"/>
      <c r="L14" s="144"/>
      <c r="M14" s="144"/>
      <c r="N14" s="144"/>
      <c r="O14" s="144"/>
      <c r="P14" s="144"/>
      <c r="Q14" s="144"/>
      <c r="R14" s="144"/>
      <c r="S14" s="144"/>
    </row>
    <row r="15" spans="3:20" x14ac:dyDescent="0.25">
      <c r="C15" s="51" t="s">
        <v>82</v>
      </c>
      <c r="D15" s="143"/>
      <c r="E15" s="143"/>
      <c r="F15" s="143"/>
      <c r="G15" s="143"/>
      <c r="H15" s="143"/>
      <c r="I15" s="143"/>
      <c r="J15" s="143"/>
      <c r="K15" s="143"/>
      <c r="L15" s="143"/>
      <c r="M15" s="143"/>
      <c r="N15" s="143"/>
      <c r="O15" s="143"/>
      <c r="P15" s="143"/>
      <c r="Q15" s="143"/>
      <c r="R15" s="143"/>
      <c r="S15" s="143"/>
    </row>
    <row r="16" spans="3:20" x14ac:dyDescent="0.25">
      <c r="C16" s="21" t="s">
        <v>83</v>
      </c>
      <c r="D16" s="22">
        <v>12052.148999999999</v>
      </c>
      <c r="E16" s="22">
        <v>14887.266</v>
      </c>
      <c r="F16" s="22">
        <v>15387.388999999999</v>
      </c>
      <c r="G16" s="22">
        <v>18010.786</v>
      </c>
      <c r="H16" s="22">
        <v>17478.534</v>
      </c>
      <c r="I16" s="22">
        <v>17434.353999999999</v>
      </c>
      <c r="J16" s="143"/>
      <c r="K16" s="143"/>
      <c r="L16" s="143"/>
      <c r="M16" s="143"/>
      <c r="N16" s="143"/>
      <c r="O16" s="143"/>
      <c r="P16" s="143"/>
      <c r="Q16" s="143"/>
      <c r="R16" s="143"/>
      <c r="S16" s="143"/>
      <c r="T16" s="143"/>
    </row>
    <row r="17" spans="3:9" x14ac:dyDescent="0.25">
      <c r="C17" s="21" t="s">
        <v>295</v>
      </c>
      <c r="D17" s="22">
        <v>0</v>
      </c>
      <c r="E17" s="22">
        <v>-4331.4470000000001</v>
      </c>
      <c r="F17" s="22">
        <v>-8542.3320000000003</v>
      </c>
      <c r="G17" s="22">
        <v>530.32000000000005</v>
      </c>
      <c r="H17" s="22">
        <v>114.169</v>
      </c>
      <c r="I17" s="22">
        <v>-73.716999999999999</v>
      </c>
    </row>
    <row r="18" spans="3:9" x14ac:dyDescent="0.25">
      <c r="C18" s="21" t="s">
        <v>296</v>
      </c>
      <c r="D18" s="22">
        <v>-5633.33</v>
      </c>
      <c r="E18" s="22">
        <v>-660.23199999999997</v>
      </c>
      <c r="F18" s="22">
        <v>-213.88800000000001</v>
      </c>
      <c r="G18" s="22">
        <v>0</v>
      </c>
      <c r="H18" s="22">
        <v>0</v>
      </c>
      <c r="I18" s="22">
        <v>0</v>
      </c>
    </row>
    <row r="19" spans="3:9" x14ac:dyDescent="0.25">
      <c r="C19" s="21" t="s">
        <v>84</v>
      </c>
      <c r="D19" s="22">
        <v>-134.376</v>
      </c>
      <c r="E19" s="22">
        <v>762.81200000000001</v>
      </c>
      <c r="F19" s="22">
        <v>-132.267</v>
      </c>
      <c r="G19" s="22">
        <v>-174.11799999999999</v>
      </c>
      <c r="H19" s="22">
        <v>-269.30500000000001</v>
      </c>
      <c r="I19" s="22">
        <v>-1144.0050000000001</v>
      </c>
    </row>
    <row r="20" spans="3:9" x14ac:dyDescent="0.25">
      <c r="C20" s="21" t="s">
        <v>297</v>
      </c>
      <c r="D20" s="22">
        <v>0</v>
      </c>
      <c r="E20" s="22">
        <v>0</v>
      </c>
      <c r="F20" s="22">
        <v>0</v>
      </c>
      <c r="G20" s="22">
        <v>0</v>
      </c>
      <c r="H20" s="22">
        <v>0</v>
      </c>
      <c r="I20" s="22">
        <v>-4845.1319999999996</v>
      </c>
    </row>
    <row r="21" spans="3:9" x14ac:dyDescent="0.25">
      <c r="C21" s="21" t="s">
        <v>298</v>
      </c>
      <c r="D21" s="22">
        <v>0</v>
      </c>
      <c r="E21" s="22">
        <v>0</v>
      </c>
      <c r="F21" s="22">
        <v>0</v>
      </c>
      <c r="G21" s="22">
        <v>0</v>
      </c>
      <c r="H21" s="22">
        <v>0</v>
      </c>
      <c r="I21" s="22">
        <v>15</v>
      </c>
    </row>
    <row r="22" spans="3:9" x14ac:dyDescent="0.25">
      <c r="C22" s="21" t="s">
        <v>85</v>
      </c>
      <c r="D22" s="22">
        <v>0</v>
      </c>
      <c r="E22" s="22">
        <v>60.002000000000002</v>
      </c>
      <c r="F22" s="22">
        <v>8.9</v>
      </c>
      <c r="G22" s="22">
        <v>0</v>
      </c>
      <c r="H22" s="22">
        <v>0</v>
      </c>
      <c r="I22" s="22">
        <v>0</v>
      </c>
    </row>
    <row r="23" spans="3:9" x14ac:dyDescent="0.25">
      <c r="C23" s="21" t="s">
        <v>108</v>
      </c>
      <c r="D23" s="22">
        <v>0</v>
      </c>
      <c r="E23" s="22">
        <v>0</v>
      </c>
      <c r="F23" s="22">
        <v>124.249</v>
      </c>
      <c r="G23" s="22">
        <v>1576.9159999999999</v>
      </c>
      <c r="H23" s="22">
        <v>135.28399999999999</v>
      </c>
      <c r="I23" s="22">
        <v>479.80900000000003</v>
      </c>
    </row>
    <row r="24" spans="3:9" x14ac:dyDescent="0.25">
      <c r="C24" s="53"/>
      <c r="D24" s="7"/>
      <c r="E24" s="7"/>
      <c r="F24" s="7"/>
      <c r="G24" s="7"/>
    </row>
    <row r="25" spans="3:9" x14ac:dyDescent="0.25">
      <c r="C25" s="53"/>
      <c r="D25" s="7">
        <f>SUM(D16:D23)</f>
        <v>6284.4429999999993</v>
      </c>
      <c r="E25" s="7">
        <f t="shared" ref="E25:I25" si="0">SUM(E16:E23)</f>
        <v>10718.401</v>
      </c>
      <c r="F25" s="7">
        <f t="shared" si="0"/>
        <v>6632.0509999999986</v>
      </c>
      <c r="G25" s="7">
        <f t="shared" si="0"/>
        <v>19943.904000000002</v>
      </c>
      <c r="H25" s="7">
        <f t="shared" si="0"/>
        <v>17458.682000000001</v>
      </c>
      <c r="I25" s="7">
        <f t="shared" si="0"/>
        <v>11866.308999999997</v>
      </c>
    </row>
    <row r="26" spans="3:9" x14ac:dyDescent="0.25">
      <c r="C26" s="53" t="s">
        <v>100</v>
      </c>
      <c r="D26" s="7">
        <f t="shared" ref="D26:I26" si="1">+D13+D25</f>
        <v>25179.806</v>
      </c>
      <c r="E26" s="7">
        <f t="shared" si="1"/>
        <v>42367.328999999998</v>
      </c>
      <c r="F26" s="7">
        <f t="shared" si="1"/>
        <v>31498.221999999998</v>
      </c>
      <c r="G26" s="7">
        <f t="shared" si="1"/>
        <v>61537.683000000005</v>
      </c>
      <c r="H26" s="7">
        <f t="shared" si="1"/>
        <v>49209.557000000001</v>
      </c>
      <c r="I26" s="7">
        <f t="shared" si="1"/>
        <v>67670.070999999996</v>
      </c>
    </row>
    <row r="27" spans="3:9" x14ac:dyDescent="0.25">
      <c r="C27" s="53"/>
      <c r="D27" s="7"/>
      <c r="E27" s="7"/>
      <c r="F27" s="7"/>
      <c r="G27" s="7"/>
      <c r="H27" s="7"/>
    </row>
    <row r="28" spans="3:9" x14ac:dyDescent="0.25">
      <c r="C28" s="383" t="s">
        <v>100</v>
      </c>
      <c r="D28" s="383"/>
      <c r="E28" s="383"/>
      <c r="F28" s="383"/>
      <c r="G28" s="383"/>
    </row>
    <row r="29" spans="3:9" x14ac:dyDescent="0.25">
      <c r="C29" s="53"/>
      <c r="D29" s="7"/>
      <c r="E29" s="7"/>
      <c r="F29" s="7"/>
      <c r="G29" s="7"/>
    </row>
    <row r="30" spans="3:9" x14ac:dyDescent="0.25">
      <c r="C30" s="53" t="s">
        <v>101</v>
      </c>
      <c r="D30" s="16"/>
      <c r="E30" s="16"/>
      <c r="F30" s="16"/>
      <c r="G30" s="16"/>
    </row>
    <row r="31" spans="3:9" x14ac:dyDescent="0.25">
      <c r="C31" s="9"/>
      <c r="D31" s="10"/>
      <c r="E31" s="10"/>
      <c r="F31" s="10"/>
      <c r="G31" s="10"/>
    </row>
    <row r="32" spans="3:9" x14ac:dyDescent="0.25">
      <c r="C32" s="21" t="s">
        <v>193</v>
      </c>
      <c r="D32" s="22">
        <v>0</v>
      </c>
      <c r="E32" s="22">
        <v>0</v>
      </c>
      <c r="F32" s="22">
        <v>0</v>
      </c>
      <c r="G32" s="22">
        <v>6147.2870000000003</v>
      </c>
      <c r="H32" s="22">
        <v>3795.7089999999998</v>
      </c>
      <c r="I32" s="22">
        <v>0</v>
      </c>
    </row>
    <row r="33" spans="3:9" x14ac:dyDescent="0.25">
      <c r="C33" s="21" t="s">
        <v>199</v>
      </c>
      <c r="D33" s="22">
        <v>-33212.285000000003</v>
      </c>
      <c r="E33" s="22">
        <v>-30001.358</v>
      </c>
      <c r="F33" s="22">
        <v>-38118.182999999997</v>
      </c>
      <c r="G33" s="22">
        <v>-6233.884</v>
      </c>
      <c r="H33" s="22">
        <v>6081.94</v>
      </c>
      <c r="I33" s="22">
        <v>-6001.9840000000004</v>
      </c>
    </row>
    <row r="34" spans="3:9" x14ac:dyDescent="0.25">
      <c r="C34" s="21" t="s">
        <v>87</v>
      </c>
      <c r="D34" s="22">
        <v>284.096</v>
      </c>
      <c r="E34" s="22">
        <v>0</v>
      </c>
      <c r="F34" s="22">
        <v>22.738</v>
      </c>
      <c r="G34" s="22">
        <v>1069.5440000000001</v>
      </c>
      <c r="H34" s="22">
        <v>721.87199999999996</v>
      </c>
      <c r="I34" s="22">
        <v>166.26900000000001</v>
      </c>
    </row>
    <row r="35" spans="3:9" x14ac:dyDescent="0.25">
      <c r="C35" s="21" t="s">
        <v>201</v>
      </c>
      <c r="D35" s="22">
        <v>0</v>
      </c>
      <c r="E35" s="22">
        <v>0</v>
      </c>
      <c r="F35" s="22">
        <v>0</v>
      </c>
      <c r="G35" s="22">
        <v>0</v>
      </c>
      <c r="H35" s="22">
        <v>159711.69500000001</v>
      </c>
      <c r="I35" s="22">
        <v>0</v>
      </c>
    </row>
    <row r="36" spans="3:9" x14ac:dyDescent="0.25">
      <c r="C36" s="21" t="s">
        <v>200</v>
      </c>
      <c r="D36" s="22">
        <v>0</v>
      </c>
      <c r="E36" s="22">
        <v>150325.70499999999</v>
      </c>
      <c r="F36" s="22">
        <v>28719.144</v>
      </c>
      <c r="G36" s="22">
        <v>15238.152</v>
      </c>
      <c r="H36" s="22">
        <v>0</v>
      </c>
      <c r="I36" s="22">
        <v>0</v>
      </c>
    </row>
    <row r="37" spans="3:9" x14ac:dyDescent="0.25">
      <c r="C37" s="21" t="s">
        <v>105</v>
      </c>
      <c r="D37" s="22">
        <v>4825.241</v>
      </c>
      <c r="E37" s="22">
        <v>0</v>
      </c>
      <c r="F37" s="22">
        <v>9936.777</v>
      </c>
      <c r="G37" s="22">
        <v>0</v>
      </c>
      <c r="H37" s="22">
        <v>0</v>
      </c>
      <c r="I37" s="22">
        <v>35137.953999999998</v>
      </c>
    </row>
    <row r="38" spans="3:9" x14ac:dyDescent="0.25">
      <c r="C38" s="21" t="s">
        <v>103</v>
      </c>
      <c r="D38" s="22">
        <v>0</v>
      </c>
      <c r="E38" s="22">
        <v>221.09299999999999</v>
      </c>
      <c r="F38" s="22">
        <v>0</v>
      </c>
      <c r="G38" s="22">
        <v>0</v>
      </c>
      <c r="H38" s="22">
        <v>0</v>
      </c>
      <c r="I38" s="22">
        <v>0</v>
      </c>
    </row>
    <row r="39" spans="3:9" x14ac:dyDescent="0.25">
      <c r="C39" s="21" t="s">
        <v>104</v>
      </c>
      <c r="D39" s="22">
        <v>114.84399999999999</v>
      </c>
      <c r="E39" s="22">
        <v>0</v>
      </c>
      <c r="F39" s="22">
        <v>0</v>
      </c>
      <c r="G39" s="22">
        <v>0</v>
      </c>
      <c r="H39" s="22">
        <v>0</v>
      </c>
      <c r="I39" s="22">
        <v>0</v>
      </c>
    </row>
    <row r="40" spans="3:9" x14ac:dyDescent="0.25">
      <c r="C40" s="21" t="s">
        <v>86</v>
      </c>
      <c r="D40" s="22">
        <v>0</v>
      </c>
      <c r="E40" s="22">
        <v>2199.0540000000001</v>
      </c>
      <c r="F40" s="22">
        <v>0</v>
      </c>
      <c r="G40" s="22">
        <v>0</v>
      </c>
      <c r="H40" s="22">
        <v>0</v>
      </c>
      <c r="I40" s="22">
        <v>0</v>
      </c>
    </row>
    <row r="41" spans="3:9" x14ac:dyDescent="0.25">
      <c r="C41" s="21" t="s">
        <v>88</v>
      </c>
      <c r="D41" s="22">
        <v>17708.581999999999</v>
      </c>
      <c r="E41" s="22">
        <v>0</v>
      </c>
      <c r="F41" s="22">
        <v>0</v>
      </c>
      <c r="G41" s="22">
        <v>0</v>
      </c>
      <c r="H41" s="22">
        <v>0</v>
      </c>
      <c r="I41" s="22">
        <v>0</v>
      </c>
    </row>
    <row r="42" spans="3:9" x14ac:dyDescent="0.25">
      <c r="C42" s="21" t="s">
        <v>106</v>
      </c>
      <c r="D42" s="22">
        <v>6422.8459999999995</v>
      </c>
      <c r="E42" s="22">
        <v>33.604999999999997</v>
      </c>
      <c r="F42" s="22">
        <v>0</v>
      </c>
      <c r="G42" s="22">
        <v>0</v>
      </c>
      <c r="H42" s="22">
        <v>2872.5120000000002</v>
      </c>
      <c r="I42" s="22">
        <v>0</v>
      </c>
    </row>
    <row r="43" spans="3:9" x14ac:dyDescent="0.25">
      <c r="C43" s="9"/>
      <c r="D43" s="10"/>
      <c r="E43" s="10"/>
      <c r="F43" s="10"/>
      <c r="G43" s="10"/>
      <c r="H43" s="10"/>
      <c r="I43" s="10"/>
    </row>
    <row r="44" spans="3:9" x14ac:dyDescent="0.25">
      <c r="C44" s="9"/>
      <c r="D44" s="18">
        <f t="shared" ref="D44:I44" si="2">SUM(D32:D42)</f>
        <v>-3856.6760000000049</v>
      </c>
      <c r="E44" s="18">
        <f t="shared" si="2"/>
        <v>122778.09899999997</v>
      </c>
      <c r="F44" s="18">
        <f t="shared" si="2"/>
        <v>560.47600000000057</v>
      </c>
      <c r="G44" s="18">
        <f t="shared" si="2"/>
        <v>16221.099</v>
      </c>
      <c r="H44" s="18">
        <f t="shared" si="2"/>
        <v>173183.728</v>
      </c>
      <c r="I44" s="18">
        <f t="shared" si="2"/>
        <v>29302.238999999998</v>
      </c>
    </row>
    <row r="45" spans="3:9" x14ac:dyDescent="0.25">
      <c r="C45" s="9"/>
      <c r="D45" s="10"/>
      <c r="E45" s="10"/>
      <c r="F45" s="10"/>
      <c r="G45" s="10"/>
    </row>
    <row r="46" spans="3:9" x14ac:dyDescent="0.25">
      <c r="C46" s="51" t="s">
        <v>107</v>
      </c>
      <c r="D46" s="18">
        <f t="shared" ref="D46:I46" si="3">+D13+D25+D44</f>
        <v>21323.129999999997</v>
      </c>
      <c r="E46" s="18">
        <f t="shared" si="3"/>
        <v>165145.42799999996</v>
      </c>
      <c r="F46" s="18">
        <f t="shared" si="3"/>
        <v>32058.697999999997</v>
      </c>
      <c r="G46" s="18">
        <f t="shared" si="3"/>
        <v>77758.782000000007</v>
      </c>
      <c r="H46" s="18">
        <f t="shared" si="3"/>
        <v>222393.285</v>
      </c>
      <c r="I46" s="18">
        <f t="shared" si="3"/>
        <v>96972.31</v>
      </c>
    </row>
    <row r="47" spans="3:9" x14ac:dyDescent="0.25">
      <c r="C47" s="51"/>
      <c r="D47" s="14"/>
      <c r="E47" s="14"/>
      <c r="F47" s="14"/>
      <c r="G47" s="14"/>
    </row>
    <row r="48" spans="3:9" x14ac:dyDescent="0.25">
      <c r="C48" s="51" t="s">
        <v>89</v>
      </c>
      <c r="D48" s="18"/>
      <c r="E48" s="18"/>
      <c r="F48" s="18"/>
      <c r="G48" s="18"/>
    </row>
    <row r="49" spans="3:9" x14ac:dyDescent="0.25">
      <c r="C49" s="51"/>
      <c r="D49" s="18"/>
      <c r="E49" s="18"/>
      <c r="F49" s="18"/>
      <c r="G49" s="18"/>
    </row>
    <row r="50" spans="3:9" x14ac:dyDescent="0.25">
      <c r="C50" s="21" t="s">
        <v>109</v>
      </c>
      <c r="D50" s="22">
        <v>5167.2749999999996</v>
      </c>
      <c r="E50" s="22">
        <v>0</v>
      </c>
      <c r="F50" s="22">
        <v>16585.656999999999</v>
      </c>
      <c r="G50" s="22">
        <v>13263.056</v>
      </c>
      <c r="H50" s="22">
        <v>10063.385</v>
      </c>
      <c r="I50" s="22">
        <v>7465.9549999999999</v>
      </c>
    </row>
    <row r="51" spans="3:9" x14ac:dyDescent="0.25">
      <c r="C51" s="21" t="s">
        <v>202</v>
      </c>
      <c r="D51" s="22">
        <v>-13187.233</v>
      </c>
      <c r="E51" s="22">
        <v>-13008.084999999999</v>
      </c>
      <c r="F51" s="22">
        <v>0</v>
      </c>
      <c r="G51" s="22">
        <v>-3043.2460000000001</v>
      </c>
      <c r="H51" s="22">
        <v>75666.64</v>
      </c>
      <c r="I51" s="22">
        <v>38463.582000000002</v>
      </c>
    </row>
    <row r="52" spans="3:9" x14ac:dyDescent="0.25">
      <c r="C52" s="21" t="s">
        <v>110</v>
      </c>
      <c r="D52" s="22">
        <v>0</v>
      </c>
      <c r="E52" s="22">
        <v>2076.3389999999999</v>
      </c>
      <c r="F52" s="22">
        <v>0</v>
      </c>
      <c r="G52" s="22">
        <v>0</v>
      </c>
      <c r="H52" s="22">
        <v>0</v>
      </c>
      <c r="I52" s="22">
        <v>0</v>
      </c>
    </row>
    <row r="53" spans="3:9" x14ac:dyDescent="0.25">
      <c r="C53" s="21" t="s">
        <v>203</v>
      </c>
      <c r="D53" s="22">
        <v>0</v>
      </c>
      <c r="E53" s="22">
        <v>0</v>
      </c>
      <c r="F53" s="22">
        <v>0</v>
      </c>
      <c r="G53" s="22">
        <v>-3021.922</v>
      </c>
      <c r="H53" s="22">
        <v>1510.962</v>
      </c>
      <c r="I53" s="22">
        <v>1510.96</v>
      </c>
    </row>
    <row r="54" spans="3:9" x14ac:dyDescent="0.25">
      <c r="C54" s="21" t="s">
        <v>204</v>
      </c>
      <c r="D54" s="22">
        <v>0</v>
      </c>
      <c r="E54" s="22">
        <v>0</v>
      </c>
      <c r="F54" s="22">
        <v>0</v>
      </c>
      <c r="G54" s="22">
        <v>-38.079000000000001</v>
      </c>
      <c r="H54" s="22">
        <v>204.8</v>
      </c>
      <c r="I54" s="22">
        <v>0</v>
      </c>
    </row>
    <row r="55" spans="3:9" x14ac:dyDescent="0.25">
      <c r="C55" s="21" t="s">
        <v>205</v>
      </c>
      <c r="D55" s="22">
        <v>0</v>
      </c>
      <c r="E55" s="22">
        <v>0</v>
      </c>
      <c r="F55" s="22">
        <v>0</v>
      </c>
      <c r="G55" s="22">
        <v>-3035.076</v>
      </c>
      <c r="H55" s="22">
        <v>3410.49</v>
      </c>
      <c r="I55" s="22">
        <v>-375.41300000000001</v>
      </c>
    </row>
    <row r="56" spans="3:9" x14ac:dyDescent="0.25">
      <c r="C56" s="21" t="s">
        <v>210</v>
      </c>
      <c r="D56" s="22">
        <v>6291.4279999999999</v>
      </c>
      <c r="E56" s="22">
        <v>0</v>
      </c>
      <c r="F56" s="22">
        <v>7009.3860000000004</v>
      </c>
      <c r="G56" s="22">
        <v>17836.512999999999</v>
      </c>
      <c r="H56" s="22">
        <v>-4991.7169999999996</v>
      </c>
      <c r="I56" s="22">
        <v>2775.76</v>
      </c>
    </row>
    <row r="57" spans="3:9" x14ac:dyDescent="0.25">
      <c r="C57" s="21" t="s">
        <v>198</v>
      </c>
      <c r="D57" s="22">
        <v>3979.038</v>
      </c>
      <c r="E57" s="22">
        <v>0</v>
      </c>
      <c r="F57" s="22">
        <v>31053.446</v>
      </c>
      <c r="G57" s="22">
        <v>0</v>
      </c>
      <c r="H57" s="22">
        <v>0</v>
      </c>
      <c r="I57" s="22">
        <v>0</v>
      </c>
    </row>
    <row r="58" spans="3:9" x14ac:dyDescent="0.25">
      <c r="C58" s="21" t="s">
        <v>90</v>
      </c>
      <c r="D58" s="22">
        <v>0</v>
      </c>
      <c r="E58" s="22">
        <v>395.899</v>
      </c>
      <c r="F58" s="22">
        <v>395.899</v>
      </c>
      <c r="G58" s="22">
        <v>6043.8459999999995</v>
      </c>
      <c r="H58" s="22">
        <v>0</v>
      </c>
      <c r="I58" s="22">
        <v>0</v>
      </c>
    </row>
    <row r="59" spans="3:9" x14ac:dyDescent="0.25">
      <c r="C59" s="21" t="s">
        <v>206</v>
      </c>
      <c r="D59" s="22">
        <v>0</v>
      </c>
      <c r="E59" s="22">
        <v>6734.6319999999996</v>
      </c>
      <c r="F59" s="22">
        <v>0</v>
      </c>
      <c r="G59" s="22">
        <v>10395.045</v>
      </c>
      <c r="H59" s="22">
        <v>197.041</v>
      </c>
      <c r="I59" s="22">
        <v>0</v>
      </c>
    </row>
    <row r="60" spans="3:9" x14ac:dyDescent="0.25">
      <c r="C60" s="21" t="s">
        <v>113</v>
      </c>
      <c r="D60" s="22">
        <v>0</v>
      </c>
      <c r="E60" s="22">
        <v>746.93399999999997</v>
      </c>
      <c r="F60" s="22">
        <v>1585.251</v>
      </c>
      <c r="G60" s="22">
        <v>0</v>
      </c>
      <c r="H60" s="22">
        <v>0</v>
      </c>
      <c r="I60" s="22">
        <v>88.177999999999997</v>
      </c>
    </row>
    <row r="61" spans="3:9" x14ac:dyDescent="0.25">
      <c r="C61" s="21" t="s">
        <v>91</v>
      </c>
      <c r="D61" s="22">
        <v>0</v>
      </c>
      <c r="E61" s="22">
        <v>265.76799999999997</v>
      </c>
      <c r="F61" s="22">
        <v>126.956</v>
      </c>
      <c r="G61" s="22">
        <v>0</v>
      </c>
      <c r="H61" s="22">
        <v>0</v>
      </c>
      <c r="I61" s="22">
        <v>0</v>
      </c>
    </row>
    <row r="62" spans="3:9" x14ac:dyDescent="0.25">
      <c r="C62" s="21" t="s">
        <v>192</v>
      </c>
      <c r="D62" s="22">
        <v>0</v>
      </c>
      <c r="E62" s="22">
        <v>29.388000000000002</v>
      </c>
      <c r="F62" s="22">
        <v>0</v>
      </c>
      <c r="G62" s="22">
        <v>0</v>
      </c>
      <c r="H62" s="22">
        <v>0</v>
      </c>
      <c r="I62" s="22">
        <v>0</v>
      </c>
    </row>
    <row r="63" spans="3:9" x14ac:dyDescent="0.25">
      <c r="C63" s="21" t="s">
        <v>191</v>
      </c>
      <c r="D63" s="22">
        <v>0</v>
      </c>
      <c r="E63" s="22">
        <v>234.51400000000001</v>
      </c>
      <c r="F63" s="22">
        <v>0</v>
      </c>
      <c r="G63" s="22">
        <v>0</v>
      </c>
      <c r="H63" s="22">
        <v>0</v>
      </c>
      <c r="I63" s="22">
        <v>0</v>
      </c>
    </row>
    <row r="64" spans="3:9" x14ac:dyDescent="0.25">
      <c r="C64" s="21" t="s">
        <v>207</v>
      </c>
      <c r="D64" s="22">
        <v>2334.7840000000001</v>
      </c>
      <c r="E64" s="22">
        <v>5470</v>
      </c>
      <c r="F64" s="22">
        <v>6400</v>
      </c>
      <c r="G64" s="22">
        <v>10280</v>
      </c>
      <c r="H64" s="22">
        <v>12500</v>
      </c>
      <c r="I64" s="22">
        <v>14014.526</v>
      </c>
    </row>
    <row r="65" spans="3:11" x14ac:dyDescent="0.25">
      <c r="C65" s="9"/>
      <c r="F65" s="19"/>
      <c r="G65" s="19"/>
      <c r="H65" s="19"/>
      <c r="I65" s="19"/>
    </row>
    <row r="66" spans="3:11" x14ac:dyDescent="0.25">
      <c r="C66" s="51" t="s">
        <v>114</v>
      </c>
      <c r="D66" s="18">
        <f>SUM(D50:D64)</f>
        <v>4585.2919999999995</v>
      </c>
      <c r="E66" s="18">
        <f t="shared" ref="E66:I66" si="4">SUM(E50:E64)</f>
        <v>2945.3890000000001</v>
      </c>
      <c r="F66" s="18">
        <f t="shared" si="4"/>
        <v>63156.594999999994</v>
      </c>
      <c r="G66" s="18">
        <f t="shared" si="4"/>
        <v>48680.136999999995</v>
      </c>
      <c r="H66" s="18">
        <f t="shared" si="4"/>
        <v>98561.600999999995</v>
      </c>
      <c r="I66" s="18">
        <f t="shared" si="4"/>
        <v>63943.548000000003</v>
      </c>
    </row>
    <row r="67" spans="3:11" x14ac:dyDescent="0.25">
      <c r="C67" s="51"/>
      <c r="D67" s="17"/>
      <c r="E67" s="14"/>
      <c r="F67" s="18"/>
      <c r="G67" s="17"/>
      <c r="H67" s="17"/>
      <c r="I67" s="17"/>
    </row>
    <row r="68" spans="3:11" s="13" customFormat="1" x14ac:dyDescent="0.25">
      <c r="C68" s="51"/>
      <c r="D68" s="17"/>
      <c r="E68" s="14"/>
      <c r="F68" s="18"/>
      <c r="G68" s="17"/>
      <c r="H68" s="17"/>
      <c r="I68" s="17"/>
      <c r="J68" s="2"/>
      <c r="K68" s="2"/>
    </row>
    <row r="69" spans="3:11" x14ac:dyDescent="0.25">
      <c r="C69" s="51" t="s">
        <v>115</v>
      </c>
      <c r="D69" s="18">
        <f>+D46-D66</f>
        <v>16737.837999999996</v>
      </c>
      <c r="E69" s="18">
        <f t="shared" ref="E69:I69" si="5">+E46-E66</f>
        <v>162200.03899999996</v>
      </c>
      <c r="F69" s="18">
        <f t="shared" si="5"/>
        <v>-31097.896999999997</v>
      </c>
      <c r="G69" s="18">
        <f t="shared" si="5"/>
        <v>29078.645000000011</v>
      </c>
      <c r="H69" s="18">
        <f t="shared" si="5"/>
        <v>123831.68400000001</v>
      </c>
      <c r="I69" s="18">
        <f t="shared" si="5"/>
        <v>33028.761999999995</v>
      </c>
      <c r="J69" s="13"/>
      <c r="K69" s="13"/>
    </row>
    <row r="70" spans="3:11" x14ac:dyDescent="0.25">
      <c r="C70" s="51"/>
      <c r="E70" s="17"/>
      <c r="F70" s="17"/>
      <c r="G70" s="17"/>
      <c r="H70" s="17"/>
      <c r="I70" s="8"/>
    </row>
    <row r="71" spans="3:11" s="13" customFormat="1" x14ac:dyDescent="0.25">
      <c r="C71" s="51"/>
      <c r="D71" s="2"/>
      <c r="E71" s="17"/>
      <c r="F71" s="17"/>
      <c r="G71" s="17"/>
      <c r="H71" s="17"/>
      <c r="I71" s="2"/>
      <c r="J71" s="2"/>
      <c r="K71" s="2"/>
    </row>
    <row r="72" spans="3:11" x14ac:dyDescent="0.25">
      <c r="C72" s="21" t="s">
        <v>116</v>
      </c>
      <c r="D72" s="22">
        <v>17217.034</v>
      </c>
      <c r="E72" s="22">
        <v>33954.870000000003</v>
      </c>
      <c r="F72" s="22">
        <v>0</v>
      </c>
      <c r="G72" s="22">
        <v>0</v>
      </c>
      <c r="H72" s="22">
        <v>0</v>
      </c>
      <c r="I72" s="22">
        <v>0</v>
      </c>
      <c r="J72" s="13"/>
      <c r="K72" s="13"/>
    </row>
    <row r="73" spans="3:11" x14ac:dyDescent="0.25">
      <c r="C73" s="21" t="s">
        <v>117</v>
      </c>
      <c r="D73" s="22">
        <f>(+E72)/1000</f>
        <v>33.95487</v>
      </c>
      <c r="E73" s="22">
        <v>196154.908</v>
      </c>
      <c r="F73" s="22">
        <v>0</v>
      </c>
      <c r="G73" s="22">
        <v>0</v>
      </c>
      <c r="H73" s="22">
        <v>0</v>
      </c>
      <c r="I73" s="22">
        <v>0</v>
      </c>
    </row>
    <row r="74" spans="3:11" x14ac:dyDescent="0.25">
      <c r="C74" s="21" t="s">
        <v>118</v>
      </c>
      <c r="D74" s="22">
        <v>0</v>
      </c>
      <c r="E74" s="22">
        <v>0</v>
      </c>
      <c r="F74" s="22">
        <v>196154.908</v>
      </c>
      <c r="G74" s="22">
        <v>165057.011</v>
      </c>
      <c r="H74" s="22">
        <v>0</v>
      </c>
      <c r="I74" s="22">
        <v>0</v>
      </c>
    </row>
    <row r="75" spans="3:11" x14ac:dyDescent="0.25">
      <c r="C75" s="21" t="s">
        <v>330</v>
      </c>
      <c r="D75" s="22">
        <v>0</v>
      </c>
      <c r="E75" s="22">
        <v>0</v>
      </c>
      <c r="F75" s="22">
        <v>165057.011</v>
      </c>
      <c r="G75" s="22">
        <v>194135.65599999999</v>
      </c>
      <c r="H75" s="22">
        <v>0</v>
      </c>
      <c r="I75" s="22">
        <v>0</v>
      </c>
    </row>
    <row r="76" spans="3:11" x14ac:dyDescent="0.25">
      <c r="C76" s="21" t="s">
        <v>331</v>
      </c>
      <c r="D76" s="22">
        <v>0</v>
      </c>
      <c r="E76" s="22">
        <v>0</v>
      </c>
      <c r="F76" s="22">
        <v>0</v>
      </c>
      <c r="G76" s="22">
        <v>0</v>
      </c>
      <c r="H76" s="22">
        <v>-25961.545999999998</v>
      </c>
      <c r="I76" s="22">
        <v>97870.138999999996</v>
      </c>
    </row>
    <row r="77" spans="3:11" x14ac:dyDescent="0.25">
      <c r="C77" s="21" t="s">
        <v>333</v>
      </c>
      <c r="D77" s="22">
        <v>0</v>
      </c>
      <c r="E77" s="22">
        <v>0</v>
      </c>
      <c r="F77" s="22">
        <v>0</v>
      </c>
      <c r="G77" s="22">
        <v>0</v>
      </c>
      <c r="H77" s="22">
        <v>97870.137000000002</v>
      </c>
      <c r="I77" s="22">
        <v>130898.539</v>
      </c>
    </row>
    <row r="78" spans="3:11" x14ac:dyDescent="0.25">
      <c r="C78" s="51"/>
      <c r="D78" s="14"/>
      <c r="E78" s="14"/>
      <c r="F78" s="14"/>
      <c r="G78" s="14"/>
      <c r="H78" s="8"/>
    </row>
    <row r="79" spans="3:11" x14ac:dyDescent="0.25">
      <c r="C79" s="11" t="s">
        <v>332</v>
      </c>
      <c r="D79" s="18">
        <f>+D73-D72</f>
        <v>-17183.079129999998</v>
      </c>
      <c r="E79" s="18">
        <f>+E73-E72</f>
        <v>162200.038</v>
      </c>
      <c r="F79" s="18">
        <f>+F75-F74</f>
        <v>-31097.896999999997</v>
      </c>
      <c r="G79" s="18">
        <f>+G75-G74</f>
        <v>29078.64499999999</v>
      </c>
      <c r="H79" s="18">
        <f>+H77-H76</f>
        <v>123831.683</v>
      </c>
      <c r="I79" s="18">
        <f>+I77-I76</f>
        <v>33028.400000000009</v>
      </c>
    </row>
    <row r="80" spans="3:11" x14ac:dyDescent="0.25">
      <c r="C80" s="11"/>
      <c r="D80" s="14"/>
      <c r="E80" s="14"/>
      <c r="F80" s="14"/>
      <c r="G80" s="14"/>
      <c r="H80" s="8"/>
    </row>
    <row r="81" spans="3:9" s="59" customFormat="1" x14ac:dyDescent="0.25">
      <c r="C81" s="61" t="s">
        <v>211</v>
      </c>
      <c r="D81" s="84">
        <v>0</v>
      </c>
      <c r="E81" s="84">
        <v>0</v>
      </c>
      <c r="F81" s="84">
        <v>0</v>
      </c>
      <c r="G81" s="84">
        <v>0</v>
      </c>
    </row>
    <row r="82" spans="3:9" s="59" customFormat="1" x14ac:dyDescent="0.25">
      <c r="C82" s="85"/>
      <c r="D82" s="62"/>
      <c r="E82" s="62"/>
      <c r="F82" s="62"/>
      <c r="G82" s="62"/>
    </row>
    <row r="83" spans="3:9" s="59" customFormat="1" x14ac:dyDescent="0.25">
      <c r="C83" s="61"/>
      <c r="D83" s="60">
        <f>+D72+D69</f>
        <v>33954.871999999996</v>
      </c>
      <c r="E83" s="60">
        <f>+D83+E69</f>
        <v>196154.91099999996</v>
      </c>
      <c r="F83" s="60">
        <f>+E83+F69</f>
        <v>165057.01399999997</v>
      </c>
      <c r="G83" s="60">
        <f>+F83+G69</f>
        <v>194135.65899999999</v>
      </c>
      <c r="H83" s="60">
        <f>+G83+H69</f>
        <v>317967.34299999999</v>
      </c>
      <c r="I83" s="60">
        <f>+H83+I69</f>
        <v>350996.10499999998</v>
      </c>
    </row>
    <row r="84" spans="3:9" s="59" customFormat="1" x14ac:dyDescent="0.25">
      <c r="C84" s="86"/>
      <c r="D84" s="87"/>
      <c r="E84" s="87"/>
      <c r="F84" s="87"/>
      <c r="G84" s="87"/>
    </row>
    <row r="85" spans="3:9" s="59" customFormat="1" x14ac:dyDescent="0.25">
      <c r="C85" s="86"/>
      <c r="D85" s="87">
        <f>+D83-D73</f>
        <v>33920.917129999994</v>
      </c>
      <c r="E85" s="87">
        <f>+E83-E73</f>
        <v>2.9999999678693712E-3</v>
      </c>
      <c r="F85" s="87">
        <f>+F83-F75</f>
        <v>2.9999999678693712E-3</v>
      </c>
      <c r="G85" s="87">
        <f>+G83-G75</f>
        <v>2.9999999969732016E-3</v>
      </c>
      <c r="H85" s="87">
        <f>+H83-H76</f>
        <v>343928.88899999997</v>
      </c>
      <c r="I85" s="87">
        <f>+I83-I76</f>
        <v>253125.96599999999</v>
      </c>
    </row>
    <row r="86" spans="3:9" x14ac:dyDescent="0.25">
      <c r="C86" s="13"/>
      <c r="D86" s="13"/>
      <c r="E86" s="13"/>
      <c r="F86" s="13"/>
      <c r="G86" s="13"/>
    </row>
    <row r="87" spans="3:9" x14ac:dyDescent="0.25">
      <c r="C87" s="11"/>
      <c r="D87" s="14"/>
      <c r="E87" s="14"/>
      <c r="F87" s="14"/>
      <c r="G87" s="14"/>
    </row>
    <row r="88" spans="3:9" x14ac:dyDescent="0.25">
      <c r="C88" s="11"/>
      <c r="D88" s="13"/>
      <c r="E88" s="13"/>
      <c r="F88" s="13"/>
      <c r="G88" s="13"/>
    </row>
    <row r="89" spans="3:9" x14ac:dyDescent="0.25">
      <c r="C89" s="13"/>
      <c r="D89" s="13"/>
      <c r="E89" s="13"/>
      <c r="F89" s="13"/>
      <c r="G89" s="13"/>
    </row>
    <row r="90" spans="3:9" x14ac:dyDescent="0.25">
      <c r="C90" s="11"/>
      <c r="D90" s="13"/>
      <c r="E90" s="13"/>
      <c r="F90" s="13"/>
      <c r="G90" s="13"/>
    </row>
    <row r="91" spans="3:9" x14ac:dyDescent="0.25">
      <c r="C91" s="13"/>
      <c r="D91" s="13"/>
      <c r="E91" s="13"/>
      <c r="F91" s="13"/>
      <c r="G91" s="13"/>
    </row>
    <row r="92" spans="3:9" x14ac:dyDescent="0.25">
      <c r="C92" s="9"/>
      <c r="D92" s="10"/>
      <c r="E92" s="10"/>
      <c r="F92" s="10"/>
      <c r="G92" s="10"/>
    </row>
    <row r="93" spans="3:9" x14ac:dyDescent="0.25">
      <c r="C93" s="9"/>
      <c r="D93" s="10"/>
      <c r="E93" s="10"/>
      <c r="F93" s="10"/>
      <c r="G93" s="10"/>
    </row>
    <row r="94" spans="3:9" x14ac:dyDescent="0.25">
      <c r="C94" s="9"/>
      <c r="D94" s="10"/>
      <c r="E94" s="10"/>
      <c r="F94" s="10"/>
      <c r="G94" s="10"/>
    </row>
    <row r="95" spans="3:9" x14ac:dyDescent="0.25">
      <c r="C95" s="9"/>
      <c r="D95" s="10"/>
      <c r="E95" s="10"/>
      <c r="F95" s="10"/>
      <c r="G95" s="10"/>
    </row>
    <row r="96" spans="3:9" x14ac:dyDescent="0.25">
      <c r="C96" s="9"/>
      <c r="D96" s="10"/>
      <c r="E96" s="10"/>
      <c r="F96" s="10"/>
      <c r="G96" s="10"/>
    </row>
    <row r="97" spans="3:7" x14ac:dyDescent="0.25">
      <c r="C97" s="9"/>
      <c r="D97" s="10"/>
      <c r="E97" s="10"/>
      <c r="F97" s="10"/>
      <c r="G97" s="10"/>
    </row>
    <row r="98" spans="3:7" x14ac:dyDescent="0.25">
      <c r="C98" s="9"/>
      <c r="D98" s="10"/>
      <c r="E98" s="10"/>
      <c r="F98" s="10"/>
      <c r="G98" s="10"/>
    </row>
    <row r="99" spans="3:7" x14ac:dyDescent="0.25">
      <c r="C99" s="9"/>
      <c r="D99" s="10"/>
      <c r="E99" s="10"/>
      <c r="F99" s="10"/>
      <c r="G99" s="10"/>
    </row>
    <row r="100" spans="3:7" x14ac:dyDescent="0.25">
      <c r="C100" s="9"/>
      <c r="D100" s="10"/>
      <c r="E100" s="10"/>
      <c r="F100" s="10"/>
      <c r="G100" s="10"/>
    </row>
    <row r="101" spans="3:7" x14ac:dyDescent="0.25">
      <c r="C101" s="9"/>
      <c r="D101" s="10"/>
      <c r="E101" s="10"/>
      <c r="F101" s="10"/>
      <c r="G101" s="10"/>
    </row>
    <row r="102" spans="3:7" x14ac:dyDescent="0.25">
      <c r="C102" s="13"/>
      <c r="D102" s="13"/>
      <c r="E102" s="13"/>
      <c r="F102" s="13"/>
      <c r="G102" s="13"/>
    </row>
    <row r="103" spans="3:7" x14ac:dyDescent="0.25">
      <c r="C103" s="11"/>
      <c r="D103" s="14"/>
      <c r="E103" s="14"/>
      <c r="F103" s="14"/>
      <c r="G103" s="14"/>
    </row>
    <row r="104" spans="3:7" x14ac:dyDescent="0.25">
      <c r="C104" s="13"/>
      <c r="D104" s="13"/>
      <c r="E104" s="13"/>
      <c r="F104" s="13"/>
      <c r="G104" s="13"/>
    </row>
    <row r="105" spans="3:7" x14ac:dyDescent="0.25">
      <c r="C105" s="11"/>
      <c r="D105" s="13"/>
      <c r="E105" s="13"/>
      <c r="F105" s="13"/>
      <c r="G105" s="13"/>
    </row>
    <row r="106" spans="3:7" x14ac:dyDescent="0.25">
      <c r="C106" s="13"/>
      <c r="D106" s="13"/>
      <c r="E106" s="13"/>
      <c r="F106" s="13"/>
      <c r="G106" s="13"/>
    </row>
    <row r="107" spans="3:7" x14ac:dyDescent="0.25">
      <c r="C107" s="9"/>
      <c r="D107" s="10"/>
      <c r="E107" s="10"/>
      <c r="F107" s="10"/>
      <c r="G107" s="10"/>
    </row>
    <row r="108" spans="3:7" x14ac:dyDescent="0.25">
      <c r="C108" s="9"/>
      <c r="D108" s="10"/>
      <c r="E108" s="10"/>
      <c r="F108" s="10"/>
      <c r="G108" s="10"/>
    </row>
    <row r="109" spans="3:7" x14ac:dyDescent="0.25">
      <c r="C109" s="9"/>
      <c r="D109" s="10"/>
      <c r="E109" s="10"/>
      <c r="F109" s="10"/>
      <c r="G109" s="10"/>
    </row>
    <row r="110" spans="3:7" x14ac:dyDescent="0.25">
      <c r="C110" s="9"/>
      <c r="D110" s="10"/>
      <c r="E110" s="10"/>
      <c r="F110" s="10"/>
      <c r="G110" s="10"/>
    </row>
    <row r="111" spans="3:7" x14ac:dyDescent="0.25">
      <c r="C111" s="9"/>
      <c r="D111" s="10"/>
      <c r="E111" s="10"/>
      <c r="F111" s="10"/>
      <c r="G111" s="10"/>
    </row>
    <row r="112" spans="3:7" x14ac:dyDescent="0.25">
      <c r="C112" s="9"/>
      <c r="D112" s="10"/>
      <c r="E112" s="10"/>
      <c r="F112" s="10"/>
      <c r="G112" s="10"/>
    </row>
    <row r="113" spans="3:7" x14ac:dyDescent="0.25">
      <c r="C113" s="9"/>
      <c r="D113" s="10"/>
      <c r="E113" s="10"/>
      <c r="F113" s="10"/>
      <c r="G113" s="10"/>
    </row>
    <row r="114" spans="3:7" x14ac:dyDescent="0.25">
      <c r="C114" s="13"/>
      <c r="D114" s="13"/>
      <c r="E114" s="13"/>
      <c r="F114" s="13"/>
      <c r="G114" s="13"/>
    </row>
    <row r="115" spans="3:7" x14ac:dyDescent="0.25">
      <c r="C115" s="11"/>
      <c r="D115" s="14"/>
      <c r="E115" s="14"/>
      <c r="F115" s="14"/>
      <c r="G115" s="14"/>
    </row>
    <row r="116" spans="3:7" x14ac:dyDescent="0.25">
      <c r="C116" s="13"/>
      <c r="D116" s="13"/>
      <c r="E116" s="13"/>
      <c r="F116" s="13"/>
      <c r="G116" s="13"/>
    </row>
    <row r="117" spans="3:7" x14ac:dyDescent="0.25">
      <c r="C117" s="11"/>
      <c r="D117" s="14"/>
      <c r="E117" s="14"/>
      <c r="F117" s="14"/>
      <c r="G117" s="14"/>
    </row>
    <row r="118" spans="3:7" x14ac:dyDescent="0.25">
      <c r="C118" s="13"/>
      <c r="D118" s="13"/>
      <c r="E118" s="13"/>
      <c r="F118" s="13"/>
      <c r="G118" s="13"/>
    </row>
    <row r="119" spans="3:7" x14ac:dyDescent="0.25">
      <c r="C119" s="11"/>
      <c r="D119" s="13"/>
      <c r="E119" s="13"/>
      <c r="F119" s="13"/>
      <c r="G119" s="13"/>
    </row>
    <row r="120" spans="3:7" x14ac:dyDescent="0.25">
      <c r="C120" s="13"/>
      <c r="D120" s="13"/>
      <c r="E120" s="13"/>
      <c r="F120" s="13"/>
      <c r="G120" s="13"/>
    </row>
    <row r="121" spans="3:7" x14ac:dyDescent="0.25">
      <c r="C121" s="9"/>
      <c r="D121" s="10"/>
      <c r="E121" s="10"/>
      <c r="F121" s="10"/>
      <c r="G121" s="10"/>
    </row>
    <row r="122" spans="3:7" x14ac:dyDescent="0.25">
      <c r="C122" s="9"/>
      <c r="D122" s="10"/>
      <c r="E122" s="10"/>
      <c r="F122" s="10"/>
      <c r="G122" s="10"/>
    </row>
    <row r="123" spans="3:7" x14ac:dyDescent="0.25">
      <c r="C123" s="9"/>
      <c r="D123" s="10"/>
      <c r="E123" s="10"/>
      <c r="F123" s="10"/>
      <c r="G123" s="10"/>
    </row>
    <row r="124" spans="3:7" x14ac:dyDescent="0.25">
      <c r="C124" s="13"/>
      <c r="D124" s="13"/>
      <c r="E124" s="13"/>
      <c r="F124" s="13"/>
      <c r="G124" s="13"/>
    </row>
    <row r="125" spans="3:7" x14ac:dyDescent="0.25">
      <c r="C125" s="11"/>
      <c r="D125" s="14"/>
      <c r="E125" s="14"/>
      <c r="F125" s="14"/>
      <c r="G125" s="14"/>
    </row>
    <row r="126" spans="3:7" x14ac:dyDescent="0.25">
      <c r="C126" s="13"/>
      <c r="D126" s="13"/>
      <c r="E126" s="13"/>
      <c r="F126" s="13"/>
      <c r="G126" s="13"/>
    </row>
    <row r="127" spans="3:7" x14ac:dyDescent="0.25">
      <c r="C127" s="9"/>
      <c r="D127" s="10"/>
      <c r="E127" s="10"/>
      <c r="F127" s="10"/>
      <c r="G127" s="10"/>
    </row>
    <row r="128" spans="3:7" x14ac:dyDescent="0.25">
      <c r="C128" s="9"/>
      <c r="D128" s="10"/>
      <c r="E128" s="10"/>
      <c r="F128" s="10"/>
      <c r="G128" s="10"/>
    </row>
    <row r="129" spans="3:7" x14ac:dyDescent="0.25">
      <c r="C129" s="9"/>
      <c r="D129" s="10"/>
      <c r="E129" s="10"/>
      <c r="F129" s="10"/>
      <c r="G129" s="10"/>
    </row>
    <row r="130" spans="3:7" x14ac:dyDescent="0.25">
      <c r="C130" s="9"/>
      <c r="D130" s="10"/>
      <c r="E130" s="10"/>
      <c r="F130" s="10"/>
      <c r="G130" s="10"/>
    </row>
    <row r="131" spans="3:7" x14ac:dyDescent="0.25">
      <c r="C131" s="9"/>
      <c r="D131" s="10"/>
      <c r="E131" s="10"/>
      <c r="F131" s="10"/>
      <c r="G131" s="10"/>
    </row>
    <row r="132" spans="3:7" x14ac:dyDescent="0.25">
      <c r="C132" s="9"/>
      <c r="D132" s="10"/>
      <c r="E132" s="10"/>
      <c r="F132" s="10"/>
      <c r="G132" s="10"/>
    </row>
    <row r="133" spans="3:7" x14ac:dyDescent="0.25">
      <c r="C133" s="9"/>
      <c r="D133" s="10"/>
      <c r="E133" s="10"/>
      <c r="F133" s="10"/>
      <c r="G133" s="10"/>
    </row>
    <row r="134" spans="3:7" x14ac:dyDescent="0.25">
      <c r="C134" s="9"/>
      <c r="D134" s="10"/>
      <c r="E134" s="10"/>
      <c r="F134" s="10"/>
      <c r="G134" s="10"/>
    </row>
    <row r="135" spans="3:7" x14ac:dyDescent="0.25">
      <c r="C135" s="9"/>
      <c r="D135" s="10"/>
      <c r="E135" s="10"/>
      <c r="F135" s="10"/>
      <c r="G135" s="10"/>
    </row>
    <row r="136" spans="3:7" x14ac:dyDescent="0.25">
      <c r="C136" s="9"/>
      <c r="D136" s="10"/>
      <c r="E136" s="10"/>
      <c r="F136" s="10"/>
      <c r="G136" s="10"/>
    </row>
    <row r="137" spans="3:7" x14ac:dyDescent="0.25">
      <c r="C137" s="13"/>
      <c r="D137" s="13"/>
      <c r="E137" s="13"/>
      <c r="F137" s="13"/>
      <c r="G137" s="13"/>
    </row>
    <row r="138" spans="3:7" x14ac:dyDescent="0.25">
      <c r="C138" s="11"/>
      <c r="D138" s="14"/>
      <c r="E138" s="14"/>
      <c r="F138" s="14"/>
      <c r="G138" s="14"/>
    </row>
    <row r="139" spans="3:7" x14ac:dyDescent="0.25">
      <c r="C139" s="13"/>
      <c r="D139" s="13"/>
      <c r="E139" s="13"/>
      <c r="F139" s="13"/>
      <c r="G139" s="13"/>
    </row>
    <row r="140" spans="3:7" x14ac:dyDescent="0.25">
      <c r="C140" s="11"/>
      <c r="D140" s="14"/>
      <c r="E140" s="14"/>
      <c r="F140" s="14"/>
      <c r="G140" s="14"/>
    </row>
    <row r="141" spans="3:7" x14ac:dyDescent="0.25">
      <c r="C141" s="13"/>
      <c r="D141" s="15"/>
      <c r="E141" s="15"/>
      <c r="F141" s="15"/>
      <c r="G141" s="15"/>
    </row>
    <row r="142" spans="3:7" x14ac:dyDescent="0.25">
      <c r="C142" s="9"/>
      <c r="D142" s="10"/>
      <c r="E142" s="10"/>
      <c r="F142" s="10"/>
      <c r="G142" s="10"/>
    </row>
    <row r="143" spans="3:7" x14ac:dyDescent="0.25">
      <c r="C143" s="9"/>
      <c r="D143" s="10"/>
      <c r="E143" s="10"/>
      <c r="F143" s="10"/>
      <c r="G143" s="10"/>
    </row>
    <row r="144" spans="3:7" x14ac:dyDescent="0.25">
      <c r="C144" s="13"/>
      <c r="D144" s="13"/>
      <c r="E144" s="13"/>
      <c r="F144" s="13"/>
      <c r="G144" s="13"/>
    </row>
    <row r="145" spans="3:7" x14ac:dyDescent="0.25">
      <c r="C145" s="11"/>
      <c r="D145" s="14"/>
      <c r="E145" s="14"/>
      <c r="F145" s="14"/>
      <c r="G145" s="14"/>
    </row>
    <row r="146" spans="3:7" x14ac:dyDescent="0.25">
      <c r="C146" s="13"/>
      <c r="D146" s="13"/>
      <c r="E146" s="13"/>
      <c r="F146" s="13"/>
      <c r="G146" s="13"/>
    </row>
  </sheetData>
  <mergeCells count="2">
    <mergeCell ref="C28:G28"/>
    <mergeCell ref="C8:I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7:Q184"/>
  <sheetViews>
    <sheetView showGridLines="0" workbookViewId="0">
      <selection activeCell="I80" sqref="D80:I80"/>
    </sheetView>
  </sheetViews>
  <sheetFormatPr baseColWidth="10" defaultRowHeight="15" x14ac:dyDescent="0.25"/>
  <cols>
    <col min="1" max="2" width="11.42578125" style="2" customWidth="1"/>
    <col min="3" max="3" width="35.7109375" style="2" bestFit="1" customWidth="1"/>
    <col min="4" max="8" width="8.140625" style="2" bestFit="1" customWidth="1"/>
    <col min="9" max="9" width="8.140625" style="2" customWidth="1"/>
    <col min="10" max="10" width="7.140625" style="2" customWidth="1"/>
    <col min="11" max="11" width="6.28515625" style="2" customWidth="1"/>
    <col min="12" max="12" width="31.5703125" style="2" bestFit="1" customWidth="1"/>
    <col min="13" max="17" width="11.42578125" style="2" customWidth="1"/>
    <col min="18" max="18" width="13.42578125" style="2" customWidth="1"/>
    <col min="19" max="19" width="8.28515625" style="2" bestFit="1" customWidth="1"/>
    <col min="20" max="20" width="8.85546875" style="2" bestFit="1" customWidth="1"/>
    <col min="21" max="22" width="8.42578125" style="2" bestFit="1" customWidth="1"/>
    <col min="23" max="16384" width="11.42578125" style="2"/>
  </cols>
  <sheetData>
    <row r="7" spans="3:17" ht="15.75" thickBot="1" x14ac:dyDescent="0.3"/>
    <row r="8" spans="3:17" ht="24" customHeight="1" thickBot="1" x14ac:dyDescent="0.3">
      <c r="C8" s="380" t="s">
        <v>261</v>
      </c>
      <c r="D8" s="381"/>
      <c r="E8" s="381"/>
      <c r="F8" s="381"/>
      <c r="G8" s="381"/>
      <c r="H8" s="381"/>
      <c r="I8" s="382"/>
      <c r="L8" s="380" t="s">
        <v>262</v>
      </c>
      <c r="M8" s="381"/>
      <c r="N8" s="381"/>
      <c r="O8" s="381"/>
      <c r="P8" s="381"/>
      <c r="Q8" s="382"/>
    </row>
    <row r="9" spans="3:17" ht="24" customHeight="1" x14ac:dyDescent="0.25">
      <c r="C9" s="34" t="s">
        <v>209</v>
      </c>
      <c r="L9" s="34" t="s">
        <v>209</v>
      </c>
    </row>
    <row r="11" spans="3:17" x14ac:dyDescent="0.25">
      <c r="C11" s="3"/>
      <c r="D11" s="4">
        <v>2008</v>
      </c>
      <c r="E11" s="4">
        <v>2009</v>
      </c>
      <c r="F11" s="4">
        <v>2010</v>
      </c>
      <c r="G11" s="4">
        <v>2011</v>
      </c>
      <c r="H11" s="4">
        <v>2012</v>
      </c>
      <c r="I11" s="4">
        <v>2013</v>
      </c>
      <c r="M11" s="4" t="s">
        <v>266</v>
      </c>
      <c r="N11" s="4" t="s">
        <v>267</v>
      </c>
      <c r="O11" s="4" t="s">
        <v>268</v>
      </c>
      <c r="P11" s="4" t="s">
        <v>269</v>
      </c>
      <c r="Q11" s="4" t="s">
        <v>300</v>
      </c>
    </row>
    <row r="12" spans="3:17" x14ac:dyDescent="0.25">
      <c r="C12" s="3"/>
      <c r="D12" s="3"/>
      <c r="E12" s="3"/>
      <c r="F12" s="3"/>
      <c r="G12" s="3"/>
      <c r="H12" s="3"/>
      <c r="I12" s="3"/>
    </row>
    <row r="13" spans="3:17" x14ac:dyDescent="0.25">
      <c r="C13" s="5" t="s">
        <v>0</v>
      </c>
      <c r="D13" s="3"/>
      <c r="E13" s="3"/>
      <c r="F13" s="3"/>
      <c r="G13" s="3"/>
      <c r="H13" s="3"/>
      <c r="I13" s="3"/>
      <c r="L13" s="5" t="s">
        <v>0</v>
      </c>
    </row>
    <row r="14" spans="3:17" x14ac:dyDescent="0.25">
      <c r="C14" s="3"/>
      <c r="D14" s="3"/>
      <c r="E14" s="3"/>
      <c r="F14" s="3"/>
      <c r="G14" s="3"/>
      <c r="H14" s="3"/>
      <c r="I14" s="3"/>
    </row>
    <row r="15" spans="3:17" x14ac:dyDescent="0.25">
      <c r="C15" s="5" t="s">
        <v>1</v>
      </c>
      <c r="D15" s="3"/>
      <c r="E15" s="3"/>
      <c r="F15" s="3"/>
      <c r="G15" s="6"/>
      <c r="H15" s="6"/>
      <c r="I15" s="6"/>
      <c r="L15" s="5" t="s">
        <v>1</v>
      </c>
    </row>
    <row r="17" spans="3:17" x14ac:dyDescent="0.25">
      <c r="C17" s="21" t="s">
        <v>2</v>
      </c>
      <c r="D17" s="37">
        <f>+'BG2008-2013'!E17/'BG2008-2013'!$E$25</f>
        <v>8.1788484684666832E-2</v>
      </c>
      <c r="E17" s="37">
        <f>+'BG2008-2013'!F17/'BG2008-2013'!$F$25</f>
        <v>4.4147877933302666E-2</v>
      </c>
      <c r="F17" s="37">
        <f>+'BG2008-2013'!G17/'BG2008-2013'!$G$25</f>
        <v>7.5340958644947303E-3</v>
      </c>
      <c r="G17" s="37">
        <f>+'BG2008-2013'!H17/'BG2008-2013'!$H$25</f>
        <v>4.4383044949316865E-2</v>
      </c>
      <c r="H17" s="35">
        <f>+'BG2008-2013'!I17/'BG2008-2013'!$I$25</f>
        <v>3.7010975438219851E-2</v>
      </c>
      <c r="I17" s="35">
        <f>+'BG2008-2013'!J17/'BG2008-2013'!$I$25</f>
        <v>4.4929632533197345E-2</v>
      </c>
      <c r="L17" s="21" t="s">
        <v>2</v>
      </c>
      <c r="M17" s="37">
        <f>+('BG2008-2013'!F17-'BG2008-2013'!A1)/'BG2008-2013'!E17</f>
        <v>0.58981880776604756</v>
      </c>
      <c r="N17" s="37">
        <f>+('BG2008-2013'!G17-'BG2008-2013'!B1)/'BG2008-2013'!F17</f>
        <v>0.4288669192438323</v>
      </c>
      <c r="O17" s="37">
        <f>+('BG2008-2013'!H17-'BG2008-2013'!C1)/'BG2008-2013'!G17</f>
        <v>8.9391660063331919</v>
      </c>
      <c r="P17" s="37">
        <f>+('BG2008-2013'!I17-'BG2008-2013'!D1)/'BG2008-2013'!H17</f>
        <v>0.47788243242841927</v>
      </c>
      <c r="Q17" s="37">
        <f>+('BG2008-2013'!J17-'BG2008-2013'!E1)/'BG2008-2013'!I17</f>
        <v>1.2139542933202512</v>
      </c>
    </row>
    <row r="18" spans="3:17" x14ac:dyDescent="0.25">
      <c r="C18" s="21" t="s">
        <v>3</v>
      </c>
      <c r="D18" s="37">
        <f>+'BG2008-2013'!E18/'BG2008-2013'!$E$25</f>
        <v>0.26419468361357362</v>
      </c>
      <c r="E18" s="37">
        <f>+'BG2008-2013'!F18/'BG2008-2013'!$F$25</f>
        <v>0.28208681419937381</v>
      </c>
      <c r="F18" s="37">
        <f>+'BG2008-2013'!G18/'BG2008-2013'!$G$25</f>
        <v>7.7162263467060607E-2</v>
      </c>
      <c r="G18" s="37">
        <f>+'BG2008-2013'!H18/'BG2008-2013'!$H$25</f>
        <v>7.7724091068764531E-2</v>
      </c>
      <c r="H18" s="35">
        <f>+'BG2008-2013'!I18/'BG2008-2013'!$I$25</f>
        <v>4.3133386149550368E-2</v>
      </c>
      <c r="I18" s="35">
        <f>+'BG2008-2013'!J18/'BG2008-2013'!$I$25</f>
        <v>0.15518202385598193</v>
      </c>
      <c r="L18" s="21" t="s">
        <v>3</v>
      </c>
      <c r="M18" s="37">
        <f>+('BG2008-2013'!F18-'BG2008-2013'!A2)/'BG2008-2013'!E18</f>
        <v>1.1667012357234958</v>
      </c>
      <c r="N18" s="37">
        <f>+('BG2008-2013'!G18-'BG2008-2013'!B2)/'BG2008-2013'!F18</f>
        <v>0.68742197608617583</v>
      </c>
      <c r="O18" s="37">
        <f>+('BG2008-2013'!H18-'BG2008-2013'!C2)/'BG2008-2013'!G18</f>
        <v>1.528486979374136</v>
      </c>
      <c r="P18" s="37">
        <f>+('BG2008-2013'!I18-'BG2008-2013'!D2)/'BG2008-2013'!H18</f>
        <v>0.31802812588640311</v>
      </c>
      <c r="Q18" s="37">
        <f>+('BG2008-2013'!J18-'BG2008-2013'!E2)/'BG2008-2013'!I18</f>
        <v>3.59772412297845</v>
      </c>
    </row>
    <row r="19" spans="3:17" x14ac:dyDescent="0.25">
      <c r="C19" s="21" t="s">
        <v>4</v>
      </c>
      <c r="D19" s="37">
        <f>+'BG2008-2013'!E19/'BG2008-2013'!$E$25</f>
        <v>0.60523157631328839</v>
      </c>
      <c r="E19" s="37">
        <f>+'BG2008-2013'!F19/'BG2008-2013'!$F$25</f>
        <v>0.62192420241132074</v>
      </c>
      <c r="F19" s="37">
        <f>+'BG2008-2013'!G19/'BG2008-2013'!$G$25</f>
        <v>0.20976436358232953</v>
      </c>
      <c r="G19" s="37">
        <f>+'BG2008-2013'!H19/'BG2008-2013'!$H$25</f>
        <v>0.32671486325291393</v>
      </c>
      <c r="H19" s="35">
        <f>+'BG2008-2013'!I19/'BG2008-2013'!$I$25</f>
        <v>0.75923170652276606</v>
      </c>
      <c r="I19" s="35">
        <f>+'BG2008-2013'!J19/'BG2008-2013'!$I$25</f>
        <v>0.74697557608052445</v>
      </c>
      <c r="L19" s="21" t="s">
        <v>4</v>
      </c>
      <c r="M19" s="37">
        <f>+('BG2008-2013'!F19-'BG2008-2013'!A3)/'BG2008-2013'!E19</f>
        <v>1.1228372856106767</v>
      </c>
      <c r="N19" s="37">
        <f>+('BG2008-2013'!G19-'BG2008-2013'!B3)/'BG2008-2013'!F19</f>
        <v>0.84760886482331266</v>
      </c>
      <c r="O19" s="37">
        <f>+('BG2008-2013'!H19-'BG2008-2013'!C3)/'BG2008-2013'!G19</f>
        <v>2.3634598758844549</v>
      </c>
      <c r="P19" s="37">
        <f>+('BG2008-2013'!I19-'BG2008-2013'!D3)/'BG2008-2013'!H19</f>
        <v>1.3317204619299019</v>
      </c>
      <c r="Q19" s="37">
        <f>+('BG2008-2013'!J19-'BG2008-2013'!E3)/'BG2008-2013'!I19</f>
        <v>0.98385719361171842</v>
      </c>
    </row>
    <row r="20" spans="3:17" x14ac:dyDescent="0.25">
      <c r="C20" s="21" t="s">
        <v>5</v>
      </c>
      <c r="D20" s="37">
        <f>+'BG2008-2013'!E20/'BG2008-2013'!$E$25</f>
        <v>3.705954896464346E-2</v>
      </c>
      <c r="E20" s="37">
        <f>+'BG2008-2013'!F20/'BG2008-2013'!$F$25</f>
        <v>3.6833034157689695E-2</v>
      </c>
      <c r="F20" s="37">
        <f>+'BG2008-2013'!G20/'BG2008-2013'!$G$25</f>
        <v>1.8079632262537365E-2</v>
      </c>
      <c r="G20" s="37">
        <f>+'BG2008-2013'!H20/'BG2008-2013'!$H$25</f>
        <v>3.2551898308684511E-2</v>
      </c>
      <c r="H20" s="35">
        <f>+'BG2008-2013'!I20/'BG2008-2013'!$I$25</f>
        <v>0.11423613016771801</v>
      </c>
      <c r="I20" s="35">
        <f>+'BG2008-2013'!J20/'BG2008-2013'!$I$25</f>
        <v>0.10800632282684768</v>
      </c>
      <c r="L20" s="21" t="s">
        <v>5</v>
      </c>
      <c r="M20" s="37">
        <f>+('BG2008-2013'!F20-'BG2008-2013'!A4)/'BG2008-2013'!E20</f>
        <v>1.086021222747694</v>
      </c>
      <c r="N20" s="37">
        <f>+('BG2008-2013'!G20-'BG2008-2013'!B4)/'BG2008-2013'!F20</f>
        <v>1.2335402821551891</v>
      </c>
      <c r="O20" s="37">
        <f>+('BG2008-2013'!H20-'BG2008-2013'!C4)/'BG2008-2013'!G20</f>
        <v>2.7321074629258253</v>
      </c>
      <c r="P20" s="37">
        <f>+('BG2008-2013'!I20-'BG2008-2013'!D4)/'BG2008-2013'!H20</f>
        <v>2.0111052097918978</v>
      </c>
      <c r="Q20" s="37">
        <f>+('BG2008-2013'!J20-'BG2008-2013'!E4)/'BG2008-2013'!I20</f>
        <v>0.94546552538392248</v>
      </c>
    </row>
    <row r="21" spans="3:17" x14ac:dyDescent="0.25">
      <c r="C21" s="21" t="s">
        <v>6</v>
      </c>
      <c r="D21" s="37">
        <f>+'BG2008-2013'!E21/'BG2008-2013'!$E$25</f>
        <v>0</v>
      </c>
      <c r="E21" s="37">
        <f>+'BG2008-2013'!F21/'BG2008-2013'!$F$25</f>
        <v>0</v>
      </c>
      <c r="F21" s="37">
        <f>+'BG2008-2013'!G21/'BG2008-2013'!$G$25</f>
        <v>0</v>
      </c>
      <c r="G21" s="37">
        <f>+'BG2008-2013'!H21/'BG2008-2013'!$H$25</f>
        <v>6.5872984575587488E-4</v>
      </c>
      <c r="H21" s="35">
        <f>+'BG2008-2013'!I21/'BG2008-2013'!$I$25</f>
        <v>1.2718307419744899E-3</v>
      </c>
      <c r="I21" s="35">
        <f>+'BG2008-2013'!J21/'BG2008-2013'!$I$25</f>
        <v>7.3946927725822081E-5</v>
      </c>
      <c r="L21" s="21" t="s">
        <v>6</v>
      </c>
      <c r="M21" s="37">
        <v>0</v>
      </c>
      <c r="N21" s="37">
        <v>0</v>
      </c>
      <c r="O21" s="37">
        <v>0</v>
      </c>
      <c r="P21" s="37">
        <f>+('BG2008-2013'!I21-'BG2008-2013'!D5)/'BG2008-2013'!H21</f>
        <v>1.1064444276653578</v>
      </c>
      <c r="Q21" s="37">
        <f>+('BG2008-2013'!J21-'BG2008-2013'!E5)/'BG2008-2013'!I21</f>
        <v>5.8142113793397593E-2</v>
      </c>
    </row>
    <row r="22" spans="3:17" x14ac:dyDescent="0.25">
      <c r="C22" s="21" t="s">
        <v>7</v>
      </c>
      <c r="D22" s="37">
        <f>+'BG2008-2013'!E22/'BG2008-2013'!$E$25</f>
        <v>1.1725706423827727E-2</v>
      </c>
      <c r="E22" s="37">
        <f>+'BG2008-2013'!F22/'BG2008-2013'!$F$25</f>
        <v>1.500807129831298E-2</v>
      </c>
      <c r="F22" s="37">
        <f>+'BG2008-2013'!G22/'BG2008-2013'!$G$25</f>
        <v>1.1795217575638893E-2</v>
      </c>
      <c r="G22" s="37">
        <f>+'BG2008-2013'!H22/'BG2008-2013'!$H$25</f>
        <v>3.4805143332196017E-2</v>
      </c>
      <c r="H22" s="35">
        <f>+'BG2008-2013'!I22/'BG2008-2013'!$I$25</f>
        <v>4.5115970979771235E-2</v>
      </c>
      <c r="I22" s="35">
        <f>+'BG2008-2013'!J22/'BG2008-2013'!$I$25</f>
        <v>2.4846402054731688E-2</v>
      </c>
      <c r="L22" s="21" t="s">
        <v>7</v>
      </c>
      <c r="M22" s="37">
        <f>+('BG2008-2013'!F22-'BG2008-2013'!A6)/'BG2008-2013'!E22</f>
        <v>1.3985783900439579</v>
      </c>
      <c r="N22" s="37">
        <f>+('BG2008-2013'!G22-'BG2008-2013'!B6)/'BG2008-2013'!F22</f>
        <v>1.9750691768101765</v>
      </c>
      <c r="O22" s="37">
        <f>+('BG2008-2013'!H22-'BG2008-2013'!C6)/'BG2008-2013'!G22</f>
        <v>4.4776332661894074</v>
      </c>
      <c r="P22" s="37">
        <f>+('BG2008-2013'!I22-'BG2008-2013'!D6)/'BG2008-2013'!H22</f>
        <v>0.74283868168665168</v>
      </c>
      <c r="Q22" s="37">
        <f>+('BG2008-2013'!J22-'BG2008-2013'!E6)/'BG2008-2013'!I22</f>
        <v>0.55072298157723643</v>
      </c>
    </row>
    <row r="23" spans="3:17" x14ac:dyDescent="0.25">
      <c r="C23" s="21" t="s">
        <v>8</v>
      </c>
      <c r="D23" s="37">
        <f>+'BG2008-2013'!E23/'BG2008-2013'!$E$25</f>
        <v>0</v>
      </c>
      <c r="E23" s="37">
        <f>+'BG2008-2013'!F23/'BG2008-2013'!$F$25</f>
        <v>0</v>
      </c>
      <c r="F23" s="37">
        <f>+'BG2008-2013'!G23/'BG2008-2013'!$G$25</f>
        <v>0.67566442724793885</v>
      </c>
      <c r="G23" s="37">
        <f>+'BG2008-2013'!H23/'BG2008-2013'!$H$25</f>
        <v>0.48316222924236824</v>
      </c>
      <c r="H23" s="35">
        <f>+'BG2008-2013'!I23/'BG2008-2013'!$I$25</f>
        <v>0</v>
      </c>
      <c r="I23" s="35">
        <f>+'BG2008-2013'!J23/'BG2008-2013'!$I$25</f>
        <v>0</v>
      </c>
      <c r="L23" s="21" t="s">
        <v>8</v>
      </c>
      <c r="M23" s="37">
        <v>0</v>
      </c>
      <c r="N23" s="37">
        <v>0</v>
      </c>
      <c r="O23" s="37">
        <f>+('BG2008-2013'!H23-'BG2008-2013'!C7)/'BG2008-2013'!G23</f>
        <v>1.0851080167070319</v>
      </c>
      <c r="P23" s="37">
        <f>+('BG2008-2013'!I23-'BG2008-2013'!D7)/'BG2008-2013'!H23</f>
        <v>0</v>
      </c>
      <c r="Q23" s="37">
        <v>0</v>
      </c>
    </row>
    <row r="25" spans="3:17" x14ac:dyDescent="0.25">
      <c r="C25" s="5" t="s">
        <v>9</v>
      </c>
      <c r="D25" s="47">
        <f>+'BG2008-2013'!E25/'BG2008-2013'!E38</f>
        <v>0.28897402980369352</v>
      </c>
      <c r="E25" s="47">
        <f>+'BG2008-2013'!F25/'BG2008-2013'!F38</f>
        <v>0.25864260597356103</v>
      </c>
      <c r="F25" s="47">
        <f>+'BG2008-2013'!G25/'BG2008-2013'!G38</f>
        <v>0.52086943812937636</v>
      </c>
      <c r="G25" s="47">
        <f>+'BG2008-2013'!H25/'BG2008-2013'!H38</f>
        <v>0.57642986282692166</v>
      </c>
      <c r="H25" s="47">
        <f>+'BG2008-2013'!I25/'BG2008-2013'!I38</f>
        <v>0.28482530007428342</v>
      </c>
      <c r="I25" s="47">
        <f>+'BG2008-2013'!J25/'BG2008-2013'!J38</f>
        <v>0.29046565273278901</v>
      </c>
      <c r="L25" s="5" t="s">
        <v>9</v>
      </c>
      <c r="M25" s="47">
        <f>+('BG2008-2013'!F25-'BG2008-2013'!E25)/'BG2008-2013'!E25</f>
        <v>9.2700006976145319E-2</v>
      </c>
      <c r="N25" s="47">
        <f>+('BG2008-2013'!G25-'BG2008-2013'!F25)/'BG2008-2013'!F25</f>
        <v>1.5130506355294495</v>
      </c>
      <c r="O25" s="47">
        <f>+('BG2008-2013'!H25-'BG2008-2013'!G25)/'BG2008-2013'!G25</f>
        <v>0.5174383307241609</v>
      </c>
      <c r="P25" s="47">
        <f>+('BG2008-2013'!I25-'BG2008-2013'!H25)/'BG2008-2013'!H25</f>
        <v>-0.42693005985849364</v>
      </c>
      <c r="Q25" s="47">
        <f>+('BG2008-2013'!J25-'BG2008-2013'!I25)/'BG2008-2013'!I25</f>
        <v>8.0013904279008938E-2</v>
      </c>
    </row>
    <row r="26" spans="3:17" x14ac:dyDescent="0.25">
      <c r="C26" s="5"/>
      <c r="D26" s="7"/>
      <c r="E26" s="7"/>
      <c r="F26" s="7"/>
      <c r="G26" s="7"/>
      <c r="H26" s="7"/>
      <c r="I26" s="7"/>
    </row>
    <row r="27" spans="3:17" x14ac:dyDescent="0.25">
      <c r="C27" s="5" t="s">
        <v>20</v>
      </c>
      <c r="D27" s="7"/>
      <c r="E27" s="7"/>
      <c r="F27" s="7"/>
      <c r="G27" s="7"/>
      <c r="H27" s="7"/>
      <c r="I27" s="7"/>
      <c r="L27" s="5" t="s">
        <v>20</v>
      </c>
    </row>
    <row r="29" spans="3:17" x14ac:dyDescent="0.25">
      <c r="C29" s="21" t="s">
        <v>10</v>
      </c>
      <c r="D29" s="37">
        <f>+'BG2008-2013'!E29/'BG2008-2013'!$E$36</f>
        <v>6.1442454555671829E-2</v>
      </c>
      <c r="E29" s="37">
        <f>+'BG2008-2013'!F29/'BG2008-2013'!$F$36</f>
        <v>5.7508475961504768E-2</v>
      </c>
      <c r="F29" s="37">
        <f>+'BG2008-2013'!G29/'BG2008-2013'!$G$36</f>
        <v>0.17527117190976899</v>
      </c>
      <c r="G29" s="37">
        <f>+'BG2008-2013'!H29/'BG2008-2013'!$H$36</f>
        <v>0.18768487268518627</v>
      </c>
      <c r="H29" s="37">
        <f>+'BG2008-2013'!I29/'BG2008-2013'!$I$36</f>
        <v>0.15765404388600199</v>
      </c>
      <c r="I29" s="37">
        <f>+'BG2008-2013'!J29/'BG2008-2013'!$I$36</f>
        <v>0.1790326696069339</v>
      </c>
      <c r="L29" s="21" t="s">
        <v>10</v>
      </c>
      <c r="M29" s="37">
        <f>+('BG2008-2013'!F29-'BG2008-2013'!E29)/'BG2008-2013'!E29</f>
        <v>0.1914207349648796</v>
      </c>
      <c r="N29" s="37">
        <f>+('BG2008-2013'!G29-'BG2008-2013'!F29)/'BG2008-2013'!F29</f>
        <v>1.4579741597535965</v>
      </c>
      <c r="O29" s="37">
        <f>+('BG2008-2013'!H29-'BG2008-2013'!G29)/'BG2008-2013'!G29</f>
        <v>0.29802690302713175</v>
      </c>
      <c r="P29" s="37">
        <f>+('BG2008-2013'!I29-'BG2008-2013'!H29)/'BG2008-2013'!H29</f>
        <v>0.64489503884156751</v>
      </c>
      <c r="Q29" s="37">
        <f>+('BG2008-2013'!J29-'BG2008-2013'!I29)/'BG2008-2013'!I29</f>
        <v>0.13560467713971597</v>
      </c>
    </row>
    <row r="30" spans="3:17" x14ac:dyDescent="0.25">
      <c r="C30" s="21" t="s">
        <v>4</v>
      </c>
      <c r="D30" s="37">
        <f>+'BG2008-2013'!E30/'BG2008-2013'!$E$36</f>
        <v>1.7010147314987754E-2</v>
      </c>
      <c r="E30" s="37">
        <f>+'BG2008-2013'!F30/'BG2008-2013'!$F$36</f>
        <v>1.2631563337790731E-2</v>
      </c>
      <c r="F30" s="37">
        <f>+'BG2008-2013'!G30/'BG2008-2013'!$G$36</f>
        <v>0.14254815972765714</v>
      </c>
      <c r="G30" s="37">
        <f>+'BG2008-2013'!H30/'BG2008-2013'!$H$36</f>
        <v>0.10196073329583349</v>
      </c>
      <c r="H30" s="37">
        <f>+'BG2008-2013'!I30/'BG2008-2013'!$I$36</f>
        <v>0.18260815710154887</v>
      </c>
      <c r="I30" s="37">
        <f>+'BG2008-2013'!J30/'BG2008-2013'!$I$36</f>
        <v>0.24825518485039913</v>
      </c>
      <c r="L30" s="21" t="s">
        <v>4</v>
      </c>
      <c r="M30" s="37">
        <f>+('BG2008-2013'!F30-'BG2008-2013'!E30)/'BG2008-2013'!E30</f>
        <v>-5.4740867691268527E-2</v>
      </c>
      <c r="N30" s="37">
        <f>+('BG2008-2013'!G30-'BG2008-2013'!F30)/'BG2008-2013'!F30</f>
        <v>8.1012950097817882</v>
      </c>
      <c r="O30" s="37">
        <f>+('BG2008-2013'!H30-'BG2008-2013'!G30)/'BG2008-2013'!G30</f>
        <v>-0.13296575825842377</v>
      </c>
      <c r="P30" s="37">
        <f>+('BG2008-2013'!I30-'BG2008-2013'!H30)/'BG2008-2013'!H30</f>
        <v>2.5071114651106501</v>
      </c>
      <c r="Q30" s="37">
        <f>+('BG2008-2013'!J30-'BG2008-2013'!I30)/'BG2008-2013'!I30</f>
        <v>0.35949668837818555</v>
      </c>
    </row>
    <row r="31" spans="3:17" x14ac:dyDescent="0.25">
      <c r="C31" s="21" t="s">
        <v>11</v>
      </c>
      <c r="D31" s="37">
        <f>+'BG2008-2013'!E31/'BG2008-2013'!$E$36</f>
        <v>3.6792026197424867E-2</v>
      </c>
      <c r="E31" s="37">
        <f>+'BG2008-2013'!F31/'BG2008-2013'!$F$36</f>
        <v>7.7230972239721904E-2</v>
      </c>
      <c r="F31" s="37">
        <f>+'BG2008-2013'!G31/'BG2008-2013'!$G$36</f>
        <v>0.14373222778961434</v>
      </c>
      <c r="G31" s="37">
        <f>+'BG2008-2013'!H31/'BG2008-2013'!$H$36</f>
        <v>0.18497409817773935</v>
      </c>
      <c r="H31" s="37">
        <f>+'BG2008-2013'!I31/'BG2008-2013'!$I$36</f>
        <v>7.9164889947114014E-2</v>
      </c>
      <c r="I31" s="37">
        <f>+'BG2008-2013'!J31/'BG2008-2013'!$I$36</f>
        <v>7.2419767896169981E-2</v>
      </c>
      <c r="L31" s="21" t="s">
        <v>11</v>
      </c>
      <c r="M31" s="37">
        <f>+('BG2008-2013'!F31-'BG2008-2013'!E31)/'BG2008-2013'!E31</f>
        <v>1.6720196576756718</v>
      </c>
      <c r="N31" s="37">
        <f>+('BG2008-2013'!G31-'BG2008-2013'!F31)/'BG2008-2013'!F31</f>
        <v>0.50093310221335563</v>
      </c>
      <c r="O31" s="37">
        <f>+('BG2008-2013'!H31-'BG2008-2013'!G31)/'BG2008-2013'!G31</f>
        <v>0.55998950211541798</v>
      </c>
      <c r="P31" s="37">
        <f>+('BG2008-2013'!I31-'BG2008-2013'!H31)/'BG2008-2013'!H31</f>
        <v>-0.16192277351758655</v>
      </c>
      <c r="Q31" s="37">
        <f>+('BG2008-2013'!J31-'BG2008-2013'!I31)/'BG2008-2013'!I31</f>
        <v>-8.5203453897935072E-2</v>
      </c>
    </row>
    <row r="32" spans="3:17" x14ac:dyDescent="0.25">
      <c r="C32" s="21" t="s">
        <v>12</v>
      </c>
      <c r="D32" s="37">
        <f>+'BG2008-2013'!E32/'BG2008-2013'!$E$36</f>
        <v>0.32786466359678074</v>
      </c>
      <c r="E32" s="37">
        <f>+'BG2008-2013'!F32/'BG2008-2013'!$F$36</f>
        <v>0.25652510290160463</v>
      </c>
      <c r="F32" s="37">
        <f>+'BG2008-2013'!G32/'BG2008-2013'!$G$36</f>
        <v>0.36386415154108581</v>
      </c>
      <c r="G32" s="37">
        <f>+'BG2008-2013'!H32/'BG2008-2013'!$H$36</f>
        <v>0.19450648278951987</v>
      </c>
      <c r="H32" s="37">
        <f>+'BG2008-2013'!I32/'BG2008-2013'!$I$36</f>
        <v>7.436933070196361E-2</v>
      </c>
      <c r="I32" s="37">
        <f>+'BG2008-2013'!J32/'BG2008-2013'!$I$36</f>
        <v>6.3333782314631007E-2</v>
      </c>
      <c r="L32" s="21" t="s">
        <v>12</v>
      </c>
      <c r="M32" s="37">
        <f>+('BG2008-2013'!F32-'BG2008-2013'!E32)/'BG2008-2013'!E32</f>
        <v>-4.0509744904422959E-3</v>
      </c>
      <c r="N32" s="37">
        <f>+('BG2008-2013'!G32-'BG2008-2013'!F32)/'BG2008-2013'!F32</f>
        <v>0.14395273438622014</v>
      </c>
      <c r="O32" s="37">
        <f>+('BG2008-2013'!H32-'BG2008-2013'!G32)/'BG2008-2013'!G32</f>
        <v>-0.35202280050804696</v>
      </c>
      <c r="P32" s="37">
        <f>+('BG2008-2013'!I32-'BG2008-2013'!H32)/'BG2008-2013'!H32</f>
        <v>-0.25127533860260781</v>
      </c>
      <c r="Q32" s="37">
        <f>+('BG2008-2013'!J32-'BG2008-2013'!I32)/'BG2008-2013'!I32</f>
        <v>-0.14838843220947825</v>
      </c>
    </row>
    <row r="33" spans="3:17" x14ac:dyDescent="0.25">
      <c r="C33" s="21" t="s">
        <v>7</v>
      </c>
      <c r="D33" s="37">
        <f>+'BG2008-2013'!E33/'BG2008-2013'!$E$36</f>
        <v>0</v>
      </c>
      <c r="E33" s="37">
        <f>+'BG2008-2013'!F33/'BG2008-2013'!$F$36</f>
        <v>6.869753722416461E-3</v>
      </c>
      <c r="F33" s="37">
        <f>+'BG2008-2013'!G33/'BG2008-2013'!$G$36</f>
        <v>8.4248134462254522E-3</v>
      </c>
      <c r="G33" s="37">
        <f>+'BG2008-2013'!H33/'BG2008-2013'!$H$36</f>
        <v>3.330424299501734E-3</v>
      </c>
      <c r="H33" s="37">
        <f>+'BG2008-2013'!I33/'BG2008-2013'!$I$36</f>
        <v>4.5313207748825547E-4</v>
      </c>
      <c r="I33" s="37">
        <f>+'BG2008-2013'!J33/'BG2008-2013'!$I$36</f>
        <v>1.6577079674414444E-4</v>
      </c>
      <c r="L33" s="21" t="s">
        <v>7</v>
      </c>
      <c r="M33" s="37">
        <v>0</v>
      </c>
      <c r="N33" s="37">
        <f>+('BG2008-2013'!G33-'BG2008-2013'!F33)/'BG2008-2013'!F33</f>
        <v>-1.095100559205401E-2</v>
      </c>
      <c r="O33" s="37">
        <f>+('BG2008-2013'!H33-'BG2008-2013'!G33)/'BG2008-2013'!G33</f>
        <v>-0.52081392636641688</v>
      </c>
      <c r="P33" s="37">
        <f>+('BG2008-2013'!I33-'BG2008-2013'!H33)/'BG2008-2013'!H33</f>
        <v>-0.73356726287196783</v>
      </c>
      <c r="Q33" s="37">
        <f>+('BG2008-2013'!J33-'BG2008-2013'!I33)/'BG2008-2013'!I33</f>
        <v>-0.63416671434292582</v>
      </c>
    </row>
    <row r="34" spans="3:17" x14ac:dyDescent="0.25">
      <c r="C34" s="21" t="s">
        <v>8</v>
      </c>
      <c r="D34" s="37">
        <f>+'BG2008-2013'!E34/'BG2008-2013'!$E$36</f>
        <v>0.55689070833513488</v>
      </c>
      <c r="E34" s="37">
        <f>+'BG2008-2013'!F34/'BG2008-2013'!$F$36</f>
        <v>0.58923413183696138</v>
      </c>
      <c r="F34" s="37">
        <f>+'BG2008-2013'!G34/'BG2008-2013'!$G$36</f>
        <v>0.16615947558564836</v>
      </c>
      <c r="G34" s="37">
        <f>+'BG2008-2013'!H34/'BG2008-2013'!$H$36</f>
        <v>0.32754338875221933</v>
      </c>
      <c r="H34" s="37">
        <f>+'BG2008-2013'!I34/'BG2008-2013'!$I$36</f>
        <v>0.50575044628588317</v>
      </c>
      <c r="I34" s="37">
        <f>+'BG2008-2013'!J34/'BG2008-2013'!$I$36</f>
        <v>0.48748235965386016</v>
      </c>
      <c r="L34" s="21" t="s">
        <v>8</v>
      </c>
      <c r="M34" s="37">
        <f>+('BG2008-2013'!F34-'BG2008-2013'!E34)/'BG2008-2013'!E34</f>
        <v>0.34685169298129515</v>
      </c>
      <c r="N34" s="37">
        <f>+('BG2008-2013'!G34-'BG2008-2013'!F34)/'BG2008-2013'!F34</f>
        <v>-0.77257620723805054</v>
      </c>
      <c r="O34" s="37">
        <f>+('BG2008-2013'!H34-'BG2008-2013'!G34)/'BG2008-2013'!G34</f>
        <v>1.389508827276756</v>
      </c>
      <c r="P34" s="37">
        <f>+('BG2008-2013'!I34-'BG2008-2013'!H34)/'BG2008-2013'!H34</f>
        <v>2.0236379149759873</v>
      </c>
      <c r="Q34" s="37">
        <f>+('BG2008-2013'!J34-'BG2008-2013'!I34)/'BG2008-2013'!I34</f>
        <v>-3.6120752371411047E-2</v>
      </c>
    </row>
    <row r="36" spans="3:17" x14ac:dyDescent="0.25">
      <c r="C36" s="5" t="s">
        <v>14</v>
      </c>
      <c r="D36" s="47">
        <f>+'BG2008-2013'!E36/'BG2008-2013'!E38</f>
        <v>0.71102597019630642</v>
      </c>
      <c r="E36" s="47">
        <f>+'BG2008-2013'!F36/'BG2008-2013'!F38</f>
        <v>0.74135739402643885</v>
      </c>
      <c r="F36" s="47">
        <f>+'BG2008-2013'!G36/'BG2008-2013'!G38</f>
        <v>0.47913056187062358</v>
      </c>
      <c r="G36" s="47">
        <f>+'BG2008-2013'!H36/'BG2008-2013'!H38</f>
        <v>0.42357013717307845</v>
      </c>
      <c r="H36" s="47">
        <f>+'BG2008-2013'!I36/'BG2008-2013'!I38</f>
        <v>0.71517469992571658</v>
      </c>
      <c r="I36" s="47">
        <f>+'BG2008-2013'!J36/'BG2008-2013'!J38</f>
        <v>0.70953434726721099</v>
      </c>
      <c r="L36" s="5" t="s">
        <v>14</v>
      </c>
      <c r="M36" s="47">
        <f>+('BG2008-2013'!F36-'BG2008-2013'!E36)/'BG2008-2013'!E36</f>
        <v>0.27292217609394098</v>
      </c>
      <c r="N36" s="47">
        <f>+('BG2008-2013'!G36-'BG2008-2013'!F36)/'BG2008-2013'!F36</f>
        <v>-0.19351056799597408</v>
      </c>
      <c r="O36" s="47">
        <f>+('BG2008-2013'!H36-'BG2008-2013'!G36)/'BG2008-2013'!G36</f>
        <v>0.21217385934764396</v>
      </c>
      <c r="P36" s="47">
        <f>+('BG2008-2013'!I36-'BG2008-2013'!H36)/'BG2008-2013'!H36</f>
        <v>0.95822389540929109</v>
      </c>
      <c r="Q36" s="47">
        <f>+('BG2008-2013'!J36-'BG2008-2013'!I36)/'BG2008-2013'!I36</f>
        <v>5.0689535118738534E-2</v>
      </c>
    </row>
    <row r="37" spans="3:17" x14ac:dyDescent="0.25">
      <c r="M37" s="38"/>
      <c r="N37" s="38"/>
      <c r="O37" s="38"/>
      <c r="P37" s="38"/>
      <c r="Q37" s="38"/>
    </row>
    <row r="38" spans="3:17" x14ac:dyDescent="0.25">
      <c r="C38" s="5" t="s">
        <v>13</v>
      </c>
      <c r="D38" s="47">
        <f>+'BG2008-2013'!E38/'BG2008-2013'!E38</f>
        <v>1</v>
      </c>
      <c r="E38" s="47">
        <f>+'BG2008-2013'!F38/'BG2008-2013'!F38</f>
        <v>1</v>
      </c>
      <c r="F38" s="47">
        <f>+'BG2008-2013'!G38/'BG2008-2013'!G38</f>
        <v>1</v>
      </c>
      <c r="G38" s="47">
        <f>+'BG2008-2013'!H38/'BG2008-2013'!H38</f>
        <v>1</v>
      </c>
      <c r="H38" s="47">
        <f>+'BG2008-2013'!I38/'BG2008-2013'!I38</f>
        <v>1</v>
      </c>
      <c r="I38" s="47">
        <f>+'BG2008-2013'!J38/'BG2008-2013'!J38</f>
        <v>1</v>
      </c>
      <c r="L38" s="5" t="s">
        <v>13</v>
      </c>
      <c r="M38" s="47">
        <f>+('BG2008-2013'!F38-'BG2008-2013'!E38)/'BG2008-2013'!E38</f>
        <v>0.22084264962400885</v>
      </c>
      <c r="N38" s="47">
        <f>+('BG2008-2013'!G38-'BG2008-2013'!F38)/'BG2008-2013'!F38</f>
        <v>0.24787886893721808</v>
      </c>
      <c r="O38" s="47">
        <f>+('BG2008-2013'!H38-'BG2008-2013'!G38)/'BG2008-2013'!G38</f>
        <v>0.37117679303439133</v>
      </c>
      <c r="P38" s="47">
        <f>+('BG2008-2013'!I38-'BG2008-2013'!H38)/'BG2008-2013'!H38</f>
        <v>0.15977979098011416</v>
      </c>
      <c r="Q38" s="47">
        <f>+('BG2008-2013'!J38-'BG2008-2013'!I38)/'BG2008-2013'!I38</f>
        <v>5.9041857364301613E-2</v>
      </c>
    </row>
    <row r="40" spans="3:17" x14ac:dyDescent="0.25">
      <c r="C40" s="5" t="s">
        <v>18</v>
      </c>
      <c r="L40" s="5" t="s">
        <v>18</v>
      </c>
    </row>
    <row r="42" spans="3:17" x14ac:dyDescent="0.25">
      <c r="C42" s="5" t="s">
        <v>19</v>
      </c>
      <c r="L42" s="5" t="s">
        <v>19</v>
      </c>
    </row>
    <row r="44" spans="3:17" x14ac:dyDescent="0.25">
      <c r="C44" s="21" t="s">
        <v>21</v>
      </c>
      <c r="D44" s="37">
        <f>+'BG2008-2013'!E49/'BG2008-2013'!$E$60</f>
        <v>0.35933090154299724</v>
      </c>
      <c r="E44" s="37">
        <f>+'BG2008-2013'!F49/'BG2008-2013'!$F$60</f>
        <v>0.48754943626662195</v>
      </c>
      <c r="F44" s="37">
        <f>+'BG2008-2013'!G49/'BG2008-2013'!$G$60</f>
        <v>0.63047168726545777</v>
      </c>
      <c r="G44" s="37">
        <f>+'BG2008-2013'!H49/'BG2008-2013'!$H$60</f>
        <v>0.39401188885839966</v>
      </c>
      <c r="H44" s="37">
        <f>+'BG2008-2013'!I49/'BG2008-2013'!$I$60</f>
        <v>0.17693623054685634</v>
      </c>
      <c r="I44" s="37">
        <f>+'BG2008-2013'!J49/'BG2008-2013'!$I$60</f>
        <v>8.3581387628909112E-2</v>
      </c>
      <c r="L44" s="21" t="s">
        <v>21</v>
      </c>
      <c r="M44" s="37">
        <f>+('BG2008-2013'!F49-'BG2008-2013'!E49)/'BG2008-2013'!E49</f>
        <v>0.29329097421522166</v>
      </c>
      <c r="N44" s="37">
        <f>+('BG2008-2013'!G49-'BG2008-2013'!F49)/'BG2008-2013'!F49</f>
        <v>1.1676622032261124</v>
      </c>
      <c r="O44" s="37">
        <f>+('BG2008-2013'!H49-'BG2008-2013'!G49)/'BG2008-2013'!G49</f>
        <v>0.30057472677309627</v>
      </c>
      <c r="P44" s="37">
        <f>+('BG2008-2013'!I49-'BG2008-2013'!H49)/'BG2008-2013'!H49</f>
        <v>-0.71375773915150764</v>
      </c>
      <c r="Q44" s="37">
        <f>+('BG2008-2013'!J49-'BG2008-2013'!I49)/'BG2008-2013'!I49</f>
        <v>-0.52761858116574356</v>
      </c>
    </row>
    <row r="45" spans="3:17" x14ac:dyDescent="0.25">
      <c r="C45" s="21" t="s">
        <v>22</v>
      </c>
      <c r="D45" s="37">
        <f>+'BG2008-2013'!E50/'BG2008-2013'!$E$60</f>
        <v>0.15254050440852468</v>
      </c>
      <c r="E45" s="37">
        <f>+'BG2008-2013'!F50/'BG2008-2013'!$F$60</f>
        <v>0.14094580746206875</v>
      </c>
      <c r="F45" s="37">
        <f>+'BG2008-2013'!G50/'BG2008-2013'!$G$60</f>
        <v>0.19686683112157363</v>
      </c>
      <c r="G45" s="37">
        <f>+'BG2008-2013'!H50/'BG2008-2013'!$H$60</f>
        <v>8.185938955758193E-2</v>
      </c>
      <c r="H45" s="37">
        <f>+'BG2008-2013'!I50/'BG2008-2013'!$I$60</f>
        <v>0.11397820331683986</v>
      </c>
      <c r="I45" s="37">
        <f>+'BG2008-2013'!J50/'BG2008-2013'!$I$60</f>
        <v>8.9802045554888715E-2</v>
      </c>
      <c r="L45" s="21" t="s">
        <v>22</v>
      </c>
      <c r="M45" s="37">
        <f>+('BG2008-2013'!F50-'BG2008-2013'!E50)/'BG2008-2013'!E50</f>
        <v>-0.11927740380720132</v>
      </c>
      <c r="N45" s="37">
        <f>+('BG2008-2013'!G50-'BG2008-2013'!F50)/'BG2008-2013'!F50</f>
        <v>1.3413431225467758</v>
      </c>
      <c r="O45" s="37">
        <f>+('BG2008-2013'!H50-'BG2008-2013'!G50)/'BG2008-2013'!G50</f>
        <v>-0.13465851728754302</v>
      </c>
      <c r="P45" s="37">
        <f>+('BG2008-2013'!I50-'BG2008-2013'!H50)/'BG2008-2013'!H50</f>
        <v>-0.11247700509303624</v>
      </c>
      <c r="Q45" s="37">
        <f>+('BG2008-2013'!J50-'BG2008-2013'!I50)/'BG2008-2013'!I50</f>
        <v>-0.21211211493434029</v>
      </c>
    </row>
    <row r="46" spans="3:17" x14ac:dyDescent="0.25">
      <c r="C46" s="21" t="s">
        <v>23</v>
      </c>
      <c r="D46" s="37">
        <f>+'BG2008-2013'!E51/'BG2008-2013'!$E$60</f>
        <v>5.2647185291634653E-2</v>
      </c>
      <c r="E46" s="37">
        <f>+'BG2008-2013'!F51/'BG2008-2013'!$F$60</f>
        <v>2.7562145466121228E-2</v>
      </c>
      <c r="F46" s="37">
        <f>+'BG2008-2013'!G51/'BG2008-2013'!$G$60</f>
        <v>4.5812298278288831E-2</v>
      </c>
      <c r="G46" s="37">
        <f>+'BG2008-2013'!H51/'BG2008-2013'!$H$60</f>
        <v>2.1760580068644397E-2</v>
      </c>
      <c r="H46" s="37">
        <f>+'BG2008-2013'!I51/'BG2008-2013'!$I$60</f>
        <v>1.9173706104109414E-2</v>
      </c>
      <c r="I46" s="37">
        <f>+'BG2008-2013'!J51/'BG2008-2013'!$I$60</f>
        <v>3.7911959213429443E-2</v>
      </c>
      <c r="L46" s="21" t="s">
        <v>23</v>
      </c>
      <c r="M46" s="37">
        <f>+('BG2008-2013'!F51-'BG2008-2013'!E51)/'BG2008-2013'!E51</f>
        <v>-0.50098911577847693</v>
      </c>
      <c r="N46" s="37">
        <f>+('BG2008-2013'!G51-'BG2008-2013'!F51)/'BG2008-2013'!F51</f>
        <v>1.7862092805156882</v>
      </c>
      <c r="O46" s="37">
        <f>+('BG2008-2013'!H51-'BG2008-2013'!G51)/'BG2008-2013'!G51</f>
        <v>-1.1492518013645502E-2</v>
      </c>
      <c r="P46" s="37">
        <f>+('BG2008-2013'!I51-'BG2008-2013'!H51)/'BG2008-2013'!H51</f>
        <v>-0.43835498690665353</v>
      </c>
      <c r="Q46" s="37">
        <f>+('BG2008-2013'!J51-'BG2008-2013'!I51)/'BG2008-2013'!I51</f>
        <v>0.97728905447778525</v>
      </c>
    </row>
    <row r="47" spans="3:17" x14ac:dyDescent="0.25">
      <c r="C47" s="21" t="s">
        <v>24</v>
      </c>
      <c r="D47" s="37">
        <f>+'BG2008-2013'!E52/'BG2008-2013'!$E$60</f>
        <v>0.12931526842239785</v>
      </c>
      <c r="E47" s="37">
        <f>+'BG2008-2013'!F52/'BG2008-2013'!$F$60</f>
        <v>9.0036361984598329E-2</v>
      </c>
      <c r="F47" s="37">
        <f>+'BG2008-2013'!G52/'BG2008-2013'!$G$60</f>
        <v>5.7941710739102752E-2</v>
      </c>
      <c r="G47" s="37">
        <f>+'BG2008-2013'!H52/'BG2008-2013'!$H$60</f>
        <v>0.30270290753843782</v>
      </c>
      <c r="H47" s="37">
        <f>+'BG2008-2013'!I52/'BG2008-2013'!$I$60</f>
        <v>0.41768917392991811</v>
      </c>
      <c r="I47" s="37">
        <f>+'BG2008-2013'!J52/'BG2008-2013'!$I$60</f>
        <v>0.38433653415096652</v>
      </c>
      <c r="L47" s="21" t="s">
        <v>24</v>
      </c>
      <c r="M47" s="37">
        <f>+('BG2008-2013'!F52-'BG2008-2013'!E52)/'BG2008-2013'!E52</f>
        <v>-0.33634818263970528</v>
      </c>
      <c r="N47" s="37">
        <f>+('BG2008-2013'!G52-'BG2008-2013'!F52)/'BG2008-2013'!F52</f>
        <v>7.8743148559700035E-2</v>
      </c>
      <c r="O47" s="37">
        <f>+('BG2008-2013'!H52-'BG2008-2013'!G52)/'BG2008-2013'!G52</f>
        <v>9.8721854386983541</v>
      </c>
      <c r="P47" s="37">
        <f>+('BG2008-2013'!I52-'BG2008-2013'!H52)/'BG2008-2013'!H52</f>
        <v>-0.12044513430013559</v>
      </c>
      <c r="Q47" s="37">
        <f>+('BG2008-2013'!J52-'BG2008-2013'!I52)/'BG2008-2013'!I52</f>
        <v>-7.9850381241979948E-2</v>
      </c>
    </row>
    <row r="48" spans="3:17" x14ac:dyDescent="0.25">
      <c r="C48" s="21" t="s">
        <v>25</v>
      </c>
      <c r="D48" s="37">
        <f>+'BG2008-2013'!E53/'BG2008-2013'!$E$60</f>
        <v>5.7280346725341047E-2</v>
      </c>
      <c r="E48" s="37">
        <f>+'BG2008-2013'!F53/'BG2008-2013'!$F$60</f>
        <v>8.400964039279088E-2</v>
      </c>
      <c r="F48" s="37">
        <f>+'BG2008-2013'!G53/'BG2008-2013'!$G$60</f>
        <v>1.1569291531931191E-2</v>
      </c>
      <c r="G48" s="37">
        <f>+'BG2008-2013'!H53/'BG2008-2013'!$H$60</f>
        <v>1.5148179613282055E-3</v>
      </c>
      <c r="H48" s="37">
        <f>+'BG2008-2013'!I53/'BG2008-2013'!$I$60</f>
        <v>2.9470435192519577E-3</v>
      </c>
      <c r="I48" s="37">
        <f>+'BG2008-2013'!J53/'BG2008-2013'!$I$60</f>
        <v>3.4137867302764277E-3</v>
      </c>
      <c r="L48" s="21" t="s">
        <v>25</v>
      </c>
      <c r="M48" s="37">
        <f>+('BG2008-2013'!F53-'BG2008-2013'!E53)/'BG2008-2013'!E53</f>
        <v>0.39796288920157097</v>
      </c>
      <c r="N48" s="37">
        <f>+('BG2008-2013'!G53-'BG2008-2013'!F53)/'BG2008-2013'!F53</f>
        <v>-0.76915402084588724</v>
      </c>
      <c r="O48" s="37">
        <f>+('BG2008-2013'!H53-'BG2008-2013'!G53)/'BG2008-2013'!G53</f>
        <v>-0.72751333505742699</v>
      </c>
      <c r="P48" s="37">
        <f>+('BG2008-2013'!I53-'BG2008-2013'!H53)/'BG2008-2013'!H53</f>
        <v>0.24008773516929652</v>
      </c>
      <c r="Q48" s="37">
        <f>+('BG2008-2013'!J53-'BG2008-2013'!I53)/'BG2008-2013'!I53</f>
        <v>0.15837676232991027</v>
      </c>
    </row>
    <row r="49" spans="3:17" x14ac:dyDescent="0.25">
      <c r="C49" s="21" t="s">
        <v>26</v>
      </c>
      <c r="D49" s="37">
        <f>+'BG2008-2013'!E54/'BG2008-2013'!$E$60</f>
        <v>0</v>
      </c>
      <c r="E49" s="37">
        <f>+'BG2008-2013'!F54/'BG2008-2013'!$F$60</f>
        <v>0</v>
      </c>
      <c r="F49" s="37">
        <f>+'BG2008-2013'!G54/'BG2008-2013'!$G$60</f>
        <v>0</v>
      </c>
      <c r="G49" s="37">
        <f>+'BG2008-2013'!H54/'BG2008-2013'!$H$60</f>
        <v>7.2652350232332765E-3</v>
      </c>
      <c r="H49" s="37">
        <f>+'BG2008-2013'!I54/'BG2008-2013'!$I$60</f>
        <v>1.1397868609741822E-2</v>
      </c>
      <c r="I49" s="37">
        <f>+'BG2008-2013'!J54/'BG2008-2013'!$I$60</f>
        <v>1.1397845979402212E-2</v>
      </c>
      <c r="L49" s="21" t="s">
        <v>26</v>
      </c>
      <c r="M49" s="37">
        <v>0</v>
      </c>
      <c r="N49" s="37">
        <v>0</v>
      </c>
      <c r="O49" s="37">
        <v>0</v>
      </c>
      <c r="P49" s="37">
        <f>+('BG2008-2013'!I54-'BG2008-2013'!H54)/'BG2008-2013'!H54</f>
        <v>6.6183001291650827E-7</v>
      </c>
      <c r="Q49" s="37">
        <f>+('BG2008-2013'!J54-'BG2008-2013'!I54)/'BG2008-2013'!I54</f>
        <v>-1.9854887246934964E-6</v>
      </c>
    </row>
    <row r="50" spans="3:17" x14ac:dyDescent="0.25">
      <c r="C50" s="21" t="s">
        <v>27</v>
      </c>
      <c r="D50" s="37">
        <f>+'BG2008-2013'!E55/'BG2008-2013'!$E$60</f>
        <v>1.4861665157416657E-2</v>
      </c>
      <c r="E50" s="37">
        <f>+'BG2008-2013'!F55/'BG2008-2013'!$F$60</f>
        <v>1.2864894238117137E-2</v>
      </c>
      <c r="F50" s="37">
        <f>+'BG2008-2013'!G55/'BG2008-2013'!$G$60</f>
        <v>8.7630931831987093E-3</v>
      </c>
      <c r="G50" s="37">
        <f>+'BG2008-2013'!H55/'BG2008-2013'!$H$60</f>
        <v>8.0981615540789125E-3</v>
      </c>
      <c r="H50" s="37">
        <f>+'BG2008-2013'!I55/'BG2008-2013'!$I$60</f>
        <v>1.195416761805243E-2</v>
      </c>
      <c r="I50" s="37">
        <f>+'BG2008-2013'!J55/'BG2008-2013'!$I$60</f>
        <v>1.5734513045896688E-2</v>
      </c>
      <c r="L50" s="21" t="s">
        <v>27</v>
      </c>
      <c r="M50" s="37">
        <f>+('BG2008-2013'!F55-'BG2008-2013'!E55)/'BG2008-2013'!E55</f>
        <v>-0.17489180004066576</v>
      </c>
      <c r="N50" s="37">
        <f>+('BG2008-2013'!G55-'BG2008-2013'!F55)/'BG2008-2013'!F55</f>
        <v>0.14181537025302435</v>
      </c>
      <c r="O50" s="37">
        <f>+('BG2008-2013'!H55-'BG2008-2013'!G55)/'BG2008-2013'!G55</f>
        <v>0.92318285679702261</v>
      </c>
      <c r="P50" s="37">
        <f>+('BG2008-2013'!I55-'BG2008-2013'!H55)/'BG2008-2013'!H55</f>
        <v>-5.9065887576616995E-2</v>
      </c>
      <c r="Q50" s="37">
        <f>+('BG2008-2013'!J55-'BG2008-2013'!I55)/'BG2008-2013'!I55</f>
        <v>0.31623660874015341</v>
      </c>
    </row>
    <row r="51" spans="3:17" x14ac:dyDescent="0.25">
      <c r="C51" s="21" t="s">
        <v>28</v>
      </c>
      <c r="D51" s="37">
        <f>+'BG2008-2013'!E56/'BG2008-2013'!$E$60</f>
        <v>2.3127499004163599E-2</v>
      </c>
      <c r="E51" s="37">
        <f>+'BG2008-2013'!F56/'BG2008-2013'!$F$60</f>
        <v>1.9296351700895411E-2</v>
      </c>
      <c r="F51" s="37">
        <f>+'BG2008-2013'!G56/'BG2008-2013'!$G$60</f>
        <v>1.2934245445361281E-2</v>
      </c>
      <c r="G51" s="37">
        <f>+'BG2008-2013'!H56/'BG2008-2013'!$H$60</f>
        <v>4.4056598825519974E-2</v>
      </c>
      <c r="H51" s="37">
        <f>+'BG2008-2013'!I56/'BG2008-2013'!$I$60</f>
        <v>7.7729619325477228E-2</v>
      </c>
      <c r="I51" s="37">
        <f>+'BG2008-2013'!J56/'BG2008-2013'!$I$60</f>
        <v>0.16428857880177314</v>
      </c>
      <c r="L51" s="21" t="s">
        <v>28</v>
      </c>
      <c r="M51" s="37">
        <f>+('BG2008-2013'!F56-'BG2008-2013'!E56)/'BG2008-2013'!E56</f>
        <v>-0.20472250969396183</v>
      </c>
      <c r="N51" s="37">
        <f>+('BG2008-2013'!G56-'BG2008-2013'!F56)/'BG2008-2013'!F56</f>
        <v>0.12359699022239527</v>
      </c>
      <c r="O51" s="37">
        <f>+('BG2008-2013'!H56-'BG2008-2013'!G56)/'BG2008-2013'!G56</f>
        <v>6.0886158407139899</v>
      </c>
      <c r="P51" s="37">
        <f>+('BG2008-2013'!I56-'BG2008-2013'!H56)/'BG2008-2013'!H56</f>
        <v>0.1246098506982469</v>
      </c>
      <c r="Q51" s="37">
        <f>+('BG2008-2013'!J56-'BG2008-2013'!I56)/'BG2008-2013'!I56</f>
        <v>1.1135904205814722</v>
      </c>
    </row>
    <row r="52" spans="3:17" x14ac:dyDescent="0.25">
      <c r="C52" s="21" t="s">
        <v>29</v>
      </c>
      <c r="D52" s="37">
        <f>+'BG2008-2013'!E57/'BG2008-2013'!$E$60</f>
        <v>0.21089662944752433</v>
      </c>
      <c r="E52" s="37">
        <f>+'BG2008-2013'!F57/'BG2008-2013'!$F$60</f>
        <v>0.13773536248878626</v>
      </c>
      <c r="F52" s="37">
        <f>+'BG2008-2013'!G57/'BG2008-2013'!$G$60</f>
        <v>3.5640842435085786E-2</v>
      </c>
      <c r="G52" s="37">
        <f>+'BG2008-2013'!H57/'BG2008-2013'!$H$60</f>
        <v>0.13572248477632928</v>
      </c>
      <c r="H52" s="37">
        <f>+'BG2008-2013'!I57/'BG2008-2013'!$I$60</f>
        <v>0.14781113433679627</v>
      </c>
      <c r="I52" s="37">
        <f>+'BG2008-2013'!J57/'BG2008-2013'!$I$60</f>
        <v>9.9471778454044396E-2</v>
      </c>
      <c r="L52" s="21" t="s">
        <v>29</v>
      </c>
      <c r="M52" s="37">
        <f>+('BG2008-2013'!F57-'BG2008-2013'!E57)/'BG2008-2013'!E57</f>
        <v>-0.3774876489856388</v>
      </c>
      <c r="N52" s="37">
        <f>+('BG2008-2013'!G57-'BG2008-2013'!F57)/'BG2008-2013'!F57</f>
        <v>-0.5662423176195015</v>
      </c>
      <c r="O52" s="37">
        <f>+('BG2008-2013'!H57-'BG2008-2013'!G57)/'BG2008-2013'!G57</f>
        <v>6.9249296127381008</v>
      </c>
      <c r="P52" s="37">
        <f>+('BG2008-2013'!I57-'BG2008-2013'!H57)/'BG2008-2013'!H57</f>
        <v>-0.3058047193529238</v>
      </c>
      <c r="Q52" s="37">
        <f>+('BG2008-2013'!J57-'BG2008-2013'!I57)/'BG2008-2013'!I57</f>
        <v>-0.3270346046638668</v>
      </c>
    </row>
    <row r="53" spans="3:17" x14ac:dyDescent="0.25">
      <c r="C53" s="21" t="s">
        <v>30</v>
      </c>
      <c r="D53" s="37">
        <f>+'BG2008-2013'!E58/'BG2008-2013'!$E$60</f>
        <v>0</v>
      </c>
      <c r="E53" s="37">
        <f>+'BG2008-2013'!F58/'BG2008-2013'!$F$60</f>
        <v>0</v>
      </c>
      <c r="F53" s="37">
        <f>+'BG2008-2013'!G58/'BG2008-2013'!$G$60</f>
        <v>0</v>
      </c>
      <c r="G53" s="37">
        <f>+'BG2008-2013'!H58/'BG2008-2013'!$H$60</f>
        <v>3.007935836446532E-3</v>
      </c>
      <c r="H53" s="37">
        <f>+'BG2008-2013'!I58/'BG2008-2013'!$I$60</f>
        <v>2.0382852692956477E-2</v>
      </c>
      <c r="I53" s="37">
        <f>+'BG2008-2013'!J58/'BG2008-2013'!$I$60</f>
        <v>0</v>
      </c>
      <c r="L53" s="21" t="s">
        <v>30</v>
      </c>
      <c r="M53" s="37" t="e">
        <f>+('BG2008-2013'!F58-'BG2008-2013'!E58)/'BG2008-2013'!E58</f>
        <v>#DIV/0!</v>
      </c>
      <c r="N53" s="37" t="e">
        <f>+('BG2008-2013'!G58-'BG2008-2013'!F58)/'BG2008-2013'!F58</f>
        <v>#DIV/0!</v>
      </c>
      <c r="O53" s="37" t="e">
        <f>+('BG2008-2013'!H58-'BG2008-2013'!G58)/'BG2008-2013'!G58</f>
        <v>#DIV/0!</v>
      </c>
      <c r="P53" s="37">
        <f>+('BG2008-2013'!I58-'BG2008-2013'!H58)/'BG2008-2013'!H58</f>
        <v>3.3193928688465624</v>
      </c>
      <c r="Q53" s="37">
        <f>+('BG2008-2013'!J58-'BG2008-2013'!I58)/'BG2008-2013'!I58</f>
        <v>-1</v>
      </c>
    </row>
    <row r="55" spans="3:17" x14ac:dyDescent="0.25">
      <c r="C55" s="5" t="s">
        <v>31</v>
      </c>
      <c r="D55" s="47">
        <f>+'BG2008-2013'!E60/'BG2008-2013'!E74</f>
        <v>0.50472420585668099</v>
      </c>
      <c r="E55" s="47">
        <f>+'BG2008-2013'!F60/'BG2008-2013'!F74</f>
        <v>0.47220376552525217</v>
      </c>
      <c r="F55" s="47">
        <f>+'BG2008-2013'!G60/'BG2008-2013'!G74</f>
        <v>0.5956087077479334</v>
      </c>
      <c r="G55" s="47">
        <f>+'BG2008-2013'!H60/'BG2008-2013'!H74</f>
        <v>0.80986503951329325</v>
      </c>
      <c r="H55" s="47">
        <f>+'BG2008-2013'!I60/'BG2008-2013'!I74</f>
        <v>0.70413787329160904</v>
      </c>
      <c r="I55" s="47">
        <f>+'BG2008-2013'!J60/'BG2008-2013'!J74</f>
        <v>0.57706734380051028</v>
      </c>
      <c r="L55" s="5" t="s">
        <v>31</v>
      </c>
      <c r="M55" s="47">
        <f>+('BG2008-2013'!F60-'BG2008-2013'!E60)/'BG2008-2013'!E60</f>
        <v>-4.682607105294713E-2</v>
      </c>
      <c r="N55" s="47">
        <f>+('BG2008-2013'!G60-'BG2008-2013'!F60)/'BG2008-2013'!F60</f>
        <v>0.67627271223422147</v>
      </c>
      <c r="O55" s="47">
        <f>+('BG2008-2013'!H60-'BG2008-2013'!G60)/'BG2008-2013'!G60</f>
        <v>1.0810934024839269</v>
      </c>
      <c r="P55" s="47">
        <f>+('BG2008-2013'!I60-'BG2008-2013'!H60)/'BG2008-2013'!H60</f>
        <v>-0.36257908558673635</v>
      </c>
      <c r="Q55" s="47">
        <f>+('BG2008-2013'!J60-'BG2008-2013'!I60)/'BG2008-2013'!I60</f>
        <v>-0.11006157044041322</v>
      </c>
    </row>
    <row r="57" spans="3:17" x14ac:dyDescent="0.25">
      <c r="C57" s="5" t="s">
        <v>37</v>
      </c>
      <c r="L57" s="5" t="s">
        <v>37</v>
      </c>
    </row>
    <row r="59" spans="3:17" x14ac:dyDescent="0.25">
      <c r="C59" s="21" t="s">
        <v>21</v>
      </c>
      <c r="D59" s="37">
        <f>+'BG2008-2013'!E64/'BG2008-2013'!$E$72</f>
        <v>0.24913373319603216</v>
      </c>
      <c r="E59" s="37">
        <f>+'BG2008-2013'!F64/'BG2008-2013'!$F$72</f>
        <v>0.25511996888977057</v>
      </c>
      <c r="F59" s="37">
        <f>+'BG2008-2013'!G64/'BG2008-2013'!$G$72</f>
        <v>0.10316799281997933</v>
      </c>
      <c r="G59" s="37">
        <f>+'BG2008-2013'!H64/'BG2008-2013'!$H$72</f>
        <v>0</v>
      </c>
      <c r="H59" s="37">
        <f>+'BG2008-2013'!I64/'BG2008-2013'!$I$72</f>
        <v>0.39193564249481705</v>
      </c>
      <c r="I59" s="37">
        <f>+'BG2008-2013'!J64/'BG2008-2013'!$I$72</f>
        <v>0.5287278001159551</v>
      </c>
      <c r="L59" s="21" t="s">
        <v>21</v>
      </c>
      <c r="M59" s="37">
        <f>+('BG2008-2013'!F64-'BG2008-2013'!E64)/'BG2008-2013'!E64</f>
        <v>0.1118032631425773</v>
      </c>
      <c r="N59" s="37">
        <f>+('BG2008-2013'!G64-'BG2008-2013'!F64)/'BG2008-2013'!F64</f>
        <v>-0.58823529411764708</v>
      </c>
      <c r="O59" s="37">
        <f>+('BG2008-2013'!H64-'BG2008-2013'!G64)/'BG2008-2013'!G64</f>
        <v>-1</v>
      </c>
      <c r="P59" s="37" t="e">
        <f>+('BG2008-2013'!I64-'BG2008-2013'!H64)/'BG2008-2013'!H64</f>
        <v>#DIV/0!</v>
      </c>
      <c r="Q59" s="37">
        <f>+('BG2008-2013'!J64-'BG2008-2013'!I64)/'BG2008-2013'!I64</f>
        <v>0.3490168864214665</v>
      </c>
    </row>
    <row r="60" spans="3:17" x14ac:dyDescent="0.25">
      <c r="C60" s="21" t="s">
        <v>32</v>
      </c>
      <c r="D60" s="37">
        <f>+'BG2008-2013'!E65/'BG2008-2013'!$E$72</f>
        <v>0.52893885182114597</v>
      </c>
      <c r="E60" s="37">
        <f>+'BG2008-2013'!F65/'BG2008-2013'!$F$72</f>
        <v>0.65673812281856492</v>
      </c>
      <c r="F60" s="37">
        <f>+'BG2008-2013'!G65/'BG2008-2013'!$G$72</f>
        <v>0.68905264236737196</v>
      </c>
      <c r="G60" s="37">
        <f>+'BG2008-2013'!H65/'BG2008-2013'!$H$72</f>
        <v>0.73558931878235689</v>
      </c>
      <c r="H60" s="37">
        <f>+'BG2008-2013'!I65/'BG2008-2013'!$I$72</f>
        <v>0.34248345635777866</v>
      </c>
      <c r="I60" s="37">
        <f>+'BG2008-2013'!J65/'BG2008-2013'!$I$72</f>
        <v>0.15585793352468169</v>
      </c>
      <c r="L60" s="21" t="s">
        <v>32</v>
      </c>
      <c r="M60" s="37">
        <f>+('BG2008-2013'!F65-'BG2008-2013'!E65)/'BG2008-2013'!E65</f>
        <v>0.34804002157137431</v>
      </c>
      <c r="N60" s="37">
        <f>+('BG2008-2013'!G65-'BG2008-2013'!F65)/'BG2008-2013'!F65</f>
        <v>6.8338220645682818E-2</v>
      </c>
      <c r="O60" s="37">
        <f>+('BG2008-2013'!H65-'BG2008-2013'!G65)/'BG2008-2013'!G65</f>
        <v>-0.23178434245118573</v>
      </c>
      <c r="P60" s="37">
        <f>+('BG2008-2013'!I65-'BG2008-2013'!H65)/'BG2008-2013'!H65</f>
        <v>-0.46885532024202881</v>
      </c>
      <c r="Q60" s="37">
        <f>+('BG2008-2013'!J65-'BG2008-2013'!I65)/'BG2008-2013'!I65</f>
        <v>-0.54491835844513548</v>
      </c>
    </row>
    <row r="61" spans="3:17" x14ac:dyDescent="0.25">
      <c r="C61" s="21" t="s">
        <v>33</v>
      </c>
      <c r="D61" s="37">
        <f>+'BG2008-2013'!E66/'BG2008-2013'!$E$72</f>
        <v>8.8568136048927229E-2</v>
      </c>
      <c r="E61" s="37">
        <f>+'BG2008-2013'!F66/'BG2008-2013'!$F$72</f>
        <v>7.0366529508668799E-2</v>
      </c>
      <c r="F61" s="37">
        <f>+'BG2008-2013'!G66/'BG2008-2013'!$G$72</f>
        <v>4.5742403582252109E-2</v>
      </c>
      <c r="G61" s="37">
        <f>+'BG2008-2013'!H66/'BG2008-2013'!$H$72</f>
        <v>0.18946643659634513</v>
      </c>
      <c r="H61" s="37">
        <f>+'BG2008-2013'!I66/'BG2008-2013'!$I$72</f>
        <v>0.23422694740012423</v>
      </c>
      <c r="I61" s="37">
        <f>+'BG2008-2013'!J66/'BG2008-2013'!$I$72</f>
        <v>0.23264388370059819</v>
      </c>
      <c r="L61" s="21" t="s">
        <v>33</v>
      </c>
      <c r="M61" s="37">
        <f>+('BG2008-2013'!F66-'BG2008-2013'!E66)/'BG2008-2013'!E66</f>
        <v>-0.13740953315141702</v>
      </c>
      <c r="N61" s="37">
        <f>+('BG2008-2013'!G66-'BG2008-2013'!F66)/'BG2008-2013'!F66</f>
        <v>-0.33808619342378243</v>
      </c>
      <c r="O61" s="37">
        <f>+('BG2008-2013'!H66-'BG2008-2013'!G66)/'BG2008-2013'!G66</f>
        <v>1.9806669255021114</v>
      </c>
      <c r="P61" s="37">
        <f>+('BG2008-2013'!I66-'BG2008-2013'!H66)/'BG2008-2013'!H66</f>
        <v>0.41030557785961441</v>
      </c>
      <c r="Q61" s="37">
        <f>+('BG2008-2013'!J66-'BG2008-2013'!I66)/'BG2008-2013'!I66</f>
        <v>-6.7586745124664565E-3</v>
      </c>
    </row>
    <row r="62" spans="3:17" x14ac:dyDescent="0.25">
      <c r="C62" s="21" t="s">
        <v>25</v>
      </c>
      <c r="D62" s="37">
        <f>+'BG2008-2013'!E67/'BG2008-2013'!$E$72</f>
        <v>0</v>
      </c>
      <c r="E62" s="37">
        <f>+'BG2008-2013'!F67/'BG2008-2013'!$F$72</f>
        <v>0</v>
      </c>
      <c r="F62" s="37">
        <f>+'BG2008-2013'!G67/'BG2008-2013'!$G$72</f>
        <v>0</v>
      </c>
      <c r="G62" s="37">
        <f>+'BG2008-2013'!H67/'BG2008-2013'!$H$72</f>
        <v>6.1891363271516904E-2</v>
      </c>
      <c r="H62" s="37">
        <f>+'BG2008-2013'!I67/'BG2008-2013'!$I$72</f>
        <v>2.7126334544170544E-2</v>
      </c>
      <c r="I62" s="37">
        <f>+'BG2008-2013'!J67/'BG2008-2013'!$I$72</f>
        <v>0</v>
      </c>
      <c r="L62" s="21" t="s">
        <v>25</v>
      </c>
      <c r="M62" s="37">
        <v>0</v>
      </c>
      <c r="N62" s="37">
        <v>0</v>
      </c>
      <c r="O62" s="37">
        <v>0</v>
      </c>
      <c r="P62" s="37">
        <f>+('BG2008-2013'!I67-'BG2008-2013'!H67)/'BG2008-2013'!H67</f>
        <v>-0.50000033091522544</v>
      </c>
      <c r="Q62" s="37">
        <f>+('BG2008-2013'!J67-'BG2008-2013'!I67)/'BG2008-2013'!I67</f>
        <v>-1</v>
      </c>
    </row>
    <row r="63" spans="3:17" x14ac:dyDescent="0.25">
      <c r="C63" s="21" t="s">
        <v>34</v>
      </c>
      <c r="D63" s="37">
        <f>+'BG2008-2013'!E68/'BG2008-2013'!$E$72</f>
        <v>0</v>
      </c>
      <c r="E63" s="37">
        <f>+'BG2008-2013'!F68/'BG2008-2013'!$F$72</f>
        <v>0</v>
      </c>
      <c r="F63" s="37">
        <f>+'BG2008-2013'!G68/'BG2008-2013'!$G$72</f>
        <v>0</v>
      </c>
      <c r="G63" s="37">
        <f>+'BG2008-2013'!H68/'BG2008-2013'!$H$72</f>
        <v>4.1944666996721501E-3</v>
      </c>
      <c r="H63" s="37">
        <f>+'BG2008-2013'!I68/'BG2008-2013'!$I$72</f>
        <v>0</v>
      </c>
      <c r="I63" s="37">
        <f>+'BG2008-2013'!J68/'BG2008-2013'!$I$72</f>
        <v>0</v>
      </c>
      <c r="L63" s="21" t="s">
        <v>34</v>
      </c>
      <c r="M63" s="37">
        <v>0</v>
      </c>
      <c r="N63" s="37">
        <v>0</v>
      </c>
      <c r="O63" s="37">
        <v>0</v>
      </c>
      <c r="P63" s="37">
        <f>+('BG2008-2013'!I68-'BG2008-2013'!H68)/'BG2008-2013'!H68</f>
        <v>-1</v>
      </c>
      <c r="Q63" s="37">
        <v>0</v>
      </c>
    </row>
    <row r="64" spans="3:17" x14ac:dyDescent="0.25">
      <c r="C64" s="21" t="s">
        <v>35</v>
      </c>
      <c r="D64" s="37">
        <f>+'BG2008-2013'!E69/'BG2008-2013'!$E$72</f>
        <v>9.1152577907392812E-3</v>
      </c>
      <c r="E64" s="37">
        <f>+'BG2008-2013'!F69/'BG2008-2013'!$F$72</f>
        <v>4.4072274766847747E-3</v>
      </c>
      <c r="F64" s="37">
        <f>+'BG2008-2013'!G69/'BG2008-2013'!$G$72</f>
        <v>2.457181561562825E-3</v>
      </c>
      <c r="G64" s="37">
        <f>+'BG2008-2013'!H69/'BG2008-2013'!$H$72</f>
        <v>0</v>
      </c>
      <c r="H64" s="37">
        <f>+'BG2008-2013'!I69/'BG2008-2013'!$I$72</f>
        <v>0</v>
      </c>
      <c r="I64" s="37">
        <f>+'BG2008-2013'!J69/'BG2008-2013'!$I$72</f>
        <v>0</v>
      </c>
      <c r="L64" s="21" t="s">
        <v>35</v>
      </c>
      <c r="M64" s="37">
        <f>+('BG2008-2013'!F69-'BG2008-2013'!E69)/'BG2008-2013'!E69</f>
        <v>-0.47505652923879915</v>
      </c>
      <c r="N64" s="37">
        <f>+('BG2008-2013'!G69-'BG2008-2013'!F69)/'BG2008-2013'!F69</f>
        <v>-0.4322980689669263</v>
      </c>
      <c r="O64" s="37">
        <f>+('BG2008-2013'!H69-'BG2008-2013'!G69)/'BG2008-2013'!G69</f>
        <v>-1</v>
      </c>
      <c r="P64" s="37">
        <v>0</v>
      </c>
      <c r="Q64" s="37">
        <v>0</v>
      </c>
    </row>
    <row r="65" spans="3:17" x14ac:dyDescent="0.25">
      <c r="C65" s="21" t="s">
        <v>36</v>
      </c>
      <c r="D65" s="37">
        <f>+'BG2008-2013'!E70/'BG2008-2013'!$E$72</f>
        <v>0.12424402114315526</v>
      </c>
      <c r="E65" s="37">
        <f>+'BG2008-2013'!F70/'BG2008-2013'!$F$72</f>
        <v>1.3368151306311037E-2</v>
      </c>
      <c r="F65" s="37">
        <f>+'BG2008-2013'!G70/'BG2008-2013'!$G$72</f>
        <v>0.15957977966883399</v>
      </c>
      <c r="G65" s="37">
        <f>+'BG2008-2013'!H70/'BG2008-2013'!$H$72</f>
        <v>8.8584146501088732E-3</v>
      </c>
      <c r="H65" s="37">
        <f>+'BG2008-2013'!I70/'BG2008-2013'!$I$72</f>
        <v>4.227619203109525E-3</v>
      </c>
      <c r="I65" s="37">
        <f>+'BG2008-2013'!J70/'BG2008-2013'!$I$72</f>
        <v>0.63506092743210008</v>
      </c>
      <c r="L65" s="21" t="s">
        <v>36</v>
      </c>
      <c r="M65" s="37">
        <f>+('BG2008-2013'!F70-'BG2008-2013'!E70)/'BG2008-2013'!E70</f>
        <v>-0.88318143137764293</v>
      </c>
      <c r="N65" s="37">
        <f>+('BG2008-2013'!G70-'BG2008-2013'!F70)/'BG2008-2013'!F70</f>
        <v>11.155003811219466</v>
      </c>
      <c r="O65" s="37">
        <f>+('BG2008-2013'!H70-'BG2008-2013'!G70)/'BG2008-2013'!G70</f>
        <v>-0.96005354110913921</v>
      </c>
      <c r="P65" s="37">
        <f>+('BG2008-2013'!I70-'BG2008-2013'!H70)/'BG2008-2013'!H70</f>
        <v>-0.45556190075441078</v>
      </c>
      <c r="Q65" s="37">
        <f>+('BG2008-2013'!J70-'BG2008-2013'!I70)/'BG2008-2013'!I70</f>
        <v>149.21715460205024</v>
      </c>
    </row>
    <row r="67" spans="3:17" x14ac:dyDescent="0.25">
      <c r="C67" s="5" t="s">
        <v>38</v>
      </c>
      <c r="D67" s="47">
        <f>+'BG2008-2013'!E72/'BG2008-2013'!E74</f>
        <v>0.49527579414331901</v>
      </c>
      <c r="E67" s="47">
        <f>+'BG2008-2013'!F72/'BG2008-2013'!F74</f>
        <v>0.52779623447474777</v>
      </c>
      <c r="F67" s="47">
        <f>+'BG2008-2013'!G72/'BG2008-2013'!G74</f>
        <v>0.4043912922520666</v>
      </c>
      <c r="G67" s="47">
        <f>+'BG2008-2013'!H72/'BG2008-2013'!H74</f>
        <v>0.19013496048670675</v>
      </c>
      <c r="H67" s="47">
        <f>+'BG2008-2013'!I72/'BG2008-2013'!I74</f>
        <v>0.29586212670839102</v>
      </c>
      <c r="I67" s="47">
        <f>+'BG2008-2013'!J72/'BG2008-2013'!J74</f>
        <v>0.42293265619948978</v>
      </c>
      <c r="L67" s="5" t="s">
        <v>38</v>
      </c>
      <c r="M67" s="47">
        <f>+('BG2008-2013'!F72-'BG2008-2013'!E72)/'BG2008-2013'!E72</f>
        <v>8.5715472338892304E-2</v>
      </c>
      <c r="N67" s="47">
        <f>+('BG2008-2013'!G72-'BG2008-2013'!F72)/'BG2008-2013'!F72</f>
        <v>1.8236335545608554E-2</v>
      </c>
      <c r="O67" s="47">
        <f>+('BG2008-2013'!H72-'BG2008-2013'!G72)/'BG2008-2013'!G72</f>
        <v>-0.28038510725219246</v>
      </c>
      <c r="P67" s="47">
        <f>+('BG2008-2013'!I72-'BG2008-2013'!H72)/'BG2008-2013'!H72</f>
        <v>0.14079774046045043</v>
      </c>
      <c r="Q67" s="47">
        <f>+('BG2008-2013'!J72-'BG2008-2013'!I72)/'BG2008-2013'!I72</f>
        <v>0.55229054477333506</v>
      </c>
    </row>
    <row r="69" spans="3:17" x14ac:dyDescent="0.25">
      <c r="C69" s="5" t="s">
        <v>39</v>
      </c>
      <c r="D69" s="47">
        <f>+'BG2008-2013'!E74/'BG2008-2013'!E74</f>
        <v>1</v>
      </c>
      <c r="E69" s="47">
        <f>+'BG2008-2013'!F74/'BG2008-2013'!F74</f>
        <v>1</v>
      </c>
      <c r="F69" s="47">
        <f>+'BG2008-2013'!G74/'BG2008-2013'!G74</f>
        <v>1</v>
      </c>
      <c r="G69" s="47">
        <f>+'BG2008-2013'!H74/'BG2008-2013'!H74</f>
        <v>1</v>
      </c>
      <c r="H69" s="47">
        <f>+'BG2008-2013'!I74/'BG2008-2013'!I74</f>
        <v>1</v>
      </c>
      <c r="I69" s="47">
        <f>+'BG2008-2013'!J74/'BG2008-2013'!J74</f>
        <v>1</v>
      </c>
      <c r="L69" s="5" t="s">
        <v>39</v>
      </c>
      <c r="M69" s="47">
        <f>+('BG2008-2013'!F74-'BG2008-2013'!E74)/'BG2008-2013'!E74</f>
        <v>1.8818547107427381E-2</v>
      </c>
      <c r="N69" s="47">
        <f>+('BG2008-2013'!G74-'BG2008-2013'!F74)/'BG2008-2013'!F74</f>
        <v>0.32896359047056478</v>
      </c>
      <c r="O69" s="47">
        <f>+('BG2008-2013'!H74-'BG2008-2013'!G74)/'BG2008-2013'!G74</f>
        <v>0.53052334855831973</v>
      </c>
      <c r="P69" s="47">
        <f>+('BG2008-2013'!I74-'BG2008-2013'!H74)/'BG2008-2013'!H74</f>
        <v>-0.26686955265633067</v>
      </c>
      <c r="Q69" s="47">
        <f>+('BG2008-2013'!J74-'BG2008-2013'!I74)/'BG2008-2013'!I74</f>
        <v>8.5903334996527622E-2</v>
      </c>
    </row>
    <row r="71" spans="3:17" x14ac:dyDescent="0.25">
      <c r="C71" s="5" t="s">
        <v>54</v>
      </c>
      <c r="L71" s="5" t="s">
        <v>54</v>
      </c>
    </row>
    <row r="73" spans="3:17" x14ac:dyDescent="0.25">
      <c r="C73" s="21" t="s">
        <v>40</v>
      </c>
      <c r="D73" s="37">
        <f>+'BG2008-2013'!E78/'BG2008-2013'!$E$82</f>
        <v>1.7882881840848899</v>
      </c>
      <c r="E73" s="37">
        <f>+'BG2008-2013'!F78/'BG2008-2013'!$F$82</f>
        <v>1.8381673591422245</v>
      </c>
      <c r="F73" s="37">
        <f>+'BG2008-2013'!G78/'BG2008-2013'!$G$82</f>
        <v>1.8381688401510534</v>
      </c>
      <c r="G73" s="37">
        <f>+'BG2008-2013'!H78/'BG2008-2013'!$G$82</f>
        <v>1.8381688401510534</v>
      </c>
      <c r="H73" s="37">
        <f>+'BG2008-2013'!I78/'BG2008-2013'!$G$82</f>
        <v>1.8381688401510534</v>
      </c>
      <c r="I73" s="37">
        <f>+'BG2008-2013'!J78/'BG2008-2013'!$G$82</f>
        <v>1.8381688401510534</v>
      </c>
      <c r="L73" s="21" t="s">
        <v>40</v>
      </c>
      <c r="M73" s="37">
        <f>+('BG2008-2013'!F78-'BG2008-2013'!E78)/'BG2008-2013'!E78</f>
        <v>3.0591704753339083E-2</v>
      </c>
      <c r="N73" s="37">
        <f>+('BG2008-2013'!G78-'BG2008-2013'!F78)/'BG2008-2013'!F78</f>
        <v>8.0569857884239057E-7</v>
      </c>
      <c r="O73" s="37">
        <f>+('BG2008-2013'!H78-'BG2008-2013'!G78)/'BG2008-2013'!G78</f>
        <v>0</v>
      </c>
      <c r="P73" s="37">
        <f>+('BG2008-2013'!I78-'BG2008-2013'!H78)/'BG2008-2013'!H78</f>
        <v>0</v>
      </c>
      <c r="Q73" s="37">
        <f>+('BG2008-2013'!J78-'BG2008-2013'!I78)/'BG2008-2013'!I78</f>
        <v>0</v>
      </c>
    </row>
    <row r="74" spans="3:17" x14ac:dyDescent="0.25">
      <c r="C74" s="21" t="s">
        <v>41</v>
      </c>
      <c r="D74" s="37">
        <f>+'BG2008-2013'!E79/'BG2008-2013'!$E$82</f>
        <v>-0.78828818408488976</v>
      </c>
      <c r="E74" s="37">
        <f>+'BG2008-2013'!F79/'BG2008-2013'!$F$82</f>
        <v>-0.83816735914222451</v>
      </c>
      <c r="F74" s="37">
        <f>+'BG2008-2013'!G79/'BG2008-2013'!$G$82</f>
        <v>-0.83816884015105353</v>
      </c>
      <c r="G74" s="37">
        <f>+'BG2008-2013'!H79/'BG2008-2013'!$G$82</f>
        <v>-0.83816884015105353</v>
      </c>
      <c r="H74" s="37">
        <f>+'BG2008-2013'!I79/'BG2008-2013'!$G$82</f>
        <v>-0.61426267624687103</v>
      </c>
      <c r="I74" s="37">
        <f>+'BG2008-2013'!J79/'BG2008-2013'!$G$82</f>
        <v>-0.61426267624687103</v>
      </c>
      <c r="L74" s="21" t="s">
        <v>41</v>
      </c>
      <c r="M74" s="37">
        <f>+('BG2008-2013'!F79-'BG2008-2013'!E79)/'BG2008-2013'!E79</f>
        <v>6.6067802094912351E-2</v>
      </c>
      <c r="N74" s="37">
        <f>+('BG2008-2013'!G79-'BG2008-2013'!F79)/'BG2008-2013'!F79</f>
        <v>1.766960754056345E-6</v>
      </c>
      <c r="O74" s="37">
        <f>+('BG2008-2013'!H79-'BG2008-2013'!G79)/'BG2008-2013'!G79</f>
        <v>0</v>
      </c>
      <c r="P74" s="37">
        <f>+('BG2008-2013'!I79-'BG2008-2013'!H79)/'BG2008-2013'!H79</f>
        <v>-0.26713730358173471</v>
      </c>
      <c r="Q74" s="37">
        <f>+('BG2008-2013'!J79-'BG2008-2013'!I79)/'BG2008-2013'!I79</f>
        <v>0</v>
      </c>
    </row>
    <row r="75" spans="3:17" x14ac:dyDescent="0.25">
      <c r="C75" s="21" t="s">
        <v>42</v>
      </c>
      <c r="D75" s="37">
        <f>+'BG2008-2013'!E80/'BG2008-2013'!$E$82</f>
        <v>0</v>
      </c>
      <c r="E75" s="37">
        <f>+'BG2008-2013'!F80/'BG2008-2013'!$F$82</f>
        <v>0</v>
      </c>
      <c r="F75" s="37">
        <f>+'BG2008-2013'!G80/'BG2008-2013'!$G$82</f>
        <v>0</v>
      </c>
      <c r="G75" s="37">
        <f>+'BG2008-2013'!H80/'BG2008-2013'!$G$82</f>
        <v>0</v>
      </c>
      <c r="H75" s="37">
        <f>+'BG2008-2013'!I80/'BG2008-2013'!$G$82</f>
        <v>0</v>
      </c>
      <c r="I75" s="37">
        <f>+'BG2008-2013'!J80/'BG2008-2013'!$G$82</f>
        <v>0</v>
      </c>
      <c r="L75" s="21" t="s">
        <v>42</v>
      </c>
      <c r="M75" s="37">
        <v>0</v>
      </c>
      <c r="N75" s="37">
        <v>0</v>
      </c>
      <c r="O75" s="37">
        <v>0</v>
      </c>
      <c r="P75" s="37">
        <v>0</v>
      </c>
      <c r="Q75" s="37">
        <v>0</v>
      </c>
    </row>
    <row r="77" spans="3:17" x14ac:dyDescent="0.25">
      <c r="C77" s="5" t="s">
        <v>43</v>
      </c>
      <c r="D77" s="47">
        <f>+'BG2008-2013'!E82/'BG2008-2013'!E95</f>
        <v>6.0924789703812779E-2</v>
      </c>
      <c r="E77" s="47">
        <f>+'BG2008-2013'!F82/'BG2008-2013'!F95</f>
        <v>4.5584167819755834E-2</v>
      </c>
      <c r="F77" s="47">
        <f>+'BG2008-2013'!G82/'BG2008-2013'!G95</f>
        <v>3.7626081470343284E-2</v>
      </c>
      <c r="G77" s="47">
        <f>+'BG2008-2013'!H82/'BG2008-2013'!H95</f>
        <v>2.9105143739561978E-2</v>
      </c>
      <c r="H77" s="47">
        <f>+'BG2008-2013'!I82/'BG2008-2013'!I95</f>
        <v>2.5293536830780002E-2</v>
      </c>
      <c r="I77" s="47">
        <f>+'BG2008-2013'!J82/'BG2008-2013'!J95</f>
        <v>2.4068557703635328E-2</v>
      </c>
      <c r="L77" s="5" t="s">
        <v>43</v>
      </c>
      <c r="M77" s="47">
        <f>+('BG2008-2013'!F82-'BG2008-2013'!E82)/'BG2008-2013'!E82</f>
        <v>2.6263164015315056E-3</v>
      </c>
      <c r="N77" s="47">
        <f>+('BG2008-2013'!G82-'BG2008-2013'!F82)/'BG2008-2013'!F82</f>
        <v>0</v>
      </c>
      <c r="O77" s="47">
        <f>+('BG2008-2013'!H82-'BG2008-2013'!G82)/'BG2008-2013'!G82</f>
        <v>0</v>
      </c>
      <c r="P77" s="47">
        <f>+('BG2008-2013'!I82-'BG2008-2013'!H82)/'BG2008-2013'!H82</f>
        <v>0.22390616390418239</v>
      </c>
      <c r="Q77" s="47">
        <f>+('BG2008-2013'!J82-'BG2008-2013'!I82)/'BG2008-2013'!I82</f>
        <v>0</v>
      </c>
    </row>
    <row r="79" spans="3:17" x14ac:dyDescent="0.25">
      <c r="C79" s="21" t="s">
        <v>44</v>
      </c>
      <c r="D79" s="37">
        <f>+'BG2008-2013'!E84/'BG2008-2013'!$E$95</f>
        <v>6.0924789703812779E-2</v>
      </c>
      <c r="E79" s="37">
        <f>+'BG2008-2013'!F84/'BG2008-2013'!$F$95</f>
        <v>4.5584167819755834E-2</v>
      </c>
      <c r="F79" s="37">
        <f>+'BG2008-2013'!G84/'BG2008-2013'!$G$95</f>
        <v>3.7626081470343284E-2</v>
      </c>
      <c r="G79" s="37">
        <f>+'BG2008-2013'!H84/'BG2008-2013'!$H$95</f>
        <v>2.9105143739561978E-2</v>
      </c>
      <c r="H79" s="37">
        <f>+'BG2008-2013'!I84/'BG2008-2013'!$I$95</f>
        <v>2.5293536830780002E-2</v>
      </c>
      <c r="I79" s="37">
        <f>+'BG2008-2013'!J84/'BG2008-2013'!$I$95</f>
        <v>2.5293536830780002E-2</v>
      </c>
      <c r="L79" s="21" t="s">
        <v>44</v>
      </c>
      <c r="M79" s="37">
        <f>+('BG2008-2013'!F84-'BG2008-2013'!E84)/'BG2008-2013'!E84</f>
        <v>2.6263164015315056E-3</v>
      </c>
      <c r="N79" s="37">
        <f>+('BG2008-2013'!G84-'BG2008-2013'!F84)/'BG2008-2013'!F84</f>
        <v>0</v>
      </c>
      <c r="O79" s="37">
        <f>+('BG2008-2013'!H84-'BG2008-2013'!G84)/'BG2008-2013'!G84</f>
        <v>0</v>
      </c>
      <c r="P79" s="37">
        <f>+('BG2008-2013'!I84-'BG2008-2013'!H84)/'BG2008-2013'!H84</f>
        <v>0.22390616390418239</v>
      </c>
      <c r="Q79" s="37">
        <f>+('BG2008-2013'!J84-'BG2008-2013'!I84)/'BG2008-2013'!I84</f>
        <v>0</v>
      </c>
    </row>
    <row r="80" spans="3:17" x14ac:dyDescent="0.25">
      <c r="C80" s="21" t="s">
        <v>45</v>
      </c>
      <c r="D80" s="37">
        <f>+'BG2008-2013'!E85/'BG2008-2013'!$E$95</f>
        <v>0.15187967948640574</v>
      </c>
      <c r="E80" s="37">
        <f>+'BG2008-2013'!F85/'BG2008-2013'!$F$95</f>
        <v>0.17924023926977201</v>
      </c>
      <c r="F80" s="37">
        <f>+'BG2008-2013'!G85/'BG2008-2013'!$G$95</f>
        <v>0.22191414264403661</v>
      </c>
      <c r="G80" s="37">
        <f>+'BG2008-2013'!H85/'BG2008-2013'!$H$95</f>
        <v>0.20475006205358148</v>
      </c>
      <c r="H80" s="37">
        <f>+'BG2008-2013'!I85/'BG2008-2013'!$I$95</f>
        <v>0.19225053984176582</v>
      </c>
      <c r="I80" s="37">
        <f>+'BG2008-2013'!J85/'BG2008-2013'!$I$95</f>
        <v>0.22082182080978069</v>
      </c>
      <c r="L80" s="21" t="s">
        <v>45</v>
      </c>
      <c r="M80" s="37">
        <f>+('BG2008-2013'!F85-'BG2008-2013'!E85)/'BG2008-2013'!E85</f>
        <v>0.58144812473562146</v>
      </c>
      <c r="N80" s="37">
        <f>+('BG2008-2013'!G85-'BG2008-2013'!F85)/'BG2008-2013'!F85</f>
        <v>0.49994213490674577</v>
      </c>
      <c r="O80" s="37">
        <f>+('BG2008-2013'!H85-'BG2008-2013'!G85)/'BG2008-2013'!G85</f>
        <v>0.19277438585070999</v>
      </c>
      <c r="P80" s="37">
        <f>+('BG2008-2013'!I85-'BG2008-2013'!H85)/'BG2008-2013'!H85</f>
        <v>0.32236648849579802</v>
      </c>
      <c r="Q80" s="37">
        <f>+('BG2008-2013'!J85-'BG2008-2013'!I85)/'BG2008-2013'!I85</f>
        <v>0.14861482829401049</v>
      </c>
    </row>
    <row r="81" spans="3:17" x14ac:dyDescent="0.25">
      <c r="C81" s="21" t="s">
        <v>46</v>
      </c>
      <c r="D81" s="37">
        <f>+'BG2008-2013'!E86/'BG2008-2013'!$E$95</f>
        <v>4.2127106833508038E-2</v>
      </c>
      <c r="E81" s="37">
        <f>+'BG2008-2013'!F86/'BG2008-2013'!$F$95</f>
        <v>3.003040750014125E-2</v>
      </c>
      <c r="F81" s="37">
        <f>+'BG2008-2013'!G86/'BG2008-2013'!$G$95</f>
        <v>2.3626576521458408E-2</v>
      </c>
      <c r="G81" s="37">
        <f>+'BG2008-2013'!H86/'BG2008-2013'!$H$95</f>
        <v>4.5644470407957211E-3</v>
      </c>
      <c r="H81" s="37">
        <f>+'BG2008-2013'!I86/'BG2008-2013'!$I$95</f>
        <v>3.2410062136770611E-3</v>
      </c>
      <c r="I81" s="37">
        <f>+'BG2008-2013'!J86/'BG2008-2013'!$I$95</f>
        <v>3.2410062136770611E-3</v>
      </c>
      <c r="L81" s="21" t="s">
        <v>46</v>
      </c>
      <c r="M81" s="37">
        <f>+('BG2008-2013'!F86-'BG2008-2013'!E86)/'BG2008-2013'!E86</f>
        <v>-4.4746365079079718E-2</v>
      </c>
      <c r="N81" s="37">
        <f>+('BG2008-2013'!G86-'BG2008-2013'!F86)/'BG2008-2013'!F86</f>
        <v>-4.6842628485075553E-2</v>
      </c>
      <c r="O81" s="37">
        <f>+('BG2008-2013'!H86-'BG2008-2013'!G86)/'BG2008-2013'!G86</f>
        <v>-0.75024935502855528</v>
      </c>
      <c r="P81" s="37">
        <f>+('BG2008-2013'!I86-'BG2008-2013'!H86)/'BG2008-2013'!H86</f>
        <v>0</v>
      </c>
      <c r="Q81" s="37">
        <f>+('BG2008-2013'!J86-'BG2008-2013'!I86)/'BG2008-2013'!I86</f>
        <v>0</v>
      </c>
    </row>
    <row r="82" spans="3:17" x14ac:dyDescent="0.25">
      <c r="C82" s="21" t="s">
        <v>47</v>
      </c>
      <c r="D82" s="37">
        <f>+'BG2008-2013'!E87/'BG2008-2013'!$E$95</f>
        <v>2.4386265671614001E-2</v>
      </c>
      <c r="E82" s="37">
        <f>+'BG2008-2013'!F87/'BG2008-2013'!$F$95</f>
        <v>0</v>
      </c>
      <c r="F82" s="37">
        <f>+'BG2008-2013'!G87/'BG2008-2013'!$G$95</f>
        <v>0</v>
      </c>
      <c r="G82" s="37">
        <f>+'BG2008-2013'!H87/'BG2008-2013'!$H$95</f>
        <v>0</v>
      </c>
      <c r="H82" s="37">
        <f>+'BG2008-2013'!I87/'BG2008-2013'!$I$95</f>
        <v>0</v>
      </c>
      <c r="I82" s="37">
        <f>+'BG2008-2013'!J87/'BG2008-2013'!$I$95</f>
        <v>0</v>
      </c>
      <c r="L82" s="21" t="s">
        <v>47</v>
      </c>
      <c r="M82" s="37">
        <f>+('BG2008-2013'!F87-'BG2008-2013'!E87)/'BG2008-2013'!E87</f>
        <v>-1</v>
      </c>
      <c r="N82" s="37">
        <v>0</v>
      </c>
      <c r="O82" s="37">
        <v>0</v>
      </c>
      <c r="P82" s="37">
        <v>0</v>
      </c>
      <c r="Q82" s="37">
        <v>0</v>
      </c>
    </row>
    <row r="83" spans="3:17" x14ac:dyDescent="0.25">
      <c r="C83" s="21" t="s">
        <v>48</v>
      </c>
      <c r="D83" s="37">
        <f>+'BG2008-2013'!E88/'BG2008-2013'!$E$95</f>
        <v>0</v>
      </c>
      <c r="E83" s="37">
        <f>+'BG2008-2013'!F88/'BG2008-2013'!$F$95</f>
        <v>0</v>
      </c>
      <c r="F83" s="37">
        <f>+'BG2008-2013'!G88/'BG2008-2013'!$G$95</f>
        <v>0</v>
      </c>
      <c r="G83" s="37">
        <f>+'BG2008-2013'!H88/'BG2008-2013'!$H$95</f>
        <v>0</v>
      </c>
      <c r="H83" s="37">
        <f>+'BG2008-2013'!I88/'BG2008-2013'!$I$95</f>
        <v>0.25727773577994523</v>
      </c>
      <c r="I83" s="37">
        <f>+'BG2008-2013'!J88/'BG2008-2013'!$I$95</f>
        <v>0.25727773577994523</v>
      </c>
      <c r="L83" s="21" t="s">
        <v>48</v>
      </c>
      <c r="M83" s="37">
        <v>0</v>
      </c>
      <c r="N83" s="37">
        <v>0</v>
      </c>
      <c r="O83" s="37">
        <v>0</v>
      </c>
      <c r="P83" s="37">
        <v>0</v>
      </c>
      <c r="Q83" s="37">
        <f>+('BG2008-2013'!J88-'BG2008-2013'!I88)/'BG2008-2013'!I88</f>
        <v>0</v>
      </c>
    </row>
    <row r="84" spans="3:17" x14ac:dyDescent="0.25">
      <c r="C84" s="21" t="s">
        <v>49</v>
      </c>
      <c r="D84" s="37">
        <f>+'BG2008-2013'!E89/'BG2008-2013'!$E$95</f>
        <v>0</v>
      </c>
      <c r="E84" s="37">
        <f>+'BG2008-2013'!F89/'BG2008-2013'!$F$95</f>
        <v>-1.0442106264932248E-4</v>
      </c>
      <c r="F84" s="37">
        <f>+'BG2008-2013'!G89/'BG2008-2013'!$G$95</f>
        <v>0</v>
      </c>
      <c r="G84" s="37">
        <f>+'BG2008-2013'!H89/'BG2008-2013'!$H$95</f>
        <v>0</v>
      </c>
      <c r="H84" s="37">
        <f>+'BG2008-2013'!I89/'BG2008-2013'!$I$95</f>
        <v>0</v>
      </c>
      <c r="I84" s="37">
        <f>+'BG2008-2013'!J89/'BG2008-2013'!$I$95</f>
        <v>0</v>
      </c>
      <c r="L84" s="21" t="s">
        <v>49</v>
      </c>
      <c r="M84" s="37">
        <v>0</v>
      </c>
      <c r="N84" s="37">
        <f>+('BG2008-2013'!G89-'BG2008-2013'!F89)/'BG2008-2013'!F89</f>
        <v>-1</v>
      </c>
      <c r="O84" s="37">
        <v>0</v>
      </c>
      <c r="P84" s="37">
        <v>0</v>
      </c>
      <c r="Q84" s="37">
        <v>0</v>
      </c>
    </row>
    <row r="85" spans="3:17" x14ac:dyDescent="0.25">
      <c r="C85" s="21" t="s">
        <v>50</v>
      </c>
      <c r="D85" s="37">
        <f>+'BG2008-2013'!E90/'BG2008-2013'!$E$95</f>
        <v>8.9968902878280688E-2</v>
      </c>
      <c r="E85" s="37">
        <f>+'BG2008-2013'!F90/'BG2008-2013'!$F$95</f>
        <v>0.1124545664180263</v>
      </c>
      <c r="F85" s="37">
        <f>+'BG2008-2013'!G90/'BG2008-2013'!$G$95</f>
        <v>7.292928763768175E-2</v>
      </c>
      <c r="G85" s="37">
        <f>+'BG2008-2013'!H90/'BG2008-2013'!$H$95</f>
        <v>9.436309233719252E-2</v>
      </c>
      <c r="H85" s="37">
        <f>+'BG2008-2013'!I90/'BG2008-2013'!$I$95</f>
        <v>5.1147119996641864E-2</v>
      </c>
      <c r="I85" s="37">
        <f>+'BG2008-2013'!J90/'BG2008-2013'!$I$95</f>
        <v>8.9893637895992626E-2</v>
      </c>
      <c r="L85" s="21" t="s">
        <v>50</v>
      </c>
      <c r="M85" s="37">
        <f>+('BG2008-2013'!F90-'BG2008-2013'!E90)/'BG2008-2013'!E90</f>
        <v>0.6749574485549682</v>
      </c>
      <c r="N85" s="37">
        <f>+('BG2008-2013'!G90-'BG2008-2013'!F90)/'BG2008-2013'!F90</f>
        <v>-0.21431237057026392</v>
      </c>
      <c r="O85" s="37">
        <f>+('BG2008-2013'!H90-'BG2008-2013'!G90)/'BG2008-2013'!G90</f>
        <v>0.67270531226117003</v>
      </c>
      <c r="P85" s="37">
        <f>+('BG2008-2013'!I90-'BG2008-2013'!H90)/'BG2008-2013'!H90</f>
        <v>-0.23664363934432681</v>
      </c>
      <c r="Q85" s="37">
        <f>+('BG2008-2013'!J90-'BG2008-2013'!I90)/'BG2008-2013'!I90</f>
        <v>0.75755033522698279</v>
      </c>
    </row>
    <row r="86" spans="3:17" x14ac:dyDescent="0.25">
      <c r="C86" s="21" t="s">
        <v>51</v>
      </c>
      <c r="D86" s="37">
        <f>+'BG2008-2013'!E91/'BG2008-2013'!$E$95</f>
        <v>0</v>
      </c>
      <c r="E86" s="37">
        <f>+'BG2008-2013'!F91/'BG2008-2013'!$F$95</f>
        <v>0</v>
      </c>
      <c r="F86" s="37">
        <f>+'BG2008-2013'!G91/'BG2008-2013'!$G$95</f>
        <v>0</v>
      </c>
      <c r="G86" s="37">
        <f>+'BG2008-2013'!H91/'BG2008-2013'!$H$95</f>
        <v>6.8856272493806499E-3</v>
      </c>
      <c r="H86" s="37">
        <f>+'BG2008-2013'!I91/'BG2008-2013'!$I$95</f>
        <v>-6.0474849147619763E-4</v>
      </c>
      <c r="I86" s="37">
        <f>+'BG2008-2013'!J91/'BG2008-2013'!$I$95</f>
        <v>0</v>
      </c>
      <c r="L86" s="21" t="s">
        <v>51</v>
      </c>
      <c r="M86" s="37">
        <v>0</v>
      </c>
      <c r="N86" s="37">
        <v>0</v>
      </c>
      <c r="O86" s="37">
        <v>0</v>
      </c>
      <c r="P86" s="37">
        <f>+('BG2008-2013'!I91-'BG2008-2013'!H91)/'BG2008-2013'!H91</f>
        <v>-1.1236914252916812</v>
      </c>
      <c r="Q86" s="37">
        <f>+('BG2008-2013'!J91-'BG2008-2013'!I91)/'BG2008-2013'!I91</f>
        <v>-1</v>
      </c>
    </row>
    <row r="87" spans="3:17" x14ac:dyDescent="0.25">
      <c r="C87" s="21" t="s">
        <v>52</v>
      </c>
      <c r="D87" s="37">
        <f>+'BG2008-2013'!E92/'BG2008-2013'!$E$95</f>
        <v>1.1166214319141207E-3</v>
      </c>
      <c r="E87" s="37">
        <f>+'BG2008-2013'!F92/'BG2008-2013'!$F$95</f>
        <v>0</v>
      </c>
      <c r="F87" s="37">
        <f>+'BG2008-2013'!G92/'BG2008-2013'!$G$95</f>
        <v>0</v>
      </c>
      <c r="G87" s="37">
        <f>+'BG2008-2013'!H92/'BG2008-2013'!$H$95</f>
        <v>0</v>
      </c>
      <c r="H87" s="37">
        <f>+'BG2008-2013'!I92/'BG2008-2013'!$I$95</f>
        <v>0</v>
      </c>
      <c r="I87" s="37">
        <f>+'BG2008-2013'!J92/'BG2008-2013'!$I$95</f>
        <v>0</v>
      </c>
      <c r="L87" s="21" t="s">
        <v>52</v>
      </c>
      <c r="M87" s="37">
        <f>+('BG2008-2013'!F92-'BG2008-2013'!E92)/'BG2008-2013'!E92</f>
        <v>-1</v>
      </c>
      <c r="N87" s="37">
        <v>0</v>
      </c>
      <c r="O87" s="37">
        <v>0</v>
      </c>
      <c r="P87" s="37">
        <v>0</v>
      </c>
      <c r="Q87" s="37">
        <v>0</v>
      </c>
    </row>
    <row r="88" spans="3:17" x14ac:dyDescent="0.25">
      <c r="C88" s="21" t="s">
        <v>53</v>
      </c>
      <c r="D88" s="37">
        <f>+'BG2008-2013'!E93/'BG2008-2013'!$E$95</f>
        <v>0.62959663399446464</v>
      </c>
      <c r="E88" s="37">
        <f>+'BG2008-2013'!F93/'BG2008-2013'!$F$95</f>
        <v>0.63279504005495391</v>
      </c>
      <c r="F88" s="37">
        <f>+'BG2008-2013'!G93/'BG2008-2013'!$G$95</f>
        <v>0.64390391172647987</v>
      </c>
      <c r="G88" s="37">
        <f>+'BG2008-2013'!H93/'BG2008-2013'!$H$95</f>
        <v>0.66033162757948771</v>
      </c>
      <c r="H88" s="37">
        <f>+'BG2008-2013'!I93/'BG2008-2013'!$I$95</f>
        <v>0.47139480982866611</v>
      </c>
      <c r="I88" s="37">
        <f>+'BG2008-2013'!J93/'BG2008-2013'!$I$95</f>
        <v>0.45436767308097448</v>
      </c>
      <c r="L88" s="21" t="s">
        <v>53</v>
      </c>
      <c r="M88" s="37">
        <f>+('BG2008-2013'!F93-'BG2008-2013'!E93)/'BG2008-2013'!E93</f>
        <v>0.34685169298129515</v>
      </c>
      <c r="N88" s="37">
        <f>+('BG2008-2013'!G93-'BG2008-2013'!F93)/'BG2008-2013'!F93</f>
        <v>0.23277277942215974</v>
      </c>
      <c r="O88" s="37">
        <f>+('BG2008-2013'!H93-'BG2008-2013'!G93)/'BG2008-2013'!G93</f>
        <v>0.32574585694446073</v>
      </c>
      <c r="P88" s="37">
        <f>+('BG2008-2013'!I93-'BG2008-2013'!H93)/'BG2008-2013'!H93</f>
        <v>5.3817706191243968E-3</v>
      </c>
      <c r="Q88" s="37">
        <f>+('BG2008-2013'!J93-'BG2008-2013'!I93)/'BG2008-2013'!I93</f>
        <v>-3.6120755665257236E-2</v>
      </c>
    </row>
    <row r="90" spans="3:17" x14ac:dyDescent="0.25">
      <c r="C90" s="5" t="s">
        <v>55</v>
      </c>
      <c r="D90" s="46">
        <f>+'BG2008-2013'!E95/'BG2008-2013'!E95</f>
        <v>1</v>
      </c>
      <c r="E90" s="46">
        <f>+'BG2008-2013'!F95/'BG2008-2013'!F95</f>
        <v>1</v>
      </c>
      <c r="F90" s="46">
        <f>+'BG2008-2013'!G95/'BG2008-2013'!G95</f>
        <v>1</v>
      </c>
      <c r="G90" s="46">
        <f>+'BG2008-2013'!H95/'BG2008-2013'!H95</f>
        <v>1</v>
      </c>
      <c r="H90" s="46">
        <f>+'BG2008-2013'!I95/'BG2008-2013'!I95</f>
        <v>1</v>
      </c>
      <c r="I90" s="46">
        <f>+'BG2008-2013'!J95/'BG2008-2013'!J95</f>
        <v>1</v>
      </c>
      <c r="L90" s="5" t="s">
        <v>55</v>
      </c>
      <c r="M90" s="47">
        <f>+('BG2008-2013'!F95-'BG2008-2013'!E95)/'BG2008-2013'!E95</f>
        <v>0.34004415128969567</v>
      </c>
      <c r="N90" s="47">
        <f>+('BG2008-2013'!G95-'BG2008-2013'!F95)/'BG2008-2013'!F95</f>
        <v>0.21150452129024058</v>
      </c>
      <c r="O90" s="47">
        <f>+('BG2008-2013'!H95-'BG2008-2013'!G95)/'BG2008-2013'!G95</f>
        <v>0.29276398038189322</v>
      </c>
      <c r="P90" s="47">
        <f>+('BG2008-2013'!I95-'BG2008-2013'!H95)/'BG2008-2013'!H95</f>
        <v>0.40834257630662157</v>
      </c>
      <c r="Q90" s="47">
        <f>+('BG2008-2013'!J95-'BG2008-2013'!I95)/'BG2008-2013'!I95</f>
        <v>5.0895410611149931E-2</v>
      </c>
    </row>
    <row r="93" spans="3:17" s="80" customFormat="1" x14ac:dyDescent="0.25"/>
    <row r="96" spans="3:17" ht="18.75" x14ac:dyDescent="0.25">
      <c r="C96" s="81" t="s">
        <v>263</v>
      </c>
    </row>
    <row r="97" spans="3:17" ht="32.25" customHeight="1" x14ac:dyDescent="0.25">
      <c r="D97" s="4">
        <v>2008</v>
      </c>
      <c r="E97" s="4">
        <v>2009</v>
      </c>
      <c r="F97" s="4">
        <v>2010</v>
      </c>
      <c r="G97" s="4">
        <v>2011</v>
      </c>
      <c r="H97" s="4">
        <v>2012</v>
      </c>
      <c r="I97" s="4">
        <v>2013</v>
      </c>
      <c r="M97" s="4" t="s">
        <v>266</v>
      </c>
      <c r="N97" s="4" t="s">
        <v>267</v>
      </c>
      <c r="O97" s="4" t="s">
        <v>268</v>
      </c>
      <c r="P97" s="4" t="s">
        <v>269</v>
      </c>
      <c r="Q97" s="4" t="s">
        <v>300</v>
      </c>
    </row>
    <row r="98" spans="3:17" x14ac:dyDescent="0.25">
      <c r="C98" s="21" t="s">
        <v>1</v>
      </c>
      <c r="D98" s="37">
        <f>+D25</f>
        <v>0.28897402980369352</v>
      </c>
      <c r="E98" s="37">
        <f t="shared" ref="E98:H98" si="0">+E25</f>
        <v>0.25864260597356103</v>
      </c>
      <c r="F98" s="37">
        <f t="shared" si="0"/>
        <v>0.52086943812937636</v>
      </c>
      <c r="G98" s="37">
        <f t="shared" si="0"/>
        <v>0.57642986282692166</v>
      </c>
      <c r="H98" s="37">
        <f t="shared" si="0"/>
        <v>0.28482530007428342</v>
      </c>
      <c r="I98" s="37">
        <f t="shared" ref="I98" si="1">+I25</f>
        <v>0.29046565273278901</v>
      </c>
      <c r="L98" s="21" t="s">
        <v>1</v>
      </c>
      <c r="M98" s="37">
        <f>+M25</f>
        <v>9.2700006976145319E-2</v>
      </c>
      <c r="N98" s="37">
        <f>+N25</f>
        <v>1.5130506355294495</v>
      </c>
      <c r="O98" s="37">
        <f>+O25</f>
        <v>0.5174383307241609</v>
      </c>
      <c r="P98" s="37">
        <f>+P25</f>
        <v>-0.42693005985849364</v>
      </c>
      <c r="Q98" s="37">
        <f>+Q25</f>
        <v>8.0013904279008938E-2</v>
      </c>
    </row>
    <row r="99" spans="3:17" x14ac:dyDescent="0.25">
      <c r="C99" s="21" t="s">
        <v>20</v>
      </c>
      <c r="D99" s="37">
        <f>+D36</f>
        <v>0.71102597019630642</v>
      </c>
      <c r="E99" s="37">
        <f t="shared" ref="E99:H99" si="2">+E36</f>
        <v>0.74135739402643885</v>
      </c>
      <c r="F99" s="37">
        <f t="shared" si="2"/>
        <v>0.47913056187062358</v>
      </c>
      <c r="G99" s="37">
        <f t="shared" si="2"/>
        <v>0.42357013717307845</v>
      </c>
      <c r="H99" s="37">
        <f t="shared" si="2"/>
        <v>0.71517469992571658</v>
      </c>
      <c r="I99" s="37">
        <f t="shared" ref="I99" si="3">+I36</f>
        <v>0.70953434726721099</v>
      </c>
      <c r="L99" s="21" t="s">
        <v>20</v>
      </c>
      <c r="M99" s="37">
        <f>+M36</f>
        <v>0.27292217609394098</v>
      </c>
      <c r="N99" s="37">
        <f>+N36</f>
        <v>-0.19351056799597408</v>
      </c>
      <c r="O99" s="37">
        <f>+O36</f>
        <v>0.21217385934764396</v>
      </c>
      <c r="P99" s="37">
        <f>+P36</f>
        <v>0.95822389540929109</v>
      </c>
      <c r="Q99" s="37">
        <f>+Q36</f>
        <v>5.0689535118738534E-2</v>
      </c>
    </row>
    <row r="100" spans="3:17" x14ac:dyDescent="0.25">
      <c r="L100" s="21" t="s">
        <v>264</v>
      </c>
      <c r="M100" s="37">
        <f>+M38</f>
        <v>0.22084264962400885</v>
      </c>
      <c r="N100" s="37">
        <f>+N38</f>
        <v>0.24787886893721808</v>
      </c>
      <c r="O100" s="37">
        <f>+O38</f>
        <v>0.37117679303439133</v>
      </c>
      <c r="P100" s="37">
        <f>+P38</f>
        <v>0.15977979098011416</v>
      </c>
      <c r="Q100" s="37">
        <f>+Q38</f>
        <v>5.9041857364301613E-2</v>
      </c>
    </row>
    <row r="118" spans="3:17" s="80" customFormat="1" x14ac:dyDescent="0.25"/>
    <row r="121" spans="3:17" ht="18.75" x14ac:dyDescent="0.25">
      <c r="C121" s="81" t="s">
        <v>271</v>
      </c>
    </row>
    <row r="122" spans="3:17" ht="32.25" customHeight="1" x14ac:dyDescent="0.25">
      <c r="D122" s="4">
        <v>2008</v>
      </c>
      <c r="E122" s="4">
        <v>2009</v>
      </c>
      <c r="F122" s="4">
        <v>2010</v>
      </c>
      <c r="G122" s="4">
        <v>2011</v>
      </c>
      <c r="H122" s="4">
        <v>2012</v>
      </c>
      <c r="I122" s="4">
        <v>2013</v>
      </c>
      <c r="M122" s="4" t="s">
        <v>266</v>
      </c>
      <c r="N122" s="4" t="s">
        <v>267</v>
      </c>
      <c r="O122" s="4" t="s">
        <v>268</v>
      </c>
      <c r="P122" s="4" t="s">
        <v>269</v>
      </c>
      <c r="Q122" s="4" t="s">
        <v>300</v>
      </c>
    </row>
    <row r="123" spans="3:17" x14ac:dyDescent="0.25">
      <c r="C123" s="21" t="s">
        <v>19</v>
      </c>
      <c r="D123" s="37">
        <f>+D55</f>
        <v>0.50472420585668099</v>
      </c>
      <c r="E123" s="37">
        <f t="shared" ref="E123:H123" si="4">+E55</f>
        <v>0.47220376552525217</v>
      </c>
      <c r="F123" s="37">
        <f t="shared" si="4"/>
        <v>0.5956087077479334</v>
      </c>
      <c r="G123" s="37">
        <f t="shared" si="4"/>
        <v>0.80986503951329325</v>
      </c>
      <c r="H123" s="37">
        <f t="shared" si="4"/>
        <v>0.70413787329160904</v>
      </c>
      <c r="I123" s="37">
        <f t="shared" ref="I123" si="5">+I55</f>
        <v>0.57706734380051028</v>
      </c>
      <c r="L123" s="21" t="s">
        <v>19</v>
      </c>
      <c r="M123" s="37">
        <f>+M55</f>
        <v>-4.682607105294713E-2</v>
      </c>
      <c r="N123" s="37">
        <f t="shared" ref="N123:P123" si="6">+N55</f>
        <v>0.67627271223422147</v>
      </c>
      <c r="O123" s="37">
        <f t="shared" si="6"/>
        <v>1.0810934024839269</v>
      </c>
      <c r="P123" s="37">
        <f t="shared" si="6"/>
        <v>-0.36257908558673635</v>
      </c>
      <c r="Q123" s="37">
        <f t="shared" ref="Q123" si="7">+Q55</f>
        <v>-0.11006157044041322</v>
      </c>
    </row>
    <row r="124" spans="3:17" x14ac:dyDescent="0.25">
      <c r="C124" s="21" t="s">
        <v>37</v>
      </c>
      <c r="D124" s="37">
        <f>+D67</f>
        <v>0.49527579414331901</v>
      </c>
      <c r="E124" s="37">
        <f t="shared" ref="E124:H124" si="8">+E67</f>
        <v>0.52779623447474777</v>
      </c>
      <c r="F124" s="37">
        <f t="shared" si="8"/>
        <v>0.4043912922520666</v>
      </c>
      <c r="G124" s="37">
        <f t="shared" si="8"/>
        <v>0.19013496048670675</v>
      </c>
      <c r="H124" s="37">
        <f t="shared" si="8"/>
        <v>0.29586212670839102</v>
      </c>
      <c r="I124" s="37">
        <f t="shared" ref="I124" si="9">+I67</f>
        <v>0.42293265619948978</v>
      </c>
      <c r="L124" s="21" t="s">
        <v>37</v>
      </c>
      <c r="M124" s="37">
        <f>+M67</f>
        <v>8.5715472338892304E-2</v>
      </c>
      <c r="N124" s="37">
        <f t="shared" ref="N124:P124" si="10">+N67</f>
        <v>1.8236335545608554E-2</v>
      </c>
      <c r="O124" s="37">
        <f t="shared" si="10"/>
        <v>-0.28038510725219246</v>
      </c>
      <c r="P124" s="37">
        <f t="shared" si="10"/>
        <v>0.14079774046045043</v>
      </c>
      <c r="Q124" s="37">
        <f t="shared" ref="Q124" si="11">+Q67</f>
        <v>0.55229054477333506</v>
      </c>
    </row>
    <row r="125" spans="3:17" x14ac:dyDescent="0.25">
      <c r="L125" s="21" t="s">
        <v>39</v>
      </c>
      <c r="M125" s="37">
        <f>+M69</f>
        <v>1.8818547107427381E-2</v>
      </c>
      <c r="N125" s="37">
        <f t="shared" ref="N125:P125" si="12">+N69</f>
        <v>0.32896359047056478</v>
      </c>
      <c r="O125" s="37">
        <f t="shared" si="12"/>
        <v>0.53052334855831973</v>
      </c>
      <c r="P125" s="37">
        <f t="shared" si="12"/>
        <v>-0.26686955265633067</v>
      </c>
      <c r="Q125" s="37">
        <f t="shared" ref="Q125" si="13">+Q69</f>
        <v>8.5903334996527622E-2</v>
      </c>
    </row>
    <row r="144" s="80" customFormat="1" x14ac:dyDescent="0.25"/>
    <row r="148" spans="3:17" ht="18.75" x14ac:dyDescent="0.25">
      <c r="C148" s="81" t="s">
        <v>265</v>
      </c>
    </row>
    <row r="149" spans="3:17" ht="32.25" customHeight="1" x14ac:dyDescent="0.25">
      <c r="D149" s="4">
        <v>2008</v>
      </c>
      <c r="E149" s="4">
        <v>2009</v>
      </c>
      <c r="F149" s="4">
        <v>2010</v>
      </c>
      <c r="G149" s="4">
        <v>2011</v>
      </c>
      <c r="H149" s="4">
        <v>2012</v>
      </c>
      <c r="I149" s="4">
        <v>2013</v>
      </c>
      <c r="M149" s="4" t="s">
        <v>266</v>
      </c>
      <c r="N149" s="4" t="s">
        <v>267</v>
      </c>
      <c r="O149" s="4" t="s">
        <v>268</v>
      </c>
      <c r="P149" s="4" t="s">
        <v>269</v>
      </c>
      <c r="Q149" s="4" t="s">
        <v>300</v>
      </c>
    </row>
    <row r="150" spans="3:17" x14ac:dyDescent="0.25">
      <c r="C150" s="21" t="s">
        <v>18</v>
      </c>
      <c r="D150" s="37">
        <f>+'BG2008-2013'!E74/'BG2008-2013'!E38</f>
        <v>0.37108342896449026</v>
      </c>
      <c r="E150" s="37">
        <f>+'BG2008-2013'!F74/'BG2008-2013'!F38</f>
        <v>0.30967682859841106</v>
      </c>
      <c r="F150" s="37">
        <f>+'BG2008-2013'!G74/'BG2008-2013'!G38</f>
        <v>0.32979902157505597</v>
      </c>
      <c r="G150" s="37">
        <f>+'BG2008-2013'!H74/'BG2008-2013'!H38</f>
        <v>0.36812547106728338</v>
      </c>
      <c r="H150" s="37">
        <f>+'BG2008-2013'!I74/'BG2008-2013'!I38</f>
        <v>0.23270278839233882</v>
      </c>
      <c r="I150" s="37">
        <f>+'BG2008-2013'!J74/'BG2008-2013'!J38</f>
        <v>0.23860504872500785</v>
      </c>
      <c r="L150" s="21" t="s">
        <v>270</v>
      </c>
      <c r="M150" s="37">
        <f>+M38</f>
        <v>0.22084264962400885</v>
      </c>
      <c r="N150" s="37">
        <f>+N38</f>
        <v>0.24787886893721808</v>
      </c>
      <c r="O150" s="37">
        <f>+O38</f>
        <v>0.37117679303439133</v>
      </c>
      <c r="P150" s="37">
        <f>+P38</f>
        <v>0.15977979098011416</v>
      </c>
      <c r="Q150" s="37">
        <f>+Q38</f>
        <v>5.9041857364301613E-2</v>
      </c>
    </row>
    <row r="151" spans="3:17" x14ac:dyDescent="0.25">
      <c r="C151" s="21" t="s">
        <v>54</v>
      </c>
      <c r="D151" s="37">
        <f>+'BG2008-2013'!E95/'BG2008-2013'!E38</f>
        <v>0.62891657103550969</v>
      </c>
      <c r="E151" s="37">
        <f>+'BG2008-2013'!F95/'BG2008-2013'!F38</f>
        <v>0.6903231738544362</v>
      </c>
      <c r="F151" s="37">
        <f>+'BG2008-2013'!G95/'BG2008-2013'!G38</f>
        <v>0.67020098432178421</v>
      </c>
      <c r="G151" s="37">
        <f>+'BG2008-2013'!H95/'BG2008-2013'!H38</f>
        <v>0.63187453036623964</v>
      </c>
      <c r="H151" s="37">
        <f>+'BG2008-2013'!I95/'BG2008-2013'!I38</f>
        <v>0.76729721531575201</v>
      </c>
      <c r="I151" s="37">
        <f>+'BG2008-2013'!J95/'BG2008-2013'!J38</f>
        <v>0.76139495010787073</v>
      </c>
      <c r="L151" s="21" t="s">
        <v>18</v>
      </c>
      <c r="M151" s="37">
        <f>+M69</f>
        <v>1.8818547107427381E-2</v>
      </c>
      <c r="N151" s="37">
        <f>+N69</f>
        <v>0.32896359047056478</v>
      </c>
      <c r="O151" s="37">
        <f>+O69</f>
        <v>0.53052334855831973</v>
      </c>
      <c r="P151" s="37">
        <f>+P69</f>
        <v>-0.26686955265633067</v>
      </c>
      <c r="Q151" s="37">
        <f>+Q69</f>
        <v>8.5903334996527622E-2</v>
      </c>
    </row>
    <row r="152" spans="3:17" x14ac:dyDescent="0.25">
      <c r="L152" s="21" t="s">
        <v>54</v>
      </c>
      <c r="M152" s="37">
        <f>+M90</f>
        <v>0.34004415128969567</v>
      </c>
      <c r="N152" s="37">
        <f>+N90</f>
        <v>0.21150452129024058</v>
      </c>
      <c r="O152" s="37">
        <f>+O90</f>
        <v>0.29276398038189322</v>
      </c>
      <c r="P152" s="37">
        <f>+P90</f>
        <v>0.40834257630662157</v>
      </c>
      <c r="Q152" s="37">
        <f>+Q90</f>
        <v>5.0895410611149931E-2</v>
      </c>
    </row>
    <row r="171" spans="3:14" s="80" customFormat="1" x14ac:dyDescent="0.25"/>
    <row r="174" spans="3:14" ht="32.25" customHeight="1" x14ac:dyDescent="0.25">
      <c r="D174" s="4">
        <v>2012</v>
      </c>
      <c r="E174" s="4">
        <v>2013</v>
      </c>
      <c r="M174" s="4">
        <v>2012</v>
      </c>
      <c r="N174" s="4">
        <v>2013</v>
      </c>
    </row>
    <row r="175" spans="3:14" x14ac:dyDescent="0.25">
      <c r="C175" s="21" t="s">
        <v>1</v>
      </c>
      <c r="D175" s="37">
        <f>+H98</f>
        <v>0.28482530007428342</v>
      </c>
      <c r="E175" s="37">
        <f>+I98</f>
        <v>0.29046565273278901</v>
      </c>
      <c r="L175" s="21" t="s">
        <v>19</v>
      </c>
      <c r="M175" s="37">
        <f>+H123</f>
        <v>0.70413787329160904</v>
      </c>
      <c r="N175" s="37">
        <f>+I123</f>
        <v>0.57706734380051028</v>
      </c>
    </row>
    <row r="176" spans="3:14" x14ac:dyDescent="0.25">
      <c r="C176" s="21" t="s">
        <v>20</v>
      </c>
      <c r="D176" s="37">
        <f>+H99</f>
        <v>0.71517469992571658</v>
      </c>
      <c r="E176" s="37">
        <f>+I99</f>
        <v>0.70953434726721099</v>
      </c>
      <c r="L176" s="21" t="s">
        <v>37</v>
      </c>
      <c r="M176" s="37">
        <f>+H124</f>
        <v>0.29586212670839102</v>
      </c>
      <c r="N176" s="37">
        <f>+I124</f>
        <v>0.42293265619948978</v>
      </c>
    </row>
    <row r="177" spans="3:15" x14ac:dyDescent="0.25">
      <c r="C177" s="21" t="s">
        <v>378</v>
      </c>
      <c r="D177" s="37">
        <f>+P100</f>
        <v>0.15977979098011416</v>
      </c>
      <c r="E177" s="37">
        <f>+Q100</f>
        <v>5.9041857364301613E-2</v>
      </c>
      <c r="L177" s="21" t="s">
        <v>378</v>
      </c>
      <c r="M177" s="37">
        <f>+P125</f>
        <v>-0.26686955265633067</v>
      </c>
      <c r="N177" s="37">
        <f>+Q125</f>
        <v>8.5903334996527622E-2</v>
      </c>
    </row>
    <row r="178" spans="3:15" x14ac:dyDescent="0.25">
      <c r="L178" s="9"/>
      <c r="M178" s="19"/>
      <c r="N178" s="19"/>
    </row>
    <row r="180" spans="3:15" x14ac:dyDescent="0.25">
      <c r="O180" s="13"/>
    </row>
    <row r="181" spans="3:15" x14ac:dyDescent="0.25">
      <c r="N181" s="13"/>
      <c r="O181" s="19"/>
    </row>
    <row r="182" spans="3:15" x14ac:dyDescent="0.25">
      <c r="N182" s="13"/>
      <c r="O182" s="19"/>
    </row>
    <row r="183" spans="3:15" x14ac:dyDescent="0.25">
      <c r="N183" s="13"/>
      <c r="O183" s="19"/>
    </row>
    <row r="184" spans="3:15" x14ac:dyDescent="0.25">
      <c r="N184" s="13"/>
      <c r="O184" s="19"/>
    </row>
  </sheetData>
  <mergeCells count="2">
    <mergeCell ref="L8:Q8"/>
    <mergeCell ref="C8:I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8:Q110"/>
  <sheetViews>
    <sheetView showGridLines="0" zoomScale="90" zoomScaleNormal="90" workbookViewId="0">
      <selection activeCell="D41" sqref="D41"/>
    </sheetView>
  </sheetViews>
  <sheetFormatPr baseColWidth="10" defaultRowHeight="15" x14ac:dyDescent="0.25"/>
  <cols>
    <col min="1" max="1" width="11.42578125" style="2"/>
    <col min="2" max="2" width="11.42578125" style="2" customWidth="1"/>
    <col min="3" max="3" width="54.5703125" style="2" customWidth="1"/>
    <col min="4" max="9" width="11.42578125" style="2" customWidth="1"/>
    <col min="10" max="10" width="12.5703125" style="2" customWidth="1"/>
    <col min="11" max="11" width="55.28515625" style="2" customWidth="1"/>
    <col min="12" max="16" width="9.85546875" style="2" bestFit="1" customWidth="1"/>
    <col min="17" max="16384" width="11.42578125" style="2"/>
  </cols>
  <sheetData>
    <row r="8" spans="2:17" ht="15.75" thickBot="1" x14ac:dyDescent="0.3"/>
    <row r="9" spans="2:17" ht="24" customHeight="1" thickBot="1" x14ac:dyDescent="0.3">
      <c r="C9" s="380" t="s">
        <v>291</v>
      </c>
      <c r="D9" s="381"/>
      <c r="E9" s="381"/>
      <c r="F9" s="381"/>
      <c r="G9" s="381"/>
      <c r="H9" s="381"/>
      <c r="I9" s="382"/>
      <c r="K9" s="380" t="s">
        <v>292</v>
      </c>
      <c r="L9" s="381"/>
      <c r="M9" s="381"/>
      <c r="N9" s="381"/>
      <c r="O9" s="381"/>
      <c r="P9" s="382"/>
    </row>
    <row r="10" spans="2:17" x14ac:dyDescent="0.25">
      <c r="C10" s="34" t="s">
        <v>209</v>
      </c>
      <c r="D10" s="34"/>
      <c r="K10" s="34" t="s">
        <v>209</v>
      </c>
    </row>
    <row r="11" spans="2:17" x14ac:dyDescent="0.25">
      <c r="B11" s="1"/>
      <c r="C11" s="3"/>
      <c r="D11" s="4">
        <v>2008</v>
      </c>
      <c r="E11" s="4">
        <v>2009</v>
      </c>
      <c r="F11" s="4">
        <v>2010</v>
      </c>
      <c r="G11" s="4">
        <v>2011</v>
      </c>
      <c r="H11" s="4">
        <v>2012</v>
      </c>
      <c r="I11" s="4">
        <v>2013</v>
      </c>
      <c r="K11" s="3"/>
      <c r="L11" s="4" t="s">
        <v>266</v>
      </c>
      <c r="M11" s="4" t="s">
        <v>267</v>
      </c>
      <c r="N11" s="4" t="s">
        <v>268</v>
      </c>
      <c r="O11" s="4" t="s">
        <v>269</v>
      </c>
      <c r="P11" s="4" t="s">
        <v>300</v>
      </c>
    </row>
    <row r="12" spans="2:17" x14ac:dyDescent="0.25">
      <c r="B12" s="1"/>
      <c r="C12" s="50"/>
      <c r="D12" s="50"/>
      <c r="E12" s="50"/>
      <c r="F12" s="50"/>
      <c r="G12" s="50"/>
      <c r="H12" s="50"/>
      <c r="I12" s="50"/>
      <c r="K12" s="50"/>
      <c r="L12" s="50"/>
      <c r="M12" s="50"/>
      <c r="N12" s="50"/>
      <c r="O12" s="50"/>
      <c r="P12" s="50"/>
    </row>
    <row r="13" spans="2:17" x14ac:dyDescent="0.25">
      <c r="B13" s="1"/>
      <c r="C13" s="51" t="s">
        <v>59</v>
      </c>
      <c r="D13" s="52"/>
      <c r="E13" s="52"/>
      <c r="F13" s="52"/>
      <c r="G13" s="52"/>
      <c r="H13" s="52"/>
      <c r="I13" s="52"/>
      <c r="K13" s="51" t="s">
        <v>59</v>
      </c>
      <c r="L13" s="52"/>
      <c r="M13" s="52"/>
      <c r="N13" s="52"/>
      <c r="O13" s="52"/>
      <c r="P13" s="52"/>
    </row>
    <row r="14" spans="2:17" x14ac:dyDescent="0.25">
      <c r="B14" s="1"/>
      <c r="C14" s="21" t="s">
        <v>60</v>
      </c>
      <c r="D14" s="36">
        <f>+'ER2008-2013'!E13/'ER2008-2013'!E14</f>
        <v>1</v>
      </c>
      <c r="E14" s="36">
        <f>+'ER2008-2013'!F13/'ER2008-2013'!F14</f>
        <v>1</v>
      </c>
      <c r="F14" s="36">
        <f>+'ER2008-2013'!G13/'ER2008-2013'!G14</f>
        <v>1</v>
      </c>
      <c r="G14" s="36">
        <f>+'ER2008-2013'!H13/'ER2008-2013'!H14</f>
        <v>1</v>
      </c>
      <c r="H14" s="36">
        <f>+'ER2008-2013'!I13/'ER2008-2013'!I14</f>
        <v>1</v>
      </c>
      <c r="I14" s="36">
        <f>+'ER2008-2013'!J13/'ER2008-2013'!J14</f>
        <v>1</v>
      </c>
      <c r="K14" s="21" t="s">
        <v>60</v>
      </c>
      <c r="L14" s="37">
        <f>+('ER2008-2013'!F13-'ER2008-2013'!E13)/'ER2008-2013'!E13</f>
        <v>0.16356130973996139</v>
      </c>
      <c r="M14" s="37">
        <f>+('ER2008-2013'!G13-'ER2008-2013'!F13)/'ER2008-2013'!F13</f>
        <v>-3.7298077926227725E-2</v>
      </c>
      <c r="N14" s="37">
        <f>+('ER2008-2013'!H13-'ER2008-2013'!G13)/'ER2008-2013'!G13</f>
        <v>0.11852040292902376</v>
      </c>
      <c r="O14" s="37">
        <f>+('ER2008-2013'!I13-'ER2008-2013'!H13)/'ER2008-2013'!H13</f>
        <v>0.104886223656973</v>
      </c>
      <c r="P14" s="37">
        <f>+('ER2008-2013'!J13-'ER2008-2013'!I13)/'ER2008-2013'!I13</f>
        <v>0.15807073163955351</v>
      </c>
      <c r="Q14" s="38"/>
    </row>
    <row r="15" spans="2:17" x14ac:dyDescent="0.25">
      <c r="C15" s="53" t="s">
        <v>61</v>
      </c>
      <c r="D15" s="47">
        <f>+'ER2008-2013'!E14/'ER2008-2013'!E14</f>
        <v>1</v>
      </c>
      <c r="E15" s="47">
        <f>+'ER2008-2013'!F14/'ER2008-2013'!F14</f>
        <v>1</v>
      </c>
      <c r="F15" s="47">
        <f>+'ER2008-2013'!G14/'ER2008-2013'!G14</f>
        <v>1</v>
      </c>
      <c r="G15" s="47">
        <f>+'ER2008-2013'!H14/'ER2008-2013'!H14</f>
        <v>1</v>
      </c>
      <c r="H15" s="47">
        <f>+'ER2008-2013'!I14/'ER2008-2013'!I14</f>
        <v>1</v>
      </c>
      <c r="I15" s="47">
        <f>+'ER2008-2013'!J14/'ER2008-2013'!J14</f>
        <v>1</v>
      </c>
      <c r="J15" s="7"/>
      <c r="K15" s="53" t="s">
        <v>61</v>
      </c>
      <c r="L15" s="47">
        <f>+('ER2008-2013'!F14-'ER2008-2013'!E14)/'ER2008-2013'!E14</f>
        <v>0.16356130973996139</v>
      </c>
      <c r="M15" s="47">
        <f>+('ER2008-2013'!G14-'ER2008-2013'!F14)/'ER2008-2013'!F14</f>
        <v>-3.7298077926227725E-2</v>
      </c>
      <c r="N15" s="47">
        <f>+('ER2008-2013'!H14-'ER2008-2013'!G14)/'ER2008-2013'!G14</f>
        <v>0.11852040292902376</v>
      </c>
      <c r="O15" s="47">
        <f>+('ER2008-2013'!I14-'ER2008-2013'!H14)/'ER2008-2013'!H14</f>
        <v>0.104886223656973</v>
      </c>
      <c r="P15" s="47">
        <f>+('ER2008-2013'!J14-'ER2008-2013'!I14)/'ER2008-2013'!I14</f>
        <v>0.15807073163955351</v>
      </c>
    </row>
    <row r="16" spans="2:17" x14ac:dyDescent="0.25">
      <c r="C16" s="53"/>
      <c r="D16" s="7"/>
      <c r="E16" s="7"/>
      <c r="F16" s="7"/>
      <c r="G16" s="7"/>
      <c r="H16" s="7"/>
      <c r="I16" s="7"/>
      <c r="K16" s="53"/>
      <c r="L16" s="7"/>
      <c r="M16" s="7"/>
      <c r="N16" s="7"/>
      <c r="O16" s="7"/>
      <c r="P16" s="7"/>
    </row>
    <row r="17" spans="3:16" x14ac:dyDescent="0.25">
      <c r="C17" s="51" t="s">
        <v>62</v>
      </c>
      <c r="D17" s="13"/>
      <c r="E17" s="13"/>
      <c r="F17" s="13"/>
      <c r="G17" s="13"/>
      <c r="H17" s="13"/>
      <c r="I17" s="13"/>
      <c r="K17" s="51" t="s">
        <v>62</v>
      </c>
      <c r="L17" s="13"/>
      <c r="M17" s="13"/>
      <c r="N17" s="13"/>
      <c r="O17" s="13"/>
      <c r="P17" s="13"/>
    </row>
    <row r="18" spans="3:16" x14ac:dyDescent="0.25">
      <c r="C18" s="21" t="s">
        <v>63</v>
      </c>
      <c r="D18" s="37">
        <f>+'ER2008-2013'!E17/'ER2008-2013'!E14</f>
        <v>-0.84996319773241458</v>
      </c>
      <c r="E18" s="37">
        <f>+'ER2008-2013'!F17/'ER2008-2013'!F14</f>
        <v>-0.82334704326190322</v>
      </c>
      <c r="F18" s="37">
        <f>+'ER2008-2013'!G17/'ER2008-2013'!G14</f>
        <v>-0.91008787900508781</v>
      </c>
      <c r="G18" s="37">
        <f>+'ER2008-2013'!H17/'ER2008-2013'!H14</f>
        <v>-0.85181558245259781</v>
      </c>
      <c r="H18" s="37">
        <f>+'ER2008-2013'!I17/'ER2008-2013'!I14</f>
        <v>-0.87054883263462091</v>
      </c>
      <c r="I18" s="37">
        <f>+'ER2008-2013'!J17/'ER2008-2013'!J14</f>
        <v>-0.80451015140621529</v>
      </c>
      <c r="K18" s="21" t="s">
        <v>63</v>
      </c>
      <c r="L18" s="37">
        <f>+('ER2008-2013'!F17-'ER2008-2013'!E17)/'ER2008-2013'!E17</f>
        <v>0.12712499386349549</v>
      </c>
      <c r="M18" s="37">
        <f>+('ER2008-2013'!G17-'ER2008-2013'!F17)/'ER2008-2013'!F17</f>
        <v>6.412400159132324E-2</v>
      </c>
      <c r="N18" s="37">
        <f>+('ER2008-2013'!H17-'ER2008-2013'!G17)/'ER2008-2013'!G17</f>
        <v>4.6902316233105486E-2</v>
      </c>
      <c r="O18" s="37">
        <f>+('ER2008-2013'!I17-'ER2008-2013'!H17)/'ER2008-2013'!H17</f>
        <v>0.12918503959415231</v>
      </c>
      <c r="P18" s="37">
        <f>+('ER2008-2013'!J17-'ER2008-2013'!I17)/'ER2008-2013'!I17</f>
        <v>7.0221020032634987E-2</v>
      </c>
    </row>
    <row r="19" spans="3:16" x14ac:dyDescent="0.25">
      <c r="C19" s="53" t="s">
        <v>64</v>
      </c>
      <c r="D19" s="47">
        <f>+'ER2008-2013'!E18/'ER2008-2013'!E14</f>
        <v>-0.84996319773241458</v>
      </c>
      <c r="E19" s="47">
        <f>+'ER2008-2013'!F18/'ER2008-2013'!F14</f>
        <v>-0.82334704326190322</v>
      </c>
      <c r="F19" s="47">
        <f>+'ER2008-2013'!G18/'ER2008-2013'!G14</f>
        <v>-0.91008787900508781</v>
      </c>
      <c r="G19" s="47">
        <f>+'ER2008-2013'!H18/'ER2008-2013'!H14</f>
        <v>-0.85181558245259781</v>
      </c>
      <c r="H19" s="47">
        <f>+'ER2008-2013'!I18/'ER2008-2013'!I14</f>
        <v>-0.87054883263462091</v>
      </c>
      <c r="I19" s="47">
        <f>+'ER2008-2013'!J18/'ER2008-2013'!J14</f>
        <v>-0.80451015140621529</v>
      </c>
      <c r="K19" s="53" t="s">
        <v>64</v>
      </c>
      <c r="L19" s="47">
        <f>+('ER2008-2013'!F18-'ER2008-2013'!E18)/'ER2008-2013'!E18</f>
        <v>0.12712499386349549</v>
      </c>
      <c r="M19" s="47">
        <f>+('ER2008-2013'!G18-'ER2008-2013'!F18)/'ER2008-2013'!F18</f>
        <v>6.412400159132324E-2</v>
      </c>
      <c r="N19" s="47">
        <f>+('ER2008-2013'!H18-'ER2008-2013'!G18)/'ER2008-2013'!G18</f>
        <v>4.6902316233105486E-2</v>
      </c>
      <c r="O19" s="47">
        <f>+('ER2008-2013'!I18-'ER2008-2013'!H18)/'ER2008-2013'!H18</f>
        <v>0.12918503959415231</v>
      </c>
      <c r="P19" s="47">
        <f>+('ER2008-2013'!J18-'ER2008-2013'!I18)/'ER2008-2013'!I18</f>
        <v>7.0221020032634987E-2</v>
      </c>
    </row>
    <row r="20" spans="3:16" x14ac:dyDescent="0.25">
      <c r="C20" s="53"/>
      <c r="D20" s="7"/>
      <c r="E20" s="7"/>
      <c r="F20" s="7"/>
      <c r="G20" s="7"/>
      <c r="H20" s="7"/>
      <c r="I20" s="7"/>
      <c r="K20" s="53"/>
      <c r="L20" s="7"/>
      <c r="M20" s="7"/>
      <c r="N20" s="7"/>
      <c r="O20" s="7"/>
      <c r="P20" s="7"/>
    </row>
    <row r="21" spans="3:16" x14ac:dyDescent="0.25">
      <c r="C21" s="53" t="s">
        <v>65</v>
      </c>
      <c r="D21" s="47">
        <f>+'ER2008-2013'!E20/'ER2008-2013'!E14</f>
        <v>0.15003680226758548</v>
      </c>
      <c r="E21" s="47">
        <f>+'ER2008-2013'!F20/'ER2008-2013'!F14</f>
        <v>0.17665295673809681</v>
      </c>
      <c r="F21" s="47">
        <f>+'ER2008-2013'!G20/'ER2008-2013'!G14</f>
        <v>8.9912120994912151E-2</v>
      </c>
      <c r="G21" s="47">
        <f>+'ER2008-2013'!H20/'ER2008-2013'!H14</f>
        <v>0.14818441754740222</v>
      </c>
      <c r="H21" s="47">
        <f>+'ER2008-2013'!I20/'ER2008-2013'!I14</f>
        <v>0.12945116736537907</v>
      </c>
      <c r="I21" s="47">
        <f>+'ER2008-2013'!J20/'ER2008-2013'!J14</f>
        <v>0.19548984859378477</v>
      </c>
      <c r="K21" s="53" t="s">
        <v>65</v>
      </c>
      <c r="L21" s="47">
        <f>+('ER2008-2013'!F20-'ER2008-2013'!E20)/'ER2008-2013'!E20</f>
        <v>0.36997418370081947</v>
      </c>
      <c r="M21" s="47">
        <f>+('ER2008-2013'!G20-'ER2008-2013'!F20)/'ER2008-2013'!F20</f>
        <v>-0.51000779552270936</v>
      </c>
      <c r="N21" s="47">
        <f>+('ER2008-2013'!H20-'ER2008-2013'!G20)/'ER2008-2013'!G20</f>
        <v>0.84343659774528235</v>
      </c>
      <c r="O21" s="47">
        <f>+('ER2008-2013'!I20-'ER2008-2013'!H20)/'ER2008-2013'!H20</f>
        <v>-3.4791823421194391E-2</v>
      </c>
      <c r="P21" s="47">
        <f>+('ER2008-2013'!J20-'ER2008-2013'!I20)/'ER2008-2013'!I20</f>
        <v>0.74885307407167323</v>
      </c>
    </row>
    <row r="22" spans="3:16" x14ac:dyDescent="0.25">
      <c r="C22" s="9"/>
      <c r="D22" s="10"/>
      <c r="E22" s="10"/>
      <c r="F22" s="10"/>
      <c r="G22" s="10"/>
      <c r="H22" s="10"/>
      <c r="I22" s="10"/>
      <c r="K22" s="9"/>
      <c r="L22" s="10"/>
      <c r="M22" s="10"/>
      <c r="N22" s="10"/>
      <c r="O22" s="10"/>
      <c r="P22" s="10"/>
    </row>
    <row r="23" spans="3:16" x14ac:dyDescent="0.25">
      <c r="C23" s="21" t="s">
        <v>66</v>
      </c>
      <c r="D23" s="37">
        <f>+'ER2008-2013'!E22/'ER2008-2013'!E14</f>
        <v>-4.064629158792199E-2</v>
      </c>
      <c r="E23" s="37">
        <f>+'ER2008-2013'!F22/'ER2008-2013'!F14</f>
        <v>-6.1487998750869452E-2</v>
      </c>
      <c r="F23" s="37">
        <f>+'ER2008-2013'!G22/'ER2008-2013'!G14</f>
        <v>-4.2505899060183219E-2</v>
      </c>
      <c r="G23" s="37">
        <f>+'ER2008-2013'!H22/'ER2008-2013'!H14</f>
        <v>-4.9946815554953575E-2</v>
      </c>
      <c r="H23" s="37">
        <f>+'ER2008-2013'!I22/'ER2008-2013'!I14</f>
        <v>-4.809811463694004E-2</v>
      </c>
      <c r="I23" s="37">
        <f>+'ER2008-2013'!J22/'ER2008-2013'!J14</f>
        <v>-5.133899493713226E-2</v>
      </c>
      <c r="K23" s="21" t="s">
        <v>66</v>
      </c>
      <c r="L23" s="37">
        <f>+('ER2008-2013'!F22-'ER2008-2013'!E22)/'ER2008-2013'!E22</f>
        <v>0.7601865647470365</v>
      </c>
      <c r="M23" s="37">
        <f>+('ER2008-2013'!G22-'ER2008-2013'!F22)/'ER2008-2013'!F22</f>
        <v>-0.33449597391338887</v>
      </c>
      <c r="N23" s="37">
        <f>+('ER2008-2013'!H22-'ER2008-2013'!G22)/'ER2008-2013'!G22</f>
        <v>0.3143242113394199</v>
      </c>
      <c r="O23" s="37">
        <f>+('ER2008-2013'!I22-'ER2008-2013'!H22)/'ER2008-2013'!H22</f>
        <v>6.3990639958993456E-2</v>
      </c>
      <c r="P23" s="37">
        <f>+('ER2008-2013'!J22-'ER2008-2013'!I22)/'ER2008-2013'!I22</f>
        <v>0.2361022438667984</v>
      </c>
    </row>
    <row r="24" spans="3:16" x14ac:dyDescent="0.25">
      <c r="C24" s="9"/>
      <c r="D24" s="10"/>
      <c r="E24" s="10"/>
      <c r="F24" s="10"/>
      <c r="G24" s="10"/>
      <c r="H24" s="10"/>
      <c r="I24" s="10"/>
      <c r="K24" s="9"/>
      <c r="L24" s="10"/>
      <c r="M24" s="10"/>
      <c r="N24" s="10"/>
      <c r="O24" s="10"/>
      <c r="P24" s="10"/>
    </row>
    <row r="25" spans="3:16" x14ac:dyDescent="0.25">
      <c r="C25" s="53" t="s">
        <v>67</v>
      </c>
      <c r="D25" s="47">
        <f>+'ER2008-2013'!E24/'ER2008-2013'!E14</f>
        <v>0.10939051067966347</v>
      </c>
      <c r="E25" s="47">
        <f>+'ER2008-2013'!F24/'ER2008-2013'!F14</f>
        <v>0.11516495798722734</v>
      </c>
      <c r="F25" s="47">
        <f>+'ER2008-2013'!G24/'ER2008-2013'!G14</f>
        <v>4.7406221934728932E-2</v>
      </c>
      <c r="G25" s="47">
        <f>+'ER2008-2013'!H24/'ER2008-2013'!H14</f>
        <v>9.8237601992448645E-2</v>
      </c>
      <c r="H25" s="47">
        <f>+'ER2008-2013'!I24/'ER2008-2013'!I14</f>
        <v>8.1353052728439026E-2</v>
      </c>
      <c r="I25" s="47">
        <f>+'ER2008-2013'!J24/'ER2008-2013'!J14</f>
        <v>0.14415085365665251</v>
      </c>
      <c r="K25" s="53" t="s">
        <v>67</v>
      </c>
      <c r="L25" s="47">
        <f>+('ER2008-2013'!F24-'ER2008-2013'!E24)/'ER2008-2013'!E24</f>
        <v>0.2249827569063334</v>
      </c>
      <c r="M25" s="47">
        <f>+('ER2008-2013'!G24-'ER2008-2013'!F24)/'ER2008-2013'!F24</f>
        <v>-0.60371573287179103</v>
      </c>
      <c r="N25" s="47">
        <f>+('ER2008-2013'!H24-'ER2008-2013'!G24)/'ER2008-2013'!G24</f>
        <v>1.3178552873220652</v>
      </c>
      <c r="O25" s="47">
        <f>+('ER2008-2013'!I24-'ER2008-2013'!H24)/'ER2008-2013'!H24</f>
        <v>-8.5015662139218642E-2</v>
      </c>
      <c r="P25" s="47">
        <f>+('ER2008-2013'!J24-'ER2008-2013'!I24)/'ER2008-2013'!I24</f>
        <v>1.0520051671308548</v>
      </c>
    </row>
    <row r="26" spans="3:16" x14ac:dyDescent="0.25">
      <c r="C26" s="53"/>
      <c r="D26" s="7"/>
      <c r="E26" s="7"/>
      <c r="F26" s="7"/>
      <c r="G26" s="7"/>
      <c r="H26" s="7"/>
      <c r="I26" s="7"/>
      <c r="K26" s="53"/>
      <c r="L26" s="7"/>
      <c r="M26" s="7"/>
      <c r="N26" s="7"/>
      <c r="O26" s="7"/>
      <c r="P26" s="7"/>
    </row>
    <row r="27" spans="3:16" x14ac:dyDescent="0.25">
      <c r="C27" s="53" t="s">
        <v>68</v>
      </c>
      <c r="D27" s="10"/>
      <c r="E27" s="10"/>
      <c r="F27" s="10"/>
      <c r="G27" s="10"/>
      <c r="H27" s="10"/>
      <c r="I27" s="10"/>
      <c r="K27" s="53" t="s">
        <v>68</v>
      </c>
      <c r="L27" s="10"/>
      <c r="M27" s="10"/>
      <c r="N27" s="10"/>
      <c r="O27" s="10"/>
      <c r="P27" s="10"/>
    </row>
    <row r="28" spans="3:16" x14ac:dyDescent="0.25">
      <c r="C28" s="21" t="s">
        <v>69</v>
      </c>
      <c r="D28" s="37">
        <f>+'ER2008-2013'!E27/'ER2008-2013'!E14</f>
        <v>4.5563907707501704E-2</v>
      </c>
      <c r="E28" s="37">
        <f>+'ER2008-2013'!F27/'ER2008-2013'!F14</f>
        <v>7.5783249233315406E-2</v>
      </c>
      <c r="F28" s="37">
        <f>+'ER2008-2013'!G27/'ER2008-2013'!G14</f>
        <v>9.7859060563603703E-2</v>
      </c>
      <c r="G28" s="37">
        <f>+'ER2008-2013'!H27/'ER2008-2013'!H14</f>
        <v>0.14088572648130618</v>
      </c>
      <c r="H28" s="37">
        <f>+'ER2008-2013'!I27/'ER2008-2013'!I14</f>
        <v>0.1202015231132344</v>
      </c>
      <c r="I28" s="37">
        <f>+'ER2008-2013'!J27/'ER2008-2013'!J14</f>
        <v>0.12185602509553706</v>
      </c>
      <c r="K28" s="21" t="s">
        <v>69</v>
      </c>
      <c r="L28" s="37">
        <f>+('ER2008-2013'!F27-'ER2008-2013'!E27)/'ER2008-2013'!E27</f>
        <v>0.93526984779991962</v>
      </c>
      <c r="M28" s="37">
        <f>+('ER2008-2013'!G27-'ER2008-2013'!F27)/'ER2008-2013'!F27</f>
        <v>0.24313890800421495</v>
      </c>
      <c r="N28" s="37">
        <f>+('ER2008-2013'!H27-'ER2008-2013'!G27)/'ER2008-2013'!G27</f>
        <v>0.61031138704215382</v>
      </c>
      <c r="O28" s="37">
        <f>+('ER2008-2013'!I27-'ER2008-2013'!H27)/'ER2008-2013'!H27</f>
        <v>-5.7328160436323237E-2</v>
      </c>
      <c r="P28" s="37">
        <f>+('ER2008-2013'!J27-'ER2008-2013'!I27)/'ER2008-2013'!I27</f>
        <v>0.17401088174346996</v>
      </c>
    </row>
    <row r="29" spans="3:16" x14ac:dyDescent="0.25">
      <c r="C29" s="21" t="s">
        <v>70</v>
      </c>
      <c r="D29" s="37">
        <f>+'ER2008-2013'!E28/'ER2008-2013'!E14</f>
        <v>-4.6789129691218135E-3</v>
      </c>
      <c r="E29" s="37">
        <f>+'ER2008-2013'!F28/'ER2008-2013'!F14</f>
        <v>-1.8468205351300997E-2</v>
      </c>
      <c r="F29" s="37">
        <f>+'ER2008-2013'!G28/'ER2008-2013'!G14</f>
        <v>-3.7108542963884034E-3</v>
      </c>
      <c r="G29" s="37">
        <f>+'ER2008-2013'!H28/'ER2008-2013'!H14</f>
        <v>-1.2654645989563939E-2</v>
      </c>
      <c r="H29" s="37">
        <f>+'ER2008-2013'!I28/'ER2008-2013'!I14</f>
        <v>-2.0807599276715529E-2</v>
      </c>
      <c r="I29" s="37">
        <f>+'ER2008-2013'!J28/'ER2008-2013'!J14</f>
        <v>-9.1869378731129943E-3</v>
      </c>
      <c r="K29" s="21" t="s">
        <v>70</v>
      </c>
      <c r="L29" s="37">
        <f>+('ER2008-2013'!F28-'ER2008-2013'!E28)/'ER2008-2013'!E28</f>
        <v>3.5927097488072337</v>
      </c>
      <c r="M29" s="37">
        <f>+('ER2008-2013'!G28-'ER2008-2013'!F28)/'ER2008-2013'!F28</f>
        <v>-0.80656233262983679</v>
      </c>
      <c r="N29" s="37">
        <f>+('ER2008-2013'!H28-'ER2008-2013'!G28)/'ER2008-2013'!G28</f>
        <v>2.8143453233793334</v>
      </c>
      <c r="O29" s="37">
        <f>+('ER2008-2013'!I28-'ER2008-2013'!H28)/'ER2008-2013'!H28</f>
        <v>0.81672642657702554</v>
      </c>
      <c r="P29" s="37">
        <f>+('ER2008-2013'!J28-'ER2008-2013'!I28)/'ER2008-2013'!I28</f>
        <v>-0.48869046722998649</v>
      </c>
    </row>
    <row r="30" spans="3:16" ht="18" customHeight="1" x14ac:dyDescent="0.25">
      <c r="C30" s="51" t="s">
        <v>71</v>
      </c>
      <c r="D30" s="47">
        <f>+'ER2008-2013'!E29/'ER2008-2013'!E14</f>
        <v>4.0884994738379886E-2</v>
      </c>
      <c r="E30" s="47">
        <f>+'ER2008-2013'!F29/'ER2008-2013'!F14</f>
        <v>5.7315043882014416E-2</v>
      </c>
      <c r="F30" s="47">
        <f>+'ER2008-2013'!G29/'ER2008-2013'!G14</f>
        <v>9.4148206267215304E-2</v>
      </c>
      <c r="G30" s="47">
        <f>+'ER2008-2013'!H29/'ER2008-2013'!H14</f>
        <v>0.12823108049174226</v>
      </c>
      <c r="H30" s="47">
        <f>+'ER2008-2013'!I29/'ER2008-2013'!I14</f>
        <v>9.9393923836518863E-2</v>
      </c>
      <c r="I30" s="47">
        <f>+'ER2008-2013'!J29/'ER2008-2013'!J14</f>
        <v>0.11266908722242407</v>
      </c>
      <c r="K30" s="51" t="s">
        <v>71</v>
      </c>
      <c r="L30" s="47">
        <f>+('ER2008-2013'!F29-'ER2008-2013'!E29)/'ER2008-2013'!E29</f>
        <v>0.63115020446747649</v>
      </c>
      <c r="M30" s="47">
        <f>+('ER2008-2013'!G29-'ER2008-2013'!F29)/'ER2008-2013'!F29</f>
        <v>0.58137642395992517</v>
      </c>
      <c r="N30" s="47">
        <f>+('ER2008-2013'!H29-'ER2008-2013'!G29)/'ER2008-2013'!G29</f>
        <v>0.52343932514828073</v>
      </c>
      <c r="O30" s="47">
        <f>+('ER2008-2013'!I29-'ER2008-2013'!H29)/'ER2008-2013'!H29</f>
        <v>-0.14358534030092507</v>
      </c>
      <c r="P30" s="47">
        <f>+('ER2008-2013'!J29-'ER2008-2013'!I29)/'ER2008-2013'!I29</f>
        <v>0.31274395090229246</v>
      </c>
    </row>
    <row r="31" spans="3:16" x14ac:dyDescent="0.25">
      <c r="C31" s="51"/>
      <c r="D31" s="14"/>
      <c r="E31" s="14"/>
      <c r="F31" s="14"/>
      <c r="G31" s="14"/>
      <c r="H31" s="14"/>
      <c r="I31" s="14"/>
      <c r="K31" s="51"/>
      <c r="L31" s="14"/>
      <c r="M31" s="14"/>
      <c r="N31" s="14"/>
      <c r="O31" s="14"/>
      <c r="P31" s="14"/>
    </row>
    <row r="32" spans="3:16" x14ac:dyDescent="0.25">
      <c r="C32" s="51" t="s">
        <v>79</v>
      </c>
      <c r="D32" s="47">
        <f>+'ER2008-2013'!E31/'ER2008-2013'!E14</f>
        <v>0.15027550541804335</v>
      </c>
      <c r="E32" s="47">
        <f>+'ER2008-2013'!F31/'ER2008-2013'!F14</f>
        <v>0.17248000186924176</v>
      </c>
      <c r="F32" s="47">
        <f>+'ER2008-2013'!G31/'ER2008-2013'!G14</f>
        <v>0.14155442820194422</v>
      </c>
      <c r="G32" s="47">
        <f>+'ER2008-2013'!H31/'ER2008-2013'!H14</f>
        <v>0.22646868248419089</v>
      </c>
      <c r="H32" s="47">
        <f>+'ER2008-2013'!I31/'ER2008-2013'!I14</f>
        <v>0.18074697656495789</v>
      </c>
      <c r="I32" s="47">
        <f>+'ER2008-2013'!J31/'ER2008-2013'!J14</f>
        <v>0.25681994087907656</v>
      </c>
      <c r="K32" s="51" t="s">
        <v>79</v>
      </c>
      <c r="L32" s="47">
        <f>+('ER2008-2013'!F31-'ER2008-2013'!E31)/'ER2008-2013'!E31</f>
        <v>0.33548748560608238</v>
      </c>
      <c r="M32" s="47">
        <f>+('ER2008-2013'!G31-'ER2008-2013'!F31)/'ER2008-2013'!F31</f>
        <v>-0.20991002648888954</v>
      </c>
      <c r="N32" s="47">
        <f>+('ER2008-2013'!H31-'ER2008-2013'!G31)/'ER2008-2013'!G31</f>
        <v>0.78948723258339693</v>
      </c>
      <c r="O32" s="47">
        <f>+('ER2008-2013'!I31-'ER2008-2013'!H31)/'ER2008-2013'!H31</f>
        <v>-0.11817898093608362</v>
      </c>
      <c r="P32" s="47">
        <f>+('ER2008-2013'!J31-'ER2008-2013'!I31)/'ER2008-2013'!I31</f>
        <v>0.64548067406578236</v>
      </c>
    </row>
    <row r="33" spans="3:16" x14ac:dyDescent="0.25">
      <c r="C33" s="51"/>
      <c r="D33" s="14"/>
      <c r="E33" s="14"/>
      <c r="F33" s="14"/>
      <c r="G33" s="14"/>
      <c r="H33" s="14"/>
      <c r="I33" s="14"/>
      <c r="K33" s="51"/>
      <c r="L33" s="14"/>
      <c r="M33" s="14"/>
      <c r="N33" s="14"/>
      <c r="O33" s="14"/>
      <c r="P33" s="14"/>
    </row>
    <row r="34" spans="3:16" x14ac:dyDescent="0.25">
      <c r="C34" s="51" t="s">
        <v>72</v>
      </c>
      <c r="D34" s="13"/>
      <c r="E34" s="13"/>
      <c r="F34" s="13"/>
      <c r="G34" s="13"/>
      <c r="H34" s="13"/>
      <c r="I34" s="13"/>
      <c r="K34" s="51" t="s">
        <v>72</v>
      </c>
      <c r="L34" s="13"/>
      <c r="M34" s="13"/>
      <c r="N34" s="13"/>
      <c r="O34" s="13"/>
      <c r="P34" s="13"/>
    </row>
    <row r="35" spans="3:16" x14ac:dyDescent="0.25">
      <c r="C35" s="21" t="s">
        <v>73</v>
      </c>
      <c r="D35" s="37">
        <f>+'ER2008-2013'!E34/'ER2008-2013'!E14</f>
        <v>8.1764827875729969E-3</v>
      </c>
      <c r="E35" s="37">
        <f>+'ER2008-2013'!F34/'ER2008-2013'!F14</f>
        <v>3.5822633160087831E-2</v>
      </c>
      <c r="F35" s="37">
        <f>+'ER2008-2013'!G34/'ER2008-2013'!G14</f>
        <v>2.08115609336934E-2</v>
      </c>
      <c r="G35" s="37">
        <f>+'ER2008-2013'!H34/'ER2008-2013'!H14</f>
        <v>1.2422215656462706E-2</v>
      </c>
      <c r="H35" s="37">
        <f>+'ER2008-2013'!I34/'ER2008-2013'!I14</f>
        <v>3.1590748443159469E-2</v>
      </c>
      <c r="I35" s="37">
        <f>+'ER2008-2013'!J34/'ER2008-2013'!J14</f>
        <v>8.7342107855829243E-3</v>
      </c>
      <c r="K35" s="21" t="s">
        <v>73</v>
      </c>
      <c r="L35" s="37">
        <f>+('ER2008-2013'!F34-'ER2008-2013'!E34)/'ER2008-2013'!E34</f>
        <v>4.0977701587577453</v>
      </c>
      <c r="M35" s="37">
        <f>+('ER2008-2013'!G34-'ER2008-2013'!F34)/'ER2008-2013'!F34</f>
        <v>-0.44070750961588595</v>
      </c>
      <c r="N35" s="37">
        <f>+('ER2008-2013'!H34-'ER2008-2013'!G34)/'ER2008-2013'!G34</f>
        <v>-0.33236619273266332</v>
      </c>
      <c r="O35" s="37">
        <f>+('ER2008-2013'!I34-'ER2008-2013'!H34)/'ER2008-2013'!H34</f>
        <v>1.8098194166916455</v>
      </c>
      <c r="P35" s="37">
        <f>+('ER2008-2013'!J34-'ER2008-2013'!I34)/'ER2008-2013'!I34</f>
        <v>-0.67981658006762669</v>
      </c>
    </row>
    <row r="36" spans="3:16" x14ac:dyDescent="0.25">
      <c r="C36" s="21" t="s">
        <v>74</v>
      </c>
      <c r="D36" s="37">
        <f>+'ER2008-2013'!E35/'ER2008-2013'!E14</f>
        <v>-4.1668413974842528E-2</v>
      </c>
      <c r="E36" s="37">
        <f>+'ER2008-2013'!F35/'ER2008-2013'!F14</f>
        <v>-4.4187499323145162E-2</v>
      </c>
      <c r="F36" s="37">
        <f>+'ER2008-2013'!G35/'ER2008-2013'!G14</f>
        <v>-4.219471636862699E-2</v>
      </c>
      <c r="G36" s="37">
        <f>+'ER2008-2013'!H35/'ER2008-2013'!H14</f>
        <v>-4.0187939707347263E-2</v>
      </c>
      <c r="H36" s="37">
        <f>+'ER2008-2013'!I35/'ER2008-2013'!I14</f>
        <v>-6.1286702214494317E-2</v>
      </c>
      <c r="I36" s="37">
        <f>+'ER2008-2013'!J35/'ER2008-2013'!J14</f>
        <v>-2.1937074216385338E-2</v>
      </c>
      <c r="K36" s="21" t="s">
        <v>74</v>
      </c>
      <c r="L36" s="37">
        <f>+('ER2008-2013'!F35-'ER2008-2013'!E35)/'ER2008-2013'!E35</f>
        <v>0.23390500578242243</v>
      </c>
      <c r="M36" s="37">
        <f>+('ER2008-2013'!G35-'ER2008-2013'!F35)/'ER2008-2013'!F35</f>
        <v>-8.0714338406612532E-2</v>
      </c>
      <c r="N36" s="37">
        <f>+('ER2008-2013'!H35-'ER2008-2013'!G35)/'ER2008-2013'!G35</f>
        <v>6.5323679904429596E-2</v>
      </c>
      <c r="O36" s="37">
        <f>+('ER2008-2013'!I35-'ER2008-2013'!H35)/'ER2008-2013'!H35</f>
        <v>0.68495407983759538</v>
      </c>
      <c r="P36" s="37">
        <f>+('ER2008-2013'!J35-'ER2008-2013'!I35)/'ER2008-2013'!I35</f>
        <v>-0.58547804548386462</v>
      </c>
    </row>
    <row r="37" spans="3:16" x14ac:dyDescent="0.25">
      <c r="C37" s="51" t="s">
        <v>75</v>
      </c>
      <c r="D37" s="47">
        <f>+'ER2008-2013'!E36/'ER2008-2013'!E14</f>
        <v>-3.3491931187269536E-2</v>
      </c>
      <c r="E37" s="47">
        <f>+'ER2008-2013'!F36/'ER2008-2013'!F14</f>
        <v>-8.3648661630573318E-3</v>
      </c>
      <c r="F37" s="47">
        <f>+'ER2008-2013'!G36/'ER2008-2013'!G14</f>
        <v>-2.1383155434933587E-2</v>
      </c>
      <c r="G37" s="47">
        <f>+'ER2008-2013'!H36/'ER2008-2013'!H14</f>
        <v>-2.7765724050884559E-2</v>
      </c>
      <c r="H37" s="47">
        <f>+'ER2008-2013'!I36/'ER2008-2013'!I14</f>
        <v>-2.9695953771334847E-2</v>
      </c>
      <c r="I37" s="47">
        <f>+'ER2008-2013'!J36/'ER2008-2013'!J14</f>
        <v>-1.3202863430802413E-2</v>
      </c>
      <c r="K37" s="51" t="s">
        <v>75</v>
      </c>
      <c r="L37" s="47">
        <f>+('ER2008-2013'!F36-'ER2008-2013'!E36)/'ER2008-2013'!E36</f>
        <v>-0.70939165693180284</v>
      </c>
      <c r="M37" s="47">
        <f>+('ER2008-2013'!G36-'ER2008-2013'!F36)/'ER2008-2013'!F36</f>
        <v>1.4609604548279849</v>
      </c>
      <c r="N37" s="47">
        <f>+('ER2008-2013'!H36-'ER2008-2013'!G36)/'ER2008-2013'!G36</f>
        <v>0.45238287901487806</v>
      </c>
      <c r="O37" s="47">
        <f>+('ER2008-2013'!I36-'ER2008-2013'!H36)/'ER2008-2013'!H36</f>
        <v>0.18169618628248688</v>
      </c>
      <c r="P37" s="47">
        <f>+('ER2008-2013'!J36-'ER2008-2013'!I36)/'ER2008-2013'!I36</f>
        <v>-0.48512009983644416</v>
      </c>
    </row>
    <row r="38" spans="3:16" s="13" customFormat="1" x14ac:dyDescent="0.25">
      <c r="C38" s="9"/>
      <c r="D38" s="10"/>
      <c r="E38" s="10"/>
      <c r="F38" s="10"/>
      <c r="G38" s="10"/>
      <c r="H38" s="10"/>
      <c r="I38" s="10"/>
      <c r="K38" s="9"/>
      <c r="L38" s="10"/>
      <c r="M38" s="10"/>
      <c r="N38" s="10"/>
      <c r="O38" s="10"/>
      <c r="P38" s="10"/>
    </row>
    <row r="39" spans="3:16" x14ac:dyDescent="0.25">
      <c r="C39" s="51" t="s">
        <v>76</v>
      </c>
      <c r="D39" s="47">
        <f>+'ER2008-2013'!E38/'ER2008-2013'!E14</f>
        <v>0.11678357423077382</v>
      </c>
      <c r="E39" s="47">
        <f>+'ER2008-2013'!F38/'ER2008-2013'!F14</f>
        <v>0.16411513570618444</v>
      </c>
      <c r="F39" s="47">
        <f>+'ER2008-2013'!G38/'ER2008-2013'!G14</f>
        <v>0.12017127276701065</v>
      </c>
      <c r="G39" s="47">
        <f>+'ER2008-2013'!H38/'ER2008-2013'!H14</f>
        <v>0.19870295843330635</v>
      </c>
      <c r="H39" s="47">
        <f>+'ER2008-2013'!I38/'ER2008-2013'!I14</f>
        <v>0.15105102279362304</v>
      </c>
      <c r="I39" s="47">
        <f>+'ER2008-2013'!J38/'ER2008-2013'!J14</f>
        <v>0.24361707744827416</v>
      </c>
      <c r="K39" s="51" t="s">
        <v>76</v>
      </c>
      <c r="L39" s="47">
        <f>+('ER2008-2013'!F38-'ER2008-2013'!E38)/'ER2008-2013'!E38</f>
        <v>0.63514452702989643</v>
      </c>
      <c r="M39" s="47">
        <f>+('ER2008-2013'!G38-'ER2008-2013'!F38)/'ER2008-2013'!F38</f>
        <v>-0.29507345697857446</v>
      </c>
      <c r="N39" s="47">
        <f>+('ER2008-2013'!H38-'ER2008-2013'!G38)/'ER2008-2013'!G38</f>
        <v>0.84947124227366699</v>
      </c>
      <c r="O39" s="47">
        <f>+('ER2008-2013'!I38-'ER2008-2013'!H38)/'ER2008-2013'!H38</f>
        <v>-0.16008198634854889</v>
      </c>
      <c r="P39" s="47">
        <f>+('ER2008-2013'!J38-'ER2008-2013'!I38)/'ER2008-2013'!I38</f>
        <v>0.86775171662275707</v>
      </c>
    </row>
    <row r="40" spans="3:16" s="13" customFormat="1" x14ac:dyDescent="0.25">
      <c r="C40" s="9"/>
      <c r="D40" s="10"/>
      <c r="E40" s="10"/>
      <c r="F40" s="10"/>
      <c r="G40" s="10"/>
      <c r="H40" s="10"/>
      <c r="I40" s="10"/>
      <c r="K40" s="9"/>
      <c r="L40" s="10"/>
      <c r="M40" s="10"/>
      <c r="N40" s="10"/>
      <c r="O40" s="10"/>
      <c r="P40" s="10"/>
    </row>
    <row r="41" spans="3:16" x14ac:dyDescent="0.25">
      <c r="C41" s="21" t="s">
        <v>77</v>
      </c>
      <c r="D41" s="37">
        <f>+'ER2008-2013'!E40/'ER2008-2013'!E14</f>
        <v>-1.8068670264006541E-2</v>
      </c>
      <c r="E41" s="37">
        <f>+'ER2008-2013'!F40/'ER2008-2013'!F14</f>
        <v>-2.201410304166845E-2</v>
      </c>
      <c r="F41" s="37">
        <f>+'ER2008-2013'!G40/'ER2008-2013'!G14</f>
        <v>-4.198695031629872E-3</v>
      </c>
      <c r="G41" s="37">
        <f>+'ER2008-2013'!H40/'ER2008-2013'!H14</f>
        <v>-2.5270318003498701E-2</v>
      </c>
      <c r="H41" s="37">
        <f>+'ER2008-2013'!I40/'ER2008-2013'!I14</f>
        <v>-3.1227907632306224E-2</v>
      </c>
      <c r="I41" s="37">
        <f>+'ER2008-2013'!J40/'ER2008-2013'!J14</f>
        <v>-6.1767082913345449E-2</v>
      </c>
      <c r="K41" s="21" t="s">
        <v>77</v>
      </c>
      <c r="L41" s="37">
        <f>+('ER2008-2013'!F40-'ER2008-2013'!E40)/'ER2008-2013'!E40</f>
        <v>0.41763384873649273</v>
      </c>
      <c r="M41" s="37">
        <f>+('ER2008-2013'!G40-'ER2008-2013'!F40)/'ER2008-2013'!F40</f>
        <v>-0.81638626068476294</v>
      </c>
      <c r="N41" s="37">
        <f>+('ER2008-2013'!H40-'ER2008-2013'!G40)/'ER2008-2013'!G40</f>
        <v>5.7319407726656744</v>
      </c>
      <c r="O41" s="37">
        <f>+('ER2008-2013'!I40-'ER2008-2013'!H40)/'ER2008-2013'!H40</f>
        <v>0.36536805479814588</v>
      </c>
      <c r="P41" s="37">
        <f>+('ER2008-2013'!J40-'ER2008-2013'!I40)/'ER2008-2013'!I40</f>
        <v>1.2906001818289703</v>
      </c>
    </row>
    <row r="42" spans="3:16" x14ac:dyDescent="0.25">
      <c r="C42" s="9"/>
      <c r="D42" s="10"/>
      <c r="E42" s="10"/>
      <c r="F42" s="10"/>
      <c r="G42" s="10"/>
      <c r="H42" s="10"/>
      <c r="I42" s="10"/>
      <c r="K42" s="9"/>
      <c r="L42" s="10"/>
      <c r="M42" s="10"/>
      <c r="N42" s="10"/>
      <c r="O42" s="10"/>
      <c r="P42" s="10"/>
    </row>
    <row r="43" spans="3:16" x14ac:dyDescent="0.25">
      <c r="C43" s="51" t="s">
        <v>78</v>
      </c>
      <c r="D43" s="47">
        <f>+'ER2008-2013'!E42/'ER2008-2013'!E14</f>
        <v>9.8714903966767284E-2</v>
      </c>
      <c r="E43" s="47">
        <f>+'ER2008-2013'!F42/'ER2008-2013'!F14</f>
        <v>0.14210103266451596</v>
      </c>
      <c r="F43" s="47">
        <f>+'ER2008-2013'!G42/'ER2008-2013'!G14</f>
        <v>0.11597257773538078</v>
      </c>
      <c r="G43" s="47">
        <f>+'ER2008-2013'!H42/'ER2008-2013'!H14</f>
        <v>0.17343264042980763</v>
      </c>
      <c r="H43" s="47">
        <f>+'ER2008-2013'!I42/'ER2008-2013'!I14</f>
        <v>0.1198231151613168</v>
      </c>
      <c r="I43" s="47">
        <f>+'ER2008-2013'!J42/'ER2008-2013'!J14</f>
        <v>0.18184999453492873</v>
      </c>
      <c r="K43" s="51" t="s">
        <v>78</v>
      </c>
      <c r="L43" s="47">
        <f>+('ER2008-2013'!F42-'ER2008-2013'!E42)/'ER2008-2013'!E42</f>
        <v>0.6749574485549682</v>
      </c>
      <c r="M43" s="47">
        <f>+('ER2008-2013'!G42-'ER2008-2013'!F42)/'ER2008-2013'!F42</f>
        <v>-0.21431237057026392</v>
      </c>
      <c r="N43" s="47">
        <f>+('ER2008-2013'!H42-'ER2008-2013'!G42)/'ER2008-2013'!G42</f>
        <v>0.67270531226117003</v>
      </c>
      <c r="O43" s="47">
        <f>+('ER2008-2013'!I42-'ER2008-2013'!H42)/'ER2008-2013'!H42</f>
        <v>-0.23664363934432681</v>
      </c>
      <c r="P43" s="47">
        <f>+('ER2008-2013'!J42-'ER2008-2013'!I42)/'ER2008-2013'!I42</f>
        <v>0.75755033522698279</v>
      </c>
    </row>
    <row r="44" spans="3:16" x14ac:dyDescent="0.25">
      <c r="C44" s="51"/>
      <c r="K44" s="51"/>
    </row>
    <row r="45" spans="3:16" x14ac:dyDescent="0.25">
      <c r="C45" s="51"/>
      <c r="D45" s="51"/>
      <c r="E45" s="14"/>
      <c r="F45" s="14"/>
      <c r="G45" s="14"/>
      <c r="H45" s="14"/>
      <c r="I45" s="14"/>
      <c r="K45" s="51"/>
      <c r="L45" s="14"/>
      <c r="M45" s="14"/>
      <c r="N45" s="14"/>
      <c r="O45" s="14"/>
    </row>
    <row r="46" spans="3:16" x14ac:dyDescent="0.25">
      <c r="C46" s="13"/>
      <c r="D46" s="13"/>
      <c r="E46" s="13"/>
      <c r="F46" s="13"/>
      <c r="G46" s="13"/>
      <c r="H46" s="13"/>
      <c r="I46" s="13"/>
      <c r="K46" s="13"/>
      <c r="L46" s="13"/>
      <c r="M46" s="13"/>
      <c r="N46" s="13"/>
      <c r="O46" s="13"/>
    </row>
    <row r="47" spans="3:16" x14ac:dyDescent="0.25">
      <c r="C47" s="9"/>
      <c r="D47" s="9"/>
      <c r="E47" s="10"/>
      <c r="F47" s="10"/>
      <c r="G47" s="10"/>
      <c r="H47" s="10"/>
      <c r="I47" s="10"/>
      <c r="K47" s="9"/>
      <c r="L47" s="10"/>
      <c r="M47" s="10"/>
      <c r="N47" s="10"/>
      <c r="O47" s="10"/>
    </row>
    <row r="48" spans="3:16" x14ac:dyDescent="0.25">
      <c r="C48" s="9"/>
      <c r="D48" s="9"/>
      <c r="E48" s="10"/>
      <c r="F48" s="10"/>
      <c r="G48" s="10"/>
      <c r="H48" s="10"/>
      <c r="I48" s="10"/>
      <c r="K48" s="9"/>
      <c r="L48" s="10"/>
      <c r="M48" s="10"/>
      <c r="N48" s="10"/>
      <c r="O48" s="10"/>
    </row>
    <row r="49" spans="3:15" x14ac:dyDescent="0.25">
      <c r="C49" s="13"/>
      <c r="D49" s="13"/>
      <c r="E49" s="13"/>
      <c r="F49" s="13"/>
      <c r="G49" s="13"/>
      <c r="H49" s="13"/>
      <c r="I49" s="13"/>
      <c r="K49" s="13"/>
      <c r="L49" s="13"/>
      <c r="M49" s="13"/>
      <c r="N49" s="13"/>
      <c r="O49" s="13"/>
    </row>
    <row r="50" spans="3:15" x14ac:dyDescent="0.25">
      <c r="C50" s="11"/>
      <c r="D50" s="11"/>
      <c r="E50" s="14"/>
      <c r="F50" s="14"/>
      <c r="G50" s="14"/>
      <c r="H50" s="14"/>
      <c r="I50" s="14"/>
      <c r="K50" s="11"/>
      <c r="L50" s="14"/>
      <c r="M50" s="14"/>
      <c r="N50" s="14"/>
      <c r="O50" s="14"/>
    </row>
    <row r="51" spans="3:15" x14ac:dyDescent="0.25">
      <c r="C51" s="13"/>
      <c r="D51" s="13"/>
      <c r="E51" s="13"/>
      <c r="F51" s="13"/>
      <c r="G51" s="13"/>
      <c r="H51" s="13"/>
      <c r="I51" s="13"/>
      <c r="K51" s="13"/>
      <c r="L51" s="13"/>
      <c r="M51" s="13"/>
      <c r="N51" s="13"/>
      <c r="O51" s="13"/>
    </row>
    <row r="52" spans="3:15" x14ac:dyDescent="0.25">
      <c r="C52" s="11"/>
      <c r="D52" s="11"/>
      <c r="E52" s="13"/>
      <c r="F52" s="13"/>
      <c r="G52" s="13"/>
      <c r="H52" s="13"/>
      <c r="I52" s="13"/>
      <c r="K52" s="11"/>
      <c r="L52" s="13"/>
      <c r="M52" s="13"/>
      <c r="N52" s="13"/>
      <c r="O52" s="13"/>
    </row>
    <row r="53" spans="3:15" x14ac:dyDescent="0.25">
      <c r="C53" s="13"/>
      <c r="D53" s="13"/>
      <c r="E53" s="13"/>
      <c r="F53" s="13"/>
      <c r="G53" s="13"/>
      <c r="H53" s="13"/>
      <c r="I53" s="13"/>
      <c r="K53" s="13"/>
      <c r="L53" s="13"/>
      <c r="M53" s="13"/>
      <c r="N53" s="13"/>
      <c r="O53" s="13"/>
    </row>
    <row r="54" spans="3:15" x14ac:dyDescent="0.25">
      <c r="C54" s="11"/>
      <c r="D54" s="11"/>
      <c r="E54" s="13"/>
      <c r="F54" s="13"/>
      <c r="G54" s="13"/>
      <c r="H54" s="13"/>
      <c r="I54" s="13"/>
      <c r="K54" s="11"/>
      <c r="L54" s="13"/>
      <c r="M54" s="13"/>
      <c r="N54" s="13"/>
      <c r="O54" s="13"/>
    </row>
    <row r="55" spans="3:15" x14ac:dyDescent="0.25">
      <c r="C55" s="13"/>
      <c r="D55" s="13"/>
      <c r="E55" s="13"/>
      <c r="F55" s="13"/>
      <c r="G55" s="13"/>
      <c r="H55" s="13"/>
      <c r="I55" s="13"/>
      <c r="K55" s="13"/>
      <c r="L55" s="13"/>
      <c r="M55" s="13"/>
      <c r="N55" s="13"/>
      <c r="O55" s="13"/>
    </row>
    <row r="56" spans="3:15" x14ac:dyDescent="0.25">
      <c r="C56" s="9"/>
      <c r="D56" s="9"/>
      <c r="E56" s="10"/>
      <c r="F56" s="10"/>
      <c r="G56" s="10"/>
      <c r="H56" s="10"/>
      <c r="I56" s="10"/>
      <c r="K56" s="9"/>
      <c r="L56" s="10"/>
      <c r="M56" s="10"/>
      <c r="N56" s="10"/>
      <c r="O56" s="10"/>
    </row>
    <row r="57" spans="3:15" x14ac:dyDescent="0.25">
      <c r="C57" s="9"/>
      <c r="D57" s="9"/>
      <c r="E57" s="10"/>
      <c r="F57" s="10"/>
      <c r="G57" s="10"/>
      <c r="H57" s="10"/>
      <c r="I57" s="10"/>
      <c r="K57" s="9"/>
      <c r="L57" s="10"/>
      <c r="M57" s="10"/>
      <c r="N57" s="10"/>
      <c r="O57" s="10"/>
    </row>
    <row r="58" spans="3:15" x14ac:dyDescent="0.25">
      <c r="C58" s="9"/>
      <c r="D58" s="9"/>
      <c r="E58" s="10"/>
      <c r="F58" s="10"/>
      <c r="G58" s="10"/>
      <c r="H58" s="10"/>
      <c r="I58" s="10"/>
      <c r="K58" s="9"/>
      <c r="L58" s="10"/>
      <c r="M58" s="10"/>
      <c r="N58" s="10"/>
      <c r="O58" s="10"/>
    </row>
    <row r="59" spans="3:15" x14ac:dyDescent="0.25">
      <c r="C59" s="9"/>
      <c r="D59" s="9"/>
      <c r="E59" s="10"/>
      <c r="F59" s="10"/>
      <c r="G59" s="10"/>
      <c r="H59" s="10"/>
      <c r="I59" s="10"/>
      <c r="K59" s="9"/>
      <c r="L59" s="10"/>
      <c r="M59" s="10"/>
      <c r="N59" s="10"/>
      <c r="O59" s="10"/>
    </row>
    <row r="60" spans="3:15" x14ac:dyDescent="0.25">
      <c r="C60" s="9"/>
      <c r="D60" s="9"/>
      <c r="E60" s="10"/>
      <c r="F60" s="10"/>
      <c r="G60" s="10"/>
      <c r="H60" s="10"/>
      <c r="I60" s="10"/>
      <c r="K60" s="9"/>
      <c r="L60" s="10"/>
      <c r="M60" s="10"/>
      <c r="N60" s="10"/>
      <c r="O60" s="10"/>
    </row>
    <row r="61" spans="3:15" x14ac:dyDescent="0.25">
      <c r="C61" s="9"/>
      <c r="D61" s="9"/>
      <c r="E61" s="10"/>
      <c r="F61" s="10"/>
      <c r="G61" s="10"/>
      <c r="H61" s="10"/>
      <c r="I61" s="10"/>
      <c r="K61" s="9"/>
      <c r="L61" s="10"/>
      <c r="M61" s="10"/>
      <c r="N61" s="10"/>
      <c r="O61" s="10"/>
    </row>
    <row r="62" spans="3:15" x14ac:dyDescent="0.25">
      <c r="C62" s="9"/>
      <c r="D62" s="9"/>
      <c r="E62" s="10"/>
      <c r="F62" s="10"/>
      <c r="G62" s="10"/>
      <c r="H62" s="10"/>
      <c r="I62" s="10"/>
      <c r="K62" s="9"/>
      <c r="L62" s="10"/>
      <c r="M62" s="10"/>
      <c r="N62" s="10"/>
      <c r="O62" s="10"/>
    </row>
    <row r="63" spans="3:15" x14ac:dyDescent="0.25">
      <c r="C63" s="9"/>
      <c r="D63" s="9"/>
      <c r="E63" s="10"/>
      <c r="F63" s="10"/>
      <c r="G63" s="10"/>
      <c r="H63" s="10"/>
      <c r="I63" s="10"/>
      <c r="K63" s="9"/>
      <c r="L63" s="10"/>
      <c r="M63" s="10"/>
      <c r="N63" s="10"/>
      <c r="O63" s="10"/>
    </row>
    <row r="64" spans="3:15" x14ac:dyDescent="0.25">
      <c r="C64" s="9"/>
      <c r="D64" s="9"/>
      <c r="E64" s="10"/>
      <c r="F64" s="10"/>
      <c r="G64" s="10"/>
      <c r="H64" s="10"/>
      <c r="I64" s="10"/>
      <c r="K64" s="9"/>
      <c r="L64" s="10"/>
      <c r="M64" s="10"/>
      <c r="N64" s="10"/>
      <c r="O64" s="10"/>
    </row>
    <row r="65" spans="3:15" x14ac:dyDescent="0.25">
      <c r="C65" s="9"/>
      <c r="D65" s="9"/>
      <c r="E65" s="10"/>
      <c r="F65" s="10"/>
      <c r="G65" s="10"/>
      <c r="H65" s="10"/>
      <c r="I65" s="10"/>
      <c r="K65" s="9"/>
      <c r="L65" s="10"/>
      <c r="M65" s="10"/>
      <c r="N65" s="10"/>
      <c r="O65" s="10"/>
    </row>
    <row r="66" spans="3:15" x14ac:dyDescent="0.25">
      <c r="C66" s="13"/>
      <c r="D66" s="13"/>
      <c r="E66" s="13"/>
      <c r="F66" s="13"/>
      <c r="G66" s="13"/>
      <c r="H66" s="13"/>
      <c r="I66" s="13"/>
      <c r="K66" s="13"/>
      <c r="L66" s="13"/>
      <c r="M66" s="13"/>
      <c r="N66" s="13"/>
      <c r="O66" s="13"/>
    </row>
    <row r="67" spans="3:15" x14ac:dyDescent="0.25">
      <c r="C67" s="11"/>
      <c r="D67" s="11"/>
      <c r="E67" s="14"/>
      <c r="F67" s="14"/>
      <c r="G67" s="14"/>
      <c r="H67" s="14"/>
      <c r="I67" s="14"/>
      <c r="K67" s="11"/>
      <c r="L67" s="14"/>
      <c r="M67" s="14"/>
      <c r="N67" s="14"/>
      <c r="O67" s="14"/>
    </row>
    <row r="68" spans="3:15" x14ac:dyDescent="0.25">
      <c r="C68" s="13"/>
      <c r="D68" s="13"/>
      <c r="E68" s="13"/>
      <c r="F68" s="13"/>
      <c r="G68" s="13"/>
      <c r="H68" s="13"/>
      <c r="I68" s="13"/>
      <c r="K68" s="13"/>
      <c r="L68" s="13"/>
      <c r="M68" s="13"/>
      <c r="N68" s="13"/>
      <c r="O68" s="13"/>
    </row>
    <row r="69" spans="3:15" x14ac:dyDescent="0.25">
      <c r="C69" s="11"/>
      <c r="D69" s="11"/>
      <c r="E69" s="13"/>
      <c r="F69" s="13"/>
      <c r="G69" s="13"/>
      <c r="H69" s="13"/>
      <c r="I69" s="13"/>
      <c r="K69" s="11"/>
      <c r="L69" s="13"/>
      <c r="M69" s="13"/>
      <c r="N69" s="13"/>
      <c r="O69" s="13"/>
    </row>
    <row r="70" spans="3:15" x14ac:dyDescent="0.25">
      <c r="C70" s="13"/>
      <c r="D70" s="13"/>
      <c r="E70" s="13"/>
      <c r="F70" s="13"/>
      <c r="G70" s="13"/>
      <c r="H70" s="13"/>
      <c r="I70" s="13"/>
      <c r="K70" s="13"/>
      <c r="L70" s="13"/>
      <c r="M70" s="13"/>
      <c r="N70" s="13"/>
      <c r="O70" s="13"/>
    </row>
    <row r="71" spans="3:15" x14ac:dyDescent="0.25">
      <c r="C71" s="9"/>
      <c r="D71" s="9"/>
      <c r="E71" s="10"/>
      <c r="F71" s="10"/>
      <c r="G71" s="10"/>
      <c r="H71" s="10"/>
      <c r="I71" s="10"/>
      <c r="K71" s="9"/>
      <c r="L71" s="10"/>
      <c r="M71" s="10"/>
      <c r="N71" s="10"/>
      <c r="O71" s="10"/>
    </row>
    <row r="72" spans="3:15" x14ac:dyDescent="0.25">
      <c r="C72" s="9"/>
      <c r="D72" s="9"/>
      <c r="E72" s="10"/>
      <c r="F72" s="10"/>
      <c r="G72" s="10"/>
      <c r="H72" s="10"/>
      <c r="I72" s="10"/>
      <c r="K72" s="9"/>
      <c r="L72" s="10"/>
      <c r="M72" s="10"/>
      <c r="N72" s="10"/>
      <c r="O72" s="10"/>
    </row>
    <row r="73" spans="3:15" x14ac:dyDescent="0.25">
      <c r="C73" s="9"/>
      <c r="D73" s="9"/>
      <c r="E73" s="10"/>
      <c r="F73" s="10"/>
      <c r="G73" s="10"/>
      <c r="H73" s="10"/>
      <c r="I73" s="10"/>
      <c r="K73" s="9"/>
      <c r="L73" s="10"/>
      <c r="M73" s="10"/>
      <c r="N73" s="10"/>
      <c r="O73" s="10"/>
    </row>
    <row r="74" spans="3:15" x14ac:dyDescent="0.25">
      <c r="C74" s="9"/>
      <c r="D74" s="9"/>
      <c r="E74" s="10"/>
      <c r="F74" s="10"/>
      <c r="G74" s="10"/>
      <c r="H74" s="10"/>
      <c r="I74" s="10"/>
      <c r="K74" s="9"/>
      <c r="L74" s="10"/>
      <c r="M74" s="10"/>
      <c r="N74" s="10"/>
      <c r="O74" s="10"/>
    </row>
    <row r="75" spans="3:15" x14ac:dyDescent="0.25">
      <c r="C75" s="9"/>
      <c r="D75" s="9"/>
      <c r="E75" s="10"/>
      <c r="F75" s="10"/>
      <c r="G75" s="10"/>
      <c r="H75" s="10"/>
      <c r="I75" s="10"/>
      <c r="K75" s="9"/>
      <c r="L75" s="10"/>
      <c r="M75" s="10"/>
      <c r="N75" s="10"/>
      <c r="O75" s="10"/>
    </row>
    <row r="76" spans="3:15" x14ac:dyDescent="0.25">
      <c r="C76" s="9"/>
      <c r="D76" s="9"/>
      <c r="E76" s="10"/>
      <c r="F76" s="10"/>
      <c r="G76" s="10"/>
      <c r="H76" s="10"/>
      <c r="I76" s="10"/>
      <c r="K76" s="9"/>
      <c r="L76" s="10"/>
      <c r="M76" s="10"/>
      <c r="N76" s="10"/>
      <c r="O76" s="10"/>
    </row>
    <row r="77" spans="3:15" x14ac:dyDescent="0.25">
      <c r="C77" s="9"/>
      <c r="D77" s="9"/>
      <c r="E77" s="10"/>
      <c r="F77" s="10"/>
      <c r="G77" s="10"/>
      <c r="H77" s="10"/>
      <c r="I77" s="10"/>
      <c r="K77" s="9"/>
      <c r="L77" s="10"/>
      <c r="M77" s="10"/>
      <c r="N77" s="10"/>
      <c r="O77" s="10"/>
    </row>
    <row r="78" spans="3:15" x14ac:dyDescent="0.25">
      <c r="C78" s="13"/>
      <c r="D78" s="13"/>
      <c r="E78" s="13"/>
      <c r="F78" s="13"/>
      <c r="G78" s="13"/>
      <c r="H78" s="13"/>
      <c r="I78" s="13"/>
      <c r="K78" s="13"/>
      <c r="L78" s="13"/>
      <c r="M78" s="13"/>
      <c r="N78" s="13"/>
      <c r="O78" s="13"/>
    </row>
    <row r="79" spans="3:15" x14ac:dyDescent="0.25">
      <c r="C79" s="11"/>
      <c r="D79" s="11"/>
      <c r="E79" s="14"/>
      <c r="F79" s="14"/>
      <c r="G79" s="14"/>
      <c r="H79" s="14"/>
      <c r="I79" s="14"/>
      <c r="K79" s="11"/>
      <c r="L79" s="14"/>
      <c r="M79" s="14"/>
      <c r="N79" s="14"/>
      <c r="O79" s="14"/>
    </row>
    <row r="80" spans="3:15" x14ac:dyDescent="0.25">
      <c r="C80" s="13"/>
      <c r="D80" s="13"/>
      <c r="E80" s="13"/>
      <c r="F80" s="13"/>
      <c r="G80" s="13"/>
      <c r="H80" s="13"/>
      <c r="I80" s="13"/>
      <c r="K80" s="13"/>
      <c r="L80" s="13"/>
      <c r="M80" s="13"/>
      <c r="N80" s="13"/>
      <c r="O80" s="13"/>
    </row>
    <row r="81" spans="3:15" x14ac:dyDescent="0.25">
      <c r="C81" s="11"/>
      <c r="D81" s="11"/>
      <c r="E81" s="14"/>
      <c r="F81" s="14"/>
      <c r="G81" s="14"/>
      <c r="H81" s="14"/>
      <c r="I81" s="14"/>
      <c r="K81" s="11"/>
      <c r="L81" s="14"/>
      <c r="M81" s="14"/>
      <c r="N81" s="14"/>
      <c r="O81" s="14"/>
    </row>
    <row r="82" spans="3:15" x14ac:dyDescent="0.25">
      <c r="C82" s="13"/>
      <c r="D82" s="13"/>
      <c r="E82" s="13"/>
      <c r="F82" s="13"/>
      <c r="G82" s="13"/>
      <c r="H82" s="13"/>
      <c r="I82" s="13"/>
      <c r="K82" s="13"/>
      <c r="L82" s="13"/>
      <c r="M82" s="13"/>
      <c r="N82" s="13"/>
      <c r="O82" s="13"/>
    </row>
    <row r="83" spans="3:15" x14ac:dyDescent="0.25">
      <c r="C83" s="11"/>
      <c r="D83" s="11"/>
      <c r="E83" s="13"/>
      <c r="F83" s="13"/>
      <c r="G83" s="13"/>
      <c r="H83" s="13"/>
      <c r="I83" s="13"/>
      <c r="K83" s="11"/>
      <c r="L83" s="13"/>
      <c r="M83" s="13"/>
      <c r="N83" s="13"/>
      <c r="O83" s="13"/>
    </row>
    <row r="84" spans="3:15" x14ac:dyDescent="0.25">
      <c r="C84" s="13"/>
      <c r="D84" s="13"/>
      <c r="E84" s="13"/>
      <c r="F84" s="13"/>
      <c r="G84" s="13"/>
      <c r="H84" s="13"/>
      <c r="I84" s="13"/>
      <c r="K84" s="13"/>
      <c r="L84" s="13"/>
      <c r="M84" s="13"/>
      <c r="N84" s="13"/>
      <c r="O84" s="13"/>
    </row>
    <row r="85" spans="3:15" x14ac:dyDescent="0.25">
      <c r="C85" s="9"/>
      <c r="D85" s="9"/>
      <c r="E85" s="10"/>
      <c r="F85" s="10"/>
      <c r="G85" s="10"/>
      <c r="H85" s="10"/>
      <c r="I85" s="10"/>
      <c r="K85" s="9"/>
      <c r="L85" s="10"/>
      <c r="M85" s="10"/>
      <c r="N85" s="10"/>
      <c r="O85" s="10"/>
    </row>
    <row r="86" spans="3:15" x14ac:dyDescent="0.25">
      <c r="C86" s="9"/>
      <c r="D86" s="9"/>
      <c r="E86" s="10"/>
      <c r="F86" s="10"/>
      <c r="G86" s="10"/>
      <c r="H86" s="10"/>
      <c r="I86" s="10"/>
      <c r="K86" s="9"/>
      <c r="L86" s="10"/>
      <c r="M86" s="10"/>
      <c r="N86" s="10"/>
      <c r="O86" s="10"/>
    </row>
    <row r="87" spans="3:15" x14ac:dyDescent="0.25">
      <c r="C87" s="9"/>
      <c r="D87" s="9"/>
      <c r="E87" s="10"/>
      <c r="F87" s="10"/>
      <c r="G87" s="10"/>
      <c r="H87" s="10"/>
      <c r="I87" s="10"/>
      <c r="K87" s="9"/>
      <c r="L87" s="10"/>
      <c r="M87" s="10"/>
      <c r="N87" s="10"/>
      <c r="O87" s="10"/>
    </row>
    <row r="88" spans="3:15" x14ac:dyDescent="0.25">
      <c r="C88" s="13"/>
      <c r="D88" s="13"/>
      <c r="E88" s="13"/>
      <c r="F88" s="13"/>
      <c r="G88" s="13"/>
      <c r="H88" s="13"/>
      <c r="I88" s="13"/>
      <c r="K88" s="13"/>
      <c r="L88" s="13"/>
      <c r="M88" s="13"/>
      <c r="N88" s="13"/>
      <c r="O88" s="13"/>
    </row>
    <row r="89" spans="3:15" x14ac:dyDescent="0.25">
      <c r="C89" s="11"/>
      <c r="D89" s="11"/>
      <c r="E89" s="14"/>
      <c r="F89" s="14"/>
      <c r="G89" s="14"/>
      <c r="H89" s="14"/>
      <c r="I89" s="14"/>
      <c r="K89" s="11"/>
      <c r="L89" s="14"/>
      <c r="M89" s="14"/>
      <c r="N89" s="14"/>
      <c r="O89" s="14"/>
    </row>
    <row r="90" spans="3:15" x14ac:dyDescent="0.25">
      <c r="C90" s="13"/>
      <c r="D90" s="13"/>
      <c r="E90" s="13"/>
      <c r="F90" s="13"/>
      <c r="G90" s="13"/>
      <c r="H90" s="13"/>
      <c r="I90" s="13"/>
      <c r="K90" s="13"/>
      <c r="L90" s="13"/>
      <c r="M90" s="13"/>
      <c r="N90" s="13"/>
      <c r="O90" s="13"/>
    </row>
    <row r="91" spans="3:15" x14ac:dyDescent="0.25">
      <c r="C91" s="9"/>
      <c r="D91" s="9"/>
      <c r="E91" s="10"/>
      <c r="F91" s="10"/>
      <c r="G91" s="10"/>
      <c r="H91" s="10"/>
      <c r="I91" s="10"/>
      <c r="K91" s="9"/>
      <c r="L91" s="10"/>
      <c r="M91" s="10"/>
      <c r="N91" s="10"/>
      <c r="O91" s="10"/>
    </row>
    <row r="92" spans="3:15" x14ac:dyDescent="0.25">
      <c r="C92" s="9"/>
      <c r="D92" s="9"/>
      <c r="E92" s="10"/>
      <c r="F92" s="10"/>
      <c r="G92" s="10"/>
      <c r="H92" s="10"/>
      <c r="I92" s="10"/>
      <c r="K92" s="9"/>
      <c r="L92" s="10"/>
      <c r="M92" s="10"/>
      <c r="N92" s="10"/>
      <c r="O92" s="10"/>
    </row>
    <row r="93" spans="3:15" x14ac:dyDescent="0.25">
      <c r="C93" s="9"/>
      <c r="D93" s="9"/>
      <c r="E93" s="10"/>
      <c r="F93" s="10"/>
      <c r="G93" s="10"/>
      <c r="H93" s="10"/>
      <c r="I93" s="10"/>
      <c r="K93" s="9"/>
      <c r="L93" s="10"/>
      <c r="M93" s="10"/>
      <c r="N93" s="10"/>
      <c r="O93" s="10"/>
    </row>
    <row r="94" spans="3:15" x14ac:dyDescent="0.25">
      <c r="C94" s="9"/>
      <c r="D94" s="9"/>
      <c r="E94" s="10"/>
      <c r="F94" s="10"/>
      <c r="G94" s="10"/>
      <c r="H94" s="10"/>
      <c r="I94" s="10"/>
      <c r="K94" s="9"/>
      <c r="L94" s="10"/>
      <c r="M94" s="10"/>
      <c r="N94" s="10"/>
      <c r="O94" s="10"/>
    </row>
    <row r="95" spans="3:15" x14ac:dyDescent="0.25">
      <c r="C95" s="9"/>
      <c r="D95" s="9"/>
      <c r="E95" s="10"/>
      <c r="F95" s="10"/>
      <c r="G95" s="10"/>
      <c r="H95" s="10"/>
      <c r="I95" s="10"/>
      <c r="K95" s="9"/>
      <c r="L95" s="10"/>
      <c r="M95" s="10"/>
      <c r="N95" s="10"/>
      <c r="O95" s="10"/>
    </row>
    <row r="96" spans="3:15" x14ac:dyDescent="0.25">
      <c r="C96" s="9"/>
      <c r="D96" s="9"/>
      <c r="E96" s="10"/>
      <c r="F96" s="10"/>
      <c r="G96" s="10"/>
      <c r="H96" s="10"/>
      <c r="I96" s="10"/>
      <c r="K96" s="9"/>
      <c r="L96" s="10"/>
      <c r="M96" s="10"/>
      <c r="N96" s="10"/>
      <c r="O96" s="10"/>
    </row>
    <row r="97" spans="3:15" x14ac:dyDescent="0.25">
      <c r="C97" s="9"/>
      <c r="D97" s="9"/>
      <c r="E97" s="10"/>
      <c r="F97" s="10"/>
      <c r="G97" s="10"/>
      <c r="H97" s="10"/>
      <c r="I97" s="10"/>
      <c r="K97" s="9"/>
      <c r="L97" s="10"/>
      <c r="M97" s="10"/>
      <c r="N97" s="10"/>
      <c r="O97" s="10"/>
    </row>
    <row r="98" spans="3:15" x14ac:dyDescent="0.25">
      <c r="C98" s="9"/>
      <c r="D98" s="9"/>
      <c r="E98" s="10"/>
      <c r="F98" s="10"/>
      <c r="G98" s="10"/>
      <c r="H98" s="10"/>
      <c r="I98" s="10"/>
      <c r="K98" s="9"/>
      <c r="L98" s="10"/>
      <c r="M98" s="10"/>
      <c r="N98" s="10"/>
      <c r="O98" s="10"/>
    </row>
    <row r="99" spans="3:15" x14ac:dyDescent="0.25">
      <c r="C99" s="9"/>
      <c r="D99" s="9"/>
      <c r="E99" s="10"/>
      <c r="F99" s="10"/>
      <c r="G99" s="10"/>
      <c r="H99" s="10"/>
      <c r="I99" s="10"/>
      <c r="K99" s="9"/>
      <c r="L99" s="10"/>
      <c r="M99" s="10"/>
      <c r="N99" s="10"/>
      <c r="O99" s="10"/>
    </row>
    <row r="100" spans="3:15" x14ac:dyDescent="0.25">
      <c r="C100" s="9"/>
      <c r="D100" s="9"/>
      <c r="E100" s="10"/>
      <c r="F100" s="10"/>
      <c r="G100" s="10"/>
      <c r="H100" s="10"/>
      <c r="I100" s="10"/>
      <c r="K100" s="9"/>
      <c r="L100" s="10"/>
      <c r="M100" s="10"/>
      <c r="N100" s="10"/>
      <c r="O100" s="10"/>
    </row>
    <row r="101" spans="3:15" x14ac:dyDescent="0.25">
      <c r="C101" s="13"/>
      <c r="D101" s="13"/>
      <c r="E101" s="13"/>
      <c r="F101" s="13"/>
      <c r="G101" s="13"/>
      <c r="H101" s="13"/>
      <c r="I101" s="13"/>
      <c r="K101" s="13"/>
      <c r="L101" s="13"/>
      <c r="M101" s="13"/>
      <c r="N101" s="13"/>
      <c r="O101" s="13"/>
    </row>
    <row r="102" spans="3:15" x14ac:dyDescent="0.25">
      <c r="C102" s="11"/>
      <c r="D102" s="11"/>
      <c r="E102" s="14"/>
      <c r="F102" s="14"/>
      <c r="G102" s="14"/>
      <c r="H102" s="14"/>
      <c r="I102" s="14"/>
      <c r="K102" s="11"/>
      <c r="L102" s="14"/>
      <c r="M102" s="14"/>
      <c r="N102" s="14"/>
      <c r="O102" s="14"/>
    </row>
    <row r="103" spans="3:15" x14ac:dyDescent="0.25">
      <c r="C103" s="13"/>
      <c r="D103" s="13"/>
      <c r="E103" s="13"/>
      <c r="F103" s="13"/>
      <c r="G103" s="13"/>
      <c r="H103" s="13"/>
      <c r="I103" s="13"/>
      <c r="K103" s="13"/>
      <c r="L103" s="13"/>
      <c r="M103" s="13"/>
      <c r="N103" s="13"/>
      <c r="O103" s="13"/>
    </row>
    <row r="104" spans="3:15" x14ac:dyDescent="0.25">
      <c r="C104" s="11"/>
      <c r="D104" s="11"/>
      <c r="E104" s="14"/>
      <c r="F104" s="14"/>
      <c r="G104" s="14"/>
      <c r="H104" s="14"/>
      <c r="I104" s="14"/>
      <c r="K104" s="11"/>
      <c r="L104" s="14"/>
      <c r="M104" s="14"/>
      <c r="N104" s="14"/>
      <c r="O104" s="14"/>
    </row>
    <row r="105" spans="3:15" x14ac:dyDescent="0.25">
      <c r="C105" s="13"/>
      <c r="D105" s="13"/>
      <c r="E105" s="15"/>
      <c r="F105" s="15"/>
      <c r="G105" s="15"/>
      <c r="H105" s="15"/>
      <c r="I105" s="15"/>
      <c r="K105" s="13"/>
      <c r="L105" s="15"/>
      <c r="M105" s="15"/>
      <c r="N105" s="15"/>
      <c r="O105" s="15"/>
    </row>
    <row r="106" spans="3:15" x14ac:dyDescent="0.25">
      <c r="C106" s="9"/>
      <c r="D106" s="9"/>
      <c r="E106" s="10"/>
      <c r="F106" s="10"/>
      <c r="G106" s="10"/>
      <c r="H106" s="10"/>
      <c r="I106" s="10"/>
      <c r="K106" s="9"/>
      <c r="L106" s="10"/>
      <c r="M106" s="10"/>
      <c r="N106" s="10"/>
      <c r="O106" s="10"/>
    </row>
    <row r="107" spans="3:15" x14ac:dyDescent="0.25">
      <c r="C107" s="9"/>
      <c r="D107" s="9"/>
      <c r="E107" s="10"/>
      <c r="F107" s="10"/>
      <c r="G107" s="10"/>
      <c r="H107" s="10"/>
      <c r="I107" s="10"/>
      <c r="K107" s="9"/>
      <c r="L107" s="10"/>
      <c r="M107" s="10"/>
      <c r="N107" s="10"/>
      <c r="O107" s="10"/>
    </row>
    <row r="108" spans="3:15" x14ac:dyDescent="0.25">
      <c r="C108" s="13"/>
      <c r="D108" s="13"/>
      <c r="E108" s="13"/>
      <c r="F108" s="13"/>
      <c r="G108" s="13"/>
      <c r="H108" s="13"/>
      <c r="I108" s="13"/>
      <c r="K108" s="13"/>
      <c r="L108" s="13"/>
      <c r="M108" s="13"/>
      <c r="N108" s="13"/>
      <c r="O108" s="13"/>
    </row>
    <row r="109" spans="3:15" x14ac:dyDescent="0.25">
      <c r="C109" s="11"/>
      <c r="D109" s="11"/>
      <c r="E109" s="14"/>
      <c r="F109" s="14"/>
      <c r="G109" s="14"/>
      <c r="H109" s="14"/>
      <c r="I109" s="14"/>
      <c r="K109" s="11"/>
      <c r="L109" s="14"/>
      <c r="M109" s="14"/>
      <c r="N109" s="14"/>
      <c r="O109" s="14"/>
    </row>
    <row r="110" spans="3:15" x14ac:dyDescent="0.25">
      <c r="C110" s="13"/>
      <c r="D110" s="13"/>
      <c r="E110" s="13"/>
      <c r="F110" s="13"/>
      <c r="G110" s="13"/>
      <c r="H110" s="13"/>
      <c r="I110" s="13"/>
      <c r="K110" s="13"/>
      <c r="L110" s="13"/>
      <c r="M110" s="13"/>
      <c r="N110" s="13"/>
      <c r="O110" s="13"/>
    </row>
  </sheetData>
  <mergeCells count="2">
    <mergeCell ref="C9:I9"/>
    <mergeCell ref="K9:P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D6:K45"/>
  <sheetViews>
    <sheetView showGridLines="0" workbookViewId="0">
      <selection activeCell="D8" sqref="D8"/>
    </sheetView>
  </sheetViews>
  <sheetFormatPr baseColWidth="10" defaultRowHeight="15" x14ac:dyDescent="0.25"/>
  <cols>
    <col min="4" max="4" width="42.5703125" customWidth="1"/>
    <col min="5" max="9" width="12.5703125" bestFit="1" customWidth="1"/>
    <col min="10" max="11" width="13.140625" bestFit="1" customWidth="1"/>
  </cols>
  <sheetData>
    <row r="6" spans="4:11" ht="25.5" customHeight="1" thickBot="1" x14ac:dyDescent="0.3"/>
    <row r="7" spans="4:11" ht="25.5" customHeight="1" thickBot="1" x14ac:dyDescent="0.3">
      <c r="D7" s="380" t="s">
        <v>299</v>
      </c>
      <c r="E7" s="381"/>
      <c r="F7" s="381"/>
      <c r="G7" s="381"/>
      <c r="H7" s="381"/>
      <c r="I7" s="381"/>
      <c r="J7" s="382"/>
    </row>
    <row r="8" spans="4:11" x14ac:dyDescent="0.25">
      <c r="D8" s="34" t="s">
        <v>209</v>
      </c>
      <c r="E8" s="59">
        <v>1000</v>
      </c>
    </row>
    <row r="10" spans="4:11" x14ac:dyDescent="0.25">
      <c r="E10" s="4">
        <v>2008</v>
      </c>
      <c r="F10" s="4">
        <v>2009</v>
      </c>
      <c r="G10" s="4">
        <v>2010</v>
      </c>
      <c r="H10" s="4">
        <v>2011</v>
      </c>
      <c r="I10" s="4">
        <v>2012</v>
      </c>
      <c r="J10" s="4">
        <v>2013</v>
      </c>
    </row>
    <row r="11" spans="4:11" x14ac:dyDescent="0.25">
      <c r="D11" s="34" t="s">
        <v>281</v>
      </c>
    </row>
    <row r="12" spans="4:11" x14ac:dyDescent="0.25">
      <c r="D12" s="34"/>
    </row>
    <row r="13" spans="4:11" x14ac:dyDescent="0.25">
      <c r="D13" s="21" t="s">
        <v>272</v>
      </c>
      <c r="E13" s="22">
        <v>110.01</v>
      </c>
      <c r="F13" s="22">
        <v>243.26300000000001</v>
      </c>
      <c r="G13" s="22">
        <v>243.26300000000001</v>
      </c>
      <c r="H13" s="22">
        <v>160.01</v>
      </c>
      <c r="I13" s="22">
        <v>410.01</v>
      </c>
      <c r="J13" s="22">
        <v>879.904</v>
      </c>
    </row>
    <row r="14" spans="4:11" x14ac:dyDescent="0.25">
      <c r="D14" s="21" t="s">
        <v>285</v>
      </c>
      <c r="E14" s="22">
        <v>0</v>
      </c>
      <c r="F14" s="22">
        <v>0</v>
      </c>
      <c r="G14" s="22">
        <v>0</v>
      </c>
      <c r="H14" s="22">
        <v>128.852</v>
      </c>
      <c r="I14" s="22">
        <v>127.398</v>
      </c>
      <c r="J14" s="22">
        <v>3.5859999999999999</v>
      </c>
    </row>
    <row r="15" spans="4:11" x14ac:dyDescent="0.25">
      <c r="D15" s="21" t="s">
        <v>273</v>
      </c>
      <c r="E15" s="22">
        <v>2777.1350000000002</v>
      </c>
      <c r="F15" s="22">
        <v>3227.09</v>
      </c>
      <c r="G15" s="22">
        <v>7318.6930000000002</v>
      </c>
      <c r="H15" s="22">
        <v>7348.6959999999999</v>
      </c>
      <c r="I15" s="22">
        <v>7791.6959999999999</v>
      </c>
      <c r="J15" s="22">
        <v>7791.6959999999999</v>
      </c>
      <c r="K15" s="139"/>
    </row>
    <row r="16" spans="4:11" x14ac:dyDescent="0.25">
      <c r="D16" s="21" t="s">
        <v>274</v>
      </c>
      <c r="E16" s="22">
        <v>85002.403000000006</v>
      </c>
      <c r="F16" s="22">
        <v>86476.517999999996</v>
      </c>
      <c r="G16" s="22">
        <v>83871.990999999995</v>
      </c>
      <c r="H16" s="22">
        <v>83023.251000000004</v>
      </c>
      <c r="I16" s="22">
        <v>78817.137000000002</v>
      </c>
      <c r="J16" s="22">
        <v>77840.160000000003</v>
      </c>
      <c r="K16" s="139"/>
    </row>
    <row r="17" spans="4:11" x14ac:dyDescent="0.25">
      <c r="D17" s="21" t="s">
        <v>275</v>
      </c>
      <c r="E17" s="22">
        <v>839.75699999999995</v>
      </c>
      <c r="F17" s="22">
        <v>861.85900000000004</v>
      </c>
      <c r="G17" s="22">
        <v>1113.672</v>
      </c>
      <c r="H17" s="22">
        <v>1149.1759999999999</v>
      </c>
      <c r="I17" s="22">
        <v>1197.422</v>
      </c>
      <c r="J17" s="22">
        <v>1205.3019999999999</v>
      </c>
      <c r="K17" s="139"/>
    </row>
    <row r="18" spans="4:11" x14ac:dyDescent="0.25">
      <c r="D18" s="21" t="s">
        <v>276</v>
      </c>
      <c r="E18" s="22">
        <v>467.92099999999999</v>
      </c>
      <c r="F18" s="22">
        <v>522.48900000000003</v>
      </c>
      <c r="G18" s="22">
        <v>612.27700000000004</v>
      </c>
      <c r="H18" s="22">
        <v>710.49300000000005</v>
      </c>
      <c r="I18" s="22">
        <v>834.53499999999997</v>
      </c>
      <c r="J18" s="22">
        <v>799.79</v>
      </c>
      <c r="K18" s="139"/>
    </row>
    <row r="19" spans="4:11" x14ac:dyDescent="0.25">
      <c r="D19" s="21" t="s">
        <v>277</v>
      </c>
      <c r="E19" s="22">
        <v>22589.286</v>
      </c>
      <c r="F19" s="22">
        <v>19490.396000000001</v>
      </c>
      <c r="G19" s="22">
        <v>19619.59</v>
      </c>
      <c r="H19" s="22">
        <v>18420.868999999999</v>
      </c>
      <c r="I19" s="22">
        <v>16388.04</v>
      </c>
      <c r="J19" s="22">
        <v>15066.880999999999</v>
      </c>
      <c r="K19" s="139"/>
    </row>
    <row r="20" spans="4:11" x14ac:dyDescent="0.25">
      <c r="D20" s="21" t="s">
        <v>278</v>
      </c>
      <c r="E20" s="22">
        <v>2623.0010000000002</v>
      </c>
      <c r="F20" s="22">
        <v>2839.5329999999999</v>
      </c>
      <c r="G20" s="22">
        <v>2937.279</v>
      </c>
      <c r="H20" s="22">
        <f>(+G20)/1000</f>
        <v>2.9372790000000002</v>
      </c>
      <c r="I20" s="22">
        <v>0</v>
      </c>
      <c r="J20" s="22">
        <v>0</v>
      </c>
    </row>
    <row r="21" spans="4:11" x14ac:dyDescent="0.25">
      <c r="D21" s="21" t="s">
        <v>284</v>
      </c>
      <c r="E21" s="22">
        <v>0</v>
      </c>
      <c r="F21" s="22">
        <v>122.07599999999999</v>
      </c>
      <c r="G21" s="22">
        <v>122.07599999999999</v>
      </c>
      <c r="H21" s="22">
        <f>(+G21)/1000</f>
        <v>0.12207599999999999</v>
      </c>
      <c r="I21" s="22">
        <f>(+H21)/1000</f>
        <v>1.2207599999999999E-4</v>
      </c>
      <c r="J21" s="22">
        <v>122.07599999999999</v>
      </c>
    </row>
    <row r="22" spans="4:11" x14ac:dyDescent="0.25">
      <c r="D22" s="21" t="s">
        <v>279</v>
      </c>
      <c r="E22" s="22">
        <v>6617.1090000000004</v>
      </c>
      <c r="F22" s="22">
        <v>15537.647999999999</v>
      </c>
      <c r="G22" s="22">
        <v>33786.993000000002</v>
      </c>
      <c r="H22" s="22">
        <v>10023.915999999999</v>
      </c>
      <c r="I22" s="22">
        <v>0</v>
      </c>
      <c r="J22" s="22">
        <v>107.9</v>
      </c>
    </row>
    <row r="23" spans="4:11" x14ac:dyDescent="0.25">
      <c r="D23" s="21" t="s">
        <v>286</v>
      </c>
      <c r="E23" s="22">
        <v>0</v>
      </c>
      <c r="F23" s="22">
        <v>0</v>
      </c>
      <c r="G23" s="22">
        <v>0</v>
      </c>
      <c r="H23" s="22">
        <v>4842.4049999999997</v>
      </c>
      <c r="I23" s="22">
        <v>4524.2560000000003</v>
      </c>
      <c r="J23" s="22">
        <v>1923.144</v>
      </c>
    </row>
    <row r="25" spans="4:11" x14ac:dyDescent="0.25">
      <c r="D25" s="5" t="s">
        <v>280</v>
      </c>
      <c r="E25" s="7">
        <f>SUM(E13:E23)</f>
        <v>121026.62200000002</v>
      </c>
      <c r="F25" s="7">
        <f t="shared" ref="F25:I25" si="0">SUM(F13:F23)</f>
        <v>129320.87199999999</v>
      </c>
      <c r="G25" s="7">
        <f t="shared" si="0"/>
        <v>149625.834</v>
      </c>
      <c r="H25" s="7">
        <f t="shared" si="0"/>
        <v>125810.72735500001</v>
      </c>
      <c r="I25" s="7">
        <f t="shared" si="0"/>
        <v>110090.49412207601</v>
      </c>
      <c r="J25" s="7">
        <f t="shared" ref="J25" si="1">SUM(J13:J23)</f>
        <v>105740.43899999998</v>
      </c>
    </row>
    <row r="27" spans="4:11" x14ac:dyDescent="0.25">
      <c r="D27" s="34" t="s">
        <v>282</v>
      </c>
    </row>
    <row r="29" spans="4:11" x14ac:dyDescent="0.25">
      <c r="D29" s="21" t="s">
        <v>273</v>
      </c>
      <c r="E29" s="22">
        <v>-1299.6389999999999</v>
      </c>
      <c r="F29" s="22">
        <v>-1439.9870000000001</v>
      </c>
      <c r="G29" s="22">
        <v>-1601.4469999999999</v>
      </c>
      <c r="H29" s="22">
        <v>-1971.7339999999999</v>
      </c>
      <c r="I29" s="22">
        <v>-2346.7420000000002</v>
      </c>
      <c r="J29" s="22">
        <v>-2749.1489999999999</v>
      </c>
    </row>
    <row r="30" spans="4:11" x14ac:dyDescent="0.25">
      <c r="D30" s="21" t="s">
        <v>274</v>
      </c>
      <c r="E30" s="22">
        <v>-23338.493999999999</v>
      </c>
      <c r="F30" s="22">
        <v>-30543.741000000002</v>
      </c>
      <c r="G30" s="22">
        <v>-36314.949000000001</v>
      </c>
      <c r="H30" s="22">
        <v>-42970.872000000003</v>
      </c>
      <c r="I30" s="22">
        <v>-41475.156000000003</v>
      </c>
      <c r="J30" s="22">
        <v>-46694.813000000002</v>
      </c>
    </row>
    <row r="31" spans="4:11" x14ac:dyDescent="0.25">
      <c r="D31" s="21" t="s">
        <v>275</v>
      </c>
      <c r="E31" s="22">
        <v>-566.99</v>
      </c>
      <c r="F31" s="22">
        <v>-581.98599999999999</v>
      </c>
      <c r="G31" s="22">
        <v>-367.69799999999998</v>
      </c>
      <c r="H31" s="22">
        <v>-442.97500000000002</v>
      </c>
      <c r="I31" s="22">
        <v>-521.24900000000002</v>
      </c>
      <c r="J31" s="22">
        <v>-601.05999999999995</v>
      </c>
    </row>
    <row r="32" spans="4:11" x14ac:dyDescent="0.25">
      <c r="D32" s="21" t="s">
        <v>276</v>
      </c>
      <c r="E32" s="22">
        <v>-281.298</v>
      </c>
      <c r="F32" s="22">
        <v>-323.29599999999999</v>
      </c>
      <c r="G32" s="22">
        <v>-387.19</v>
      </c>
      <c r="H32" s="22">
        <v>-465.53899999999999</v>
      </c>
      <c r="I32" s="22">
        <v>-550.02700000000004</v>
      </c>
      <c r="J32" s="22">
        <v>-514.41200000000003</v>
      </c>
    </row>
    <row r="33" spans="4:11" x14ac:dyDescent="0.25">
      <c r="D33" s="21" t="s">
        <v>277</v>
      </c>
      <c r="E33" s="22">
        <v>-10832.146000000001</v>
      </c>
      <c r="F33" s="22">
        <v>-11738.145</v>
      </c>
      <c r="G33" s="22">
        <v>-15104.97</v>
      </c>
      <c r="H33" s="22">
        <v>-16211.266</v>
      </c>
      <c r="I33" s="22">
        <v>-14730.004000000001</v>
      </c>
      <c r="J33" s="22">
        <v>-13603.736000000001</v>
      </c>
      <c r="K33" s="72"/>
    </row>
    <row r="34" spans="4:11" x14ac:dyDescent="0.25">
      <c r="D34" s="21" t="s">
        <v>278</v>
      </c>
      <c r="E34" s="22">
        <v>-617.46400000000006</v>
      </c>
      <c r="F34" s="22">
        <v>-904.33699999999999</v>
      </c>
      <c r="G34" s="22">
        <v>-1217.837</v>
      </c>
      <c r="H34" s="22">
        <v>-1535.479</v>
      </c>
      <c r="I34" s="22">
        <v>0</v>
      </c>
      <c r="J34" s="22">
        <v>0</v>
      </c>
    </row>
    <row r="35" spans="4:11" x14ac:dyDescent="0.25">
      <c r="D35" s="21" t="s">
        <v>287</v>
      </c>
      <c r="E35" s="22">
        <v>-6242.1610000000001</v>
      </c>
      <c r="F35" s="22">
        <v>-6131.2370000000001</v>
      </c>
      <c r="G35" s="22">
        <v>-5812.5039999999999</v>
      </c>
      <c r="H35" s="22">
        <v>-5787.1139999999996</v>
      </c>
      <c r="I35" s="22">
        <v>-5325.2910000000002</v>
      </c>
      <c r="J35" s="22">
        <v>-4216.0079999999998</v>
      </c>
    </row>
    <row r="36" spans="4:11" x14ac:dyDescent="0.25">
      <c r="D36" s="21" t="s">
        <v>288</v>
      </c>
      <c r="E36" s="22">
        <v>0</v>
      </c>
      <c r="F36" s="22">
        <v>-122.07599999999999</v>
      </c>
      <c r="G36" s="22">
        <v>-122.07599999999999</v>
      </c>
      <c r="H36" s="22">
        <v>-122.07599999999999</v>
      </c>
      <c r="I36" s="22">
        <v>-122.07599999999999</v>
      </c>
      <c r="J36" s="22">
        <v>0</v>
      </c>
    </row>
    <row r="37" spans="4:11" x14ac:dyDescent="0.25">
      <c r="D37" s="21" t="s">
        <v>289</v>
      </c>
      <c r="E37" s="22">
        <v>0</v>
      </c>
      <c r="F37" s="22">
        <v>0</v>
      </c>
      <c r="G37" s="22">
        <v>0</v>
      </c>
      <c r="H37" s="22">
        <v>-1888.171</v>
      </c>
      <c r="I37" s="22">
        <v>-2111.4720000000002</v>
      </c>
      <c r="J37" s="22">
        <v>-715.94500000000005</v>
      </c>
    </row>
    <row r="38" spans="4:11" x14ac:dyDescent="0.25">
      <c r="D38" s="9"/>
      <c r="E38" s="10"/>
      <c r="F38" s="10"/>
      <c r="G38" s="10"/>
      <c r="H38" s="10"/>
      <c r="I38" s="10"/>
      <c r="J38" s="10"/>
    </row>
    <row r="40" spans="4:11" x14ac:dyDescent="0.25">
      <c r="D40" s="5" t="s">
        <v>283</v>
      </c>
      <c r="E40" s="7">
        <f>SUM(E29:E37)</f>
        <v>-43178.191999999995</v>
      </c>
      <c r="F40" s="7">
        <f t="shared" ref="F40:I40" si="2">SUM(F29:F37)</f>
        <v>-51784.805</v>
      </c>
      <c r="G40" s="7">
        <f t="shared" si="2"/>
        <v>-60928.671000000002</v>
      </c>
      <c r="H40" s="7">
        <f t="shared" si="2"/>
        <v>-71395.225999999995</v>
      </c>
      <c r="I40" s="7">
        <f t="shared" si="2"/>
        <v>-67182.017000000007</v>
      </c>
      <c r="J40" s="7">
        <f t="shared" ref="J40" si="3">SUM(J29:J37)</f>
        <v>-69095.123000000007</v>
      </c>
    </row>
    <row r="43" spans="4:11" x14ac:dyDescent="0.25">
      <c r="D43" s="5" t="s">
        <v>290</v>
      </c>
      <c r="E43" s="7">
        <f>+E25+E40</f>
        <v>77848.430000000022</v>
      </c>
      <c r="F43" s="7">
        <f t="shared" ref="F43:I43" si="4">+F25+F40</f>
        <v>77536.066999999981</v>
      </c>
      <c r="G43" s="7">
        <f t="shared" si="4"/>
        <v>88697.163</v>
      </c>
      <c r="H43" s="7">
        <f t="shared" si="4"/>
        <v>54415.501355000015</v>
      </c>
      <c r="I43" s="7">
        <f t="shared" si="4"/>
        <v>42908.477122076001</v>
      </c>
      <c r="J43" s="7">
        <f t="shared" ref="J43" si="5">+J25+J40</f>
        <v>36645.315999999977</v>
      </c>
    </row>
    <row r="44" spans="4:11" x14ac:dyDescent="0.25">
      <c r="J44" s="139"/>
    </row>
    <row r="45" spans="4:11" s="82" customFormat="1" x14ac:dyDescent="0.25">
      <c r="D45" s="82" t="s">
        <v>211</v>
      </c>
      <c r="E45" s="83">
        <f>+E43-'BG2008-2013'!E32</f>
        <v>1.0000000183936208E-3</v>
      </c>
      <c r="F45" s="83">
        <f>+F43-'BG2008-2013'!F32</f>
        <v>2.9999999999854481</v>
      </c>
      <c r="G45" s="83">
        <f>+G43-'BG2008-2013'!G32</f>
        <v>2.9989999999961583</v>
      </c>
      <c r="H45" s="83">
        <f>+H43-'BG2008-2013'!H32</f>
        <v>-3056.2946449999872</v>
      </c>
      <c r="I45" s="83">
        <f>+I43-'BG2008-2013'!I32</f>
        <v>-122.07387792399823</v>
      </c>
      <c r="J45" s="83">
        <f>+J43-'BG2008-2013'!J32</f>
        <v>9.9999997473787516E-4</v>
      </c>
    </row>
  </sheetData>
  <mergeCells count="1">
    <mergeCell ref="D7:J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D6:V41"/>
  <sheetViews>
    <sheetView showGridLines="0" topLeftCell="D1" workbookViewId="0">
      <selection activeCell="D8" sqref="D8"/>
    </sheetView>
  </sheetViews>
  <sheetFormatPr baseColWidth="10" defaultRowHeight="15" x14ac:dyDescent="0.25"/>
  <cols>
    <col min="4" max="4" width="42.5703125" customWidth="1"/>
    <col min="5" max="9" width="12.5703125" bestFit="1" customWidth="1"/>
    <col min="10" max="11" width="13.140625" bestFit="1" customWidth="1"/>
  </cols>
  <sheetData>
    <row r="6" spans="4:22" ht="25.5" customHeight="1" thickBot="1" x14ac:dyDescent="0.3"/>
    <row r="7" spans="4:22" ht="25.5" customHeight="1" thickBot="1" x14ac:dyDescent="0.3">
      <c r="D7" s="380" t="s">
        <v>299</v>
      </c>
      <c r="E7" s="381"/>
      <c r="F7" s="381"/>
      <c r="G7" s="381"/>
      <c r="H7" s="381"/>
      <c r="I7" s="381"/>
      <c r="J7" s="381"/>
      <c r="K7" s="381"/>
      <c r="L7" s="381"/>
      <c r="M7" s="381"/>
      <c r="N7" s="381"/>
      <c r="O7" s="381"/>
      <c r="P7" s="381"/>
      <c r="Q7" s="381"/>
      <c r="R7" s="381"/>
      <c r="S7" s="381"/>
      <c r="T7" s="382"/>
    </row>
    <row r="8" spans="4:22" x14ac:dyDescent="0.25">
      <c r="D8" s="34" t="s">
        <v>209</v>
      </c>
      <c r="E8" s="59">
        <v>1000</v>
      </c>
    </row>
    <row r="9" spans="4:22" x14ac:dyDescent="0.25">
      <c r="K9" s="4"/>
    </row>
    <row r="10" spans="4:22" x14ac:dyDescent="0.25">
      <c r="E10" s="4">
        <v>2008</v>
      </c>
      <c r="F10" s="4">
        <v>2009</v>
      </c>
      <c r="G10" s="4">
        <v>2010</v>
      </c>
      <c r="H10" s="4">
        <v>2011</v>
      </c>
      <c r="I10" s="4">
        <v>2012</v>
      </c>
      <c r="J10" s="4">
        <v>2013</v>
      </c>
      <c r="K10" s="4" t="str">
        <f>+'BGPR2008-2023'!K11</f>
        <v>2014E</v>
      </c>
      <c r="L10" s="4" t="str">
        <f>+'BGPR2008-2023'!L11</f>
        <v>2015E</v>
      </c>
      <c r="M10" s="4" t="str">
        <f>+'BGPR2008-2023'!M11</f>
        <v>2016E</v>
      </c>
      <c r="N10" s="4" t="str">
        <f>+'BGPR2008-2023'!N11</f>
        <v>2017E</v>
      </c>
      <c r="O10" s="4" t="str">
        <f>+'BGPR2008-2023'!O11</f>
        <v>2018E</v>
      </c>
      <c r="P10" s="4" t="str">
        <f>+'BGPR2008-2023'!P11</f>
        <v>2019E</v>
      </c>
      <c r="Q10" s="4" t="str">
        <f>+'BGPR2008-2023'!Q11</f>
        <v>2020E</v>
      </c>
      <c r="R10" s="4" t="str">
        <f>+'BGPR2008-2023'!R11</f>
        <v>2021E</v>
      </c>
      <c r="S10" s="4" t="str">
        <f>+'BGPR2008-2023'!S11</f>
        <v>2022E</v>
      </c>
      <c r="T10" s="4" t="str">
        <f>+'BGPR2008-2023'!T11</f>
        <v>2023E</v>
      </c>
      <c r="U10" s="4"/>
      <c r="V10" s="4"/>
    </row>
    <row r="11" spans="4:22" x14ac:dyDescent="0.25">
      <c r="D11" s="34" t="s">
        <v>281</v>
      </c>
    </row>
    <row r="12" spans="4:22" x14ac:dyDescent="0.25">
      <c r="D12" s="34"/>
    </row>
    <row r="13" spans="4:22" x14ac:dyDescent="0.25">
      <c r="D13" s="21" t="s">
        <v>274</v>
      </c>
      <c r="E13" s="22">
        <v>85002.403000000006</v>
      </c>
      <c r="F13" s="22">
        <v>86476.517999999996</v>
      </c>
      <c r="G13" s="22">
        <v>83871.990999999995</v>
      </c>
      <c r="H13" s="22">
        <v>83023.251000000004</v>
      </c>
      <c r="I13" s="22">
        <v>78817.137000000002</v>
      </c>
      <c r="J13" s="22">
        <v>77840.160000000003</v>
      </c>
      <c r="K13" s="22">
        <f>+J13+(J13*K14)</f>
        <v>87180.979200000002</v>
      </c>
      <c r="L13" s="22">
        <f>+K13+(K13*L14)</f>
        <v>85437.359616000002</v>
      </c>
      <c r="M13" s="22">
        <f t="shared" ref="M13:P13" si="0">+L13+(L13*M14)</f>
        <v>83728.612423679995</v>
      </c>
      <c r="N13" s="22">
        <f t="shared" si="0"/>
        <v>82054.040175206392</v>
      </c>
      <c r="O13" s="22">
        <f t="shared" si="0"/>
        <v>80412.959371702265</v>
      </c>
      <c r="P13" s="22">
        <f t="shared" si="0"/>
        <v>78804.700184268222</v>
      </c>
      <c r="Q13" s="22">
        <f t="shared" ref="Q13" si="1">+P13+(P13*Q14)</f>
        <v>88261.264206380409</v>
      </c>
      <c r="R13" s="22">
        <f t="shared" ref="R13" si="2">+Q13+(Q13*R14)</f>
        <v>86496.038922252803</v>
      </c>
      <c r="S13" s="22">
        <f t="shared" ref="S13" si="3">+R13+(R13*S14)</f>
        <v>84766.118143807747</v>
      </c>
      <c r="T13" s="22">
        <f t="shared" ref="T13" si="4">+S13+(S13*T14)</f>
        <v>83070.795780931599</v>
      </c>
    </row>
    <row r="14" spans="4:22" x14ac:dyDescent="0.25">
      <c r="D14" s="21"/>
      <c r="E14" s="22"/>
      <c r="F14" s="36">
        <f>+F13/E13-1</f>
        <v>1.734203914211685E-2</v>
      </c>
      <c r="G14" s="36">
        <f t="shared" ref="G14" si="5">+G13/F13-1</f>
        <v>-3.0118314893298526E-2</v>
      </c>
      <c r="H14" s="36">
        <f t="shared" ref="H14" si="6">+H13/G13-1</f>
        <v>-1.0119468846280122E-2</v>
      </c>
      <c r="I14" s="36">
        <f t="shared" ref="I14" si="7">+I13/H13-1</f>
        <v>-5.0661880248461966E-2</v>
      </c>
      <c r="J14" s="36">
        <f t="shared" ref="J14" si="8">+J13/I13-1</f>
        <v>-1.2395489574811625E-2</v>
      </c>
      <c r="K14" s="36">
        <v>0.12</v>
      </c>
      <c r="L14" s="36">
        <v>-0.02</v>
      </c>
      <c r="M14" s="36">
        <v>-0.02</v>
      </c>
      <c r="N14" s="36">
        <v>-0.02</v>
      </c>
      <c r="O14" s="36">
        <v>-0.02</v>
      </c>
      <c r="P14" s="36">
        <v>-0.02</v>
      </c>
      <c r="Q14" s="36">
        <v>0.12</v>
      </c>
      <c r="R14" s="36">
        <v>-0.02</v>
      </c>
      <c r="S14" s="36">
        <v>-0.02</v>
      </c>
      <c r="T14" s="36">
        <v>-0.02</v>
      </c>
    </row>
    <row r="15" spans="4:22" x14ac:dyDescent="0.25">
      <c r="D15" s="21" t="s">
        <v>275</v>
      </c>
      <c r="E15" s="22">
        <v>839.75699999999995</v>
      </c>
      <c r="F15" s="22">
        <v>861.85900000000004</v>
      </c>
      <c r="G15" s="22">
        <v>1113.672</v>
      </c>
      <c r="H15" s="22">
        <v>1149.1759999999999</v>
      </c>
      <c r="I15" s="22">
        <v>1197.422</v>
      </c>
      <c r="J15" s="22">
        <v>1205.3019999999999</v>
      </c>
      <c r="K15" s="22">
        <f>+J15+(J15*K16)</f>
        <v>1241.4610599999999</v>
      </c>
      <c r="L15" s="22">
        <f t="shared" ref="L15:T15" si="9">+K15+(K15*L16)</f>
        <v>1291.1195023999999</v>
      </c>
      <c r="M15" s="22">
        <f t="shared" si="9"/>
        <v>1304.030697424</v>
      </c>
      <c r="N15" s="22">
        <f t="shared" si="9"/>
        <v>1343.1516183467199</v>
      </c>
      <c r="O15" s="22">
        <f t="shared" si="9"/>
        <v>1396.8776830805887</v>
      </c>
      <c r="P15" s="22">
        <f t="shared" si="9"/>
        <v>1410.8464599113945</v>
      </c>
      <c r="Q15" s="22">
        <f t="shared" si="9"/>
        <v>1453.1718537087363</v>
      </c>
      <c r="R15" s="22">
        <f t="shared" si="9"/>
        <v>1511.2987278570859</v>
      </c>
      <c r="S15" s="22">
        <f t="shared" si="9"/>
        <v>1526.4117151356568</v>
      </c>
      <c r="T15" s="22">
        <f t="shared" si="9"/>
        <v>1572.2040665897264</v>
      </c>
    </row>
    <row r="16" spans="4:22" x14ac:dyDescent="0.25">
      <c r="D16" s="21"/>
      <c r="E16" s="22"/>
      <c r="F16" s="36">
        <f>+F15/E15-1</f>
        <v>2.6319518622649252E-2</v>
      </c>
      <c r="G16" s="36">
        <f>+G15/F15-1</f>
        <v>0.29217424195837127</v>
      </c>
      <c r="H16" s="36">
        <f t="shared" ref="H16" si="10">+H15/G15-1</f>
        <v>3.1880122693216606E-2</v>
      </c>
      <c r="I16" s="36">
        <f t="shared" ref="I16" si="11">+I15/H15-1</f>
        <v>4.1983125300215196E-2</v>
      </c>
      <c r="J16" s="36">
        <f t="shared" ref="J16" si="12">+J15/I15-1</f>
        <v>6.5808044281798761E-3</v>
      </c>
      <c r="K16" s="36">
        <v>0.03</v>
      </c>
      <c r="L16" s="36">
        <v>0.04</v>
      </c>
      <c r="M16" s="36">
        <v>0.01</v>
      </c>
      <c r="N16" s="36">
        <v>0.03</v>
      </c>
      <c r="O16" s="36">
        <v>0.04</v>
      </c>
      <c r="P16" s="36">
        <v>0.01</v>
      </c>
      <c r="Q16" s="36">
        <v>0.03</v>
      </c>
      <c r="R16" s="36">
        <v>0.04</v>
      </c>
      <c r="S16" s="36">
        <v>0.01</v>
      </c>
      <c r="T16" s="36">
        <v>0.03</v>
      </c>
    </row>
    <row r="17" spans="4:20" x14ac:dyDescent="0.25">
      <c r="D17" s="21" t="s">
        <v>276</v>
      </c>
      <c r="E17" s="22">
        <v>467.92099999999999</v>
      </c>
      <c r="F17" s="22">
        <v>522.48900000000003</v>
      </c>
      <c r="G17" s="22">
        <v>612.27700000000004</v>
      </c>
      <c r="H17" s="22">
        <v>710.49300000000005</v>
      </c>
      <c r="I17" s="22">
        <v>834.53499999999997</v>
      </c>
      <c r="J17" s="22">
        <v>799.79</v>
      </c>
      <c r="K17" s="22">
        <f>+J17+(J17*K18)</f>
        <v>895.76479999999992</v>
      </c>
      <c r="L17" s="22">
        <f t="shared" ref="L17:T17" si="13">+K17+(K17*L18)</f>
        <v>1003.2565759999999</v>
      </c>
      <c r="M17" s="22">
        <f t="shared" si="13"/>
        <v>1123.6473651199999</v>
      </c>
      <c r="N17" s="22">
        <f t="shared" si="13"/>
        <v>1258.4850489343999</v>
      </c>
      <c r="O17" s="22">
        <f t="shared" si="13"/>
        <v>1409.5032548065278</v>
      </c>
      <c r="P17" s="22">
        <f t="shared" si="13"/>
        <v>1578.6436453833112</v>
      </c>
      <c r="Q17" s="22">
        <f t="shared" si="13"/>
        <v>1768.0808828293086</v>
      </c>
      <c r="R17" s="22">
        <f t="shared" si="13"/>
        <v>1980.2505887688258</v>
      </c>
      <c r="S17" s="22">
        <f t="shared" si="13"/>
        <v>2217.8806594210851</v>
      </c>
      <c r="T17" s="22">
        <f t="shared" si="13"/>
        <v>2484.0263385516155</v>
      </c>
    </row>
    <row r="18" spans="4:20" x14ac:dyDescent="0.25">
      <c r="D18" s="21"/>
      <c r="E18" s="22"/>
      <c r="F18" s="36">
        <f>+F17/E17-1</f>
        <v>0.11661797611135216</v>
      </c>
      <c r="G18" s="36">
        <f t="shared" ref="G18" si="14">+G17/F17-1</f>
        <v>0.17184668002579961</v>
      </c>
      <c r="H18" s="36">
        <f t="shared" ref="H18" si="15">+H17/G17-1</f>
        <v>0.16041105578030868</v>
      </c>
      <c r="I18" s="36">
        <f t="shared" ref="I18" si="16">+I17/H17-1</f>
        <v>0.17458581576454635</v>
      </c>
      <c r="J18" s="36">
        <f t="shared" ref="J18" si="17">+J17/I17-1</f>
        <v>-4.163396382416551E-2</v>
      </c>
      <c r="K18" s="36">
        <v>0.12</v>
      </c>
      <c r="L18" s="36">
        <v>0.12</v>
      </c>
      <c r="M18" s="36">
        <v>0.12</v>
      </c>
      <c r="N18" s="36">
        <v>0.12</v>
      </c>
      <c r="O18" s="36">
        <v>0.12</v>
      </c>
      <c r="P18" s="36">
        <v>0.12</v>
      </c>
      <c r="Q18" s="36">
        <v>0.12</v>
      </c>
      <c r="R18" s="36">
        <v>0.12</v>
      </c>
      <c r="S18" s="36">
        <v>0.12</v>
      </c>
      <c r="T18" s="36">
        <v>0.12</v>
      </c>
    </row>
    <row r="19" spans="4:20" x14ac:dyDescent="0.25">
      <c r="D19" s="21" t="s">
        <v>277</v>
      </c>
      <c r="E19" s="22">
        <v>22589.286</v>
      </c>
      <c r="F19" s="22">
        <v>19490.396000000001</v>
      </c>
      <c r="G19" s="22">
        <v>19619.59</v>
      </c>
      <c r="H19" s="22">
        <v>18420.868999999999</v>
      </c>
      <c r="I19" s="22">
        <v>16388.04</v>
      </c>
      <c r="J19" s="22">
        <v>15066.880999999999</v>
      </c>
      <c r="K19" s="22">
        <f>+J19+(J19*K20)</f>
        <v>13861.53052</v>
      </c>
      <c r="L19" s="22">
        <f t="shared" ref="L19:T19" si="18">+K19+(K19*L20)</f>
        <v>12752.608078400001</v>
      </c>
      <c r="M19" s="22">
        <f t="shared" si="18"/>
        <v>11732.399432128001</v>
      </c>
      <c r="N19" s="22">
        <f t="shared" si="18"/>
        <v>10793.807477557761</v>
      </c>
      <c r="O19" s="22">
        <f t="shared" si="18"/>
        <v>9930.3028793531394</v>
      </c>
      <c r="P19" s="22">
        <f t="shared" si="18"/>
        <v>9135.8786490048878</v>
      </c>
      <c r="Q19" s="22">
        <f t="shared" si="18"/>
        <v>8405.0083570844963</v>
      </c>
      <c r="R19" s="22">
        <f t="shared" si="18"/>
        <v>7732.6076885177363</v>
      </c>
      <c r="S19" s="22">
        <f t="shared" si="18"/>
        <v>7113.9990734363173</v>
      </c>
      <c r="T19" s="22">
        <f t="shared" si="18"/>
        <v>6544.8791475614116</v>
      </c>
    </row>
    <row r="20" spans="4:20" x14ac:dyDescent="0.25">
      <c r="D20" s="21"/>
      <c r="E20" s="22"/>
      <c r="F20" s="36">
        <f>+F19/E19-1</f>
        <v>-0.13718406150597229</v>
      </c>
      <c r="G20" s="36">
        <f t="shared" ref="G20" si="19">+G19/F19-1</f>
        <v>6.6285980028317759E-3</v>
      </c>
      <c r="H20" s="36">
        <f t="shared" ref="H20" si="20">+H19/G19-1</f>
        <v>-6.1098167698713457E-2</v>
      </c>
      <c r="I20" s="36">
        <f t="shared" ref="I20" si="21">+I19/H19-1</f>
        <v>-0.11035467436416802</v>
      </c>
      <c r="J20" s="36">
        <f t="shared" ref="J20" si="22">+J19/I19-1</f>
        <v>-8.0617267226587241E-2</v>
      </c>
      <c r="K20" s="36">
        <v>-0.08</v>
      </c>
      <c r="L20" s="36">
        <v>-0.08</v>
      </c>
      <c r="M20" s="36">
        <v>-0.08</v>
      </c>
      <c r="N20" s="36">
        <v>-0.08</v>
      </c>
      <c r="O20" s="36">
        <v>-0.08</v>
      </c>
      <c r="P20" s="36">
        <v>-0.08</v>
      </c>
      <c r="Q20" s="36">
        <v>-0.08</v>
      </c>
      <c r="R20" s="36">
        <v>-0.08</v>
      </c>
      <c r="S20" s="36">
        <v>-0.08</v>
      </c>
      <c r="T20" s="36">
        <v>-0.08</v>
      </c>
    </row>
    <row r="22" spans="4:20" x14ac:dyDescent="0.25">
      <c r="D22" s="5" t="s">
        <v>280</v>
      </c>
      <c r="E22" s="7">
        <f t="shared" ref="E22:J22" si="23">SUM(E13:E20)</f>
        <v>108899.367</v>
      </c>
      <c r="F22" s="7">
        <f t="shared" si="23"/>
        <v>107351.28509547237</v>
      </c>
      <c r="G22" s="7">
        <f t="shared" si="23"/>
        <v>105217.97053120508</v>
      </c>
      <c r="H22" s="7">
        <f t="shared" si="23"/>
        <v>103303.91007354195</v>
      </c>
      <c r="I22" s="7">
        <f t="shared" si="23"/>
        <v>97237.189552386466</v>
      </c>
      <c r="J22" s="7">
        <f t="shared" si="23"/>
        <v>94912.004934083801</v>
      </c>
      <c r="K22" s="7">
        <f t="shared" ref="K22:T22" si="24">SUM(K13:K20)</f>
        <v>103179.92558</v>
      </c>
      <c r="L22" s="7">
        <f t="shared" si="24"/>
        <v>100484.40377279998</v>
      </c>
      <c r="M22" s="7">
        <f t="shared" si="24"/>
        <v>97888.719918351984</v>
      </c>
      <c r="N22" s="7">
        <f t="shared" si="24"/>
        <v>95449.534320045248</v>
      </c>
      <c r="O22" s="7">
        <f t="shared" si="24"/>
        <v>93149.703188942498</v>
      </c>
      <c r="P22" s="7">
        <f t="shared" si="24"/>
        <v>90930.098938567811</v>
      </c>
      <c r="Q22" s="7">
        <f t="shared" si="24"/>
        <v>99887.71530000295</v>
      </c>
      <c r="R22" s="7">
        <f t="shared" si="24"/>
        <v>97720.255927396429</v>
      </c>
      <c r="S22" s="7">
        <f t="shared" si="24"/>
        <v>95624.439591800809</v>
      </c>
      <c r="T22" s="7">
        <f t="shared" si="24"/>
        <v>93671.955333634338</v>
      </c>
    </row>
    <row r="24" spans="4:20" x14ac:dyDescent="0.25">
      <c r="D24" s="34" t="s">
        <v>282</v>
      </c>
    </row>
    <row r="26" spans="4:20" x14ac:dyDescent="0.25">
      <c r="D26" s="21" t="s">
        <v>274</v>
      </c>
      <c r="E26" s="22">
        <v>-23338.493999999999</v>
      </c>
      <c r="F26" s="22">
        <v>-30543.741000000002</v>
      </c>
      <c r="G26" s="22">
        <v>-36314.949000000001</v>
      </c>
      <c r="H26" s="22">
        <v>-42970.872000000003</v>
      </c>
      <c r="I26" s="22">
        <v>-41475.156000000003</v>
      </c>
      <c r="J26" s="22">
        <v>-46694.813000000002</v>
      </c>
      <c r="K26" s="22">
        <f>+(K13*K27)/100%</f>
        <v>-43590.489600000001</v>
      </c>
      <c r="L26" s="22">
        <f t="shared" ref="L26:T26" si="25">+(L13*L27)/100%</f>
        <v>-42718.679808000001</v>
      </c>
      <c r="M26" s="22">
        <f t="shared" si="25"/>
        <v>-41864.306211839998</v>
      </c>
      <c r="N26" s="22">
        <f t="shared" si="25"/>
        <v>-41027.020087603196</v>
      </c>
      <c r="O26" s="22">
        <f t="shared" si="25"/>
        <v>-40206.479685851133</v>
      </c>
      <c r="P26" s="22">
        <f t="shared" si="25"/>
        <v>-39402.350092134111</v>
      </c>
      <c r="Q26" s="22">
        <f t="shared" si="25"/>
        <v>-44130.632103190204</v>
      </c>
      <c r="R26" s="22">
        <f t="shared" si="25"/>
        <v>-43248.019461126401</v>
      </c>
      <c r="S26" s="22">
        <f t="shared" si="25"/>
        <v>-42383.059071903874</v>
      </c>
      <c r="T26" s="22">
        <f t="shared" si="25"/>
        <v>-41535.3978904658</v>
      </c>
    </row>
    <row r="27" spans="4:20" x14ac:dyDescent="0.25">
      <c r="D27" s="21"/>
      <c r="E27" s="36">
        <f>+E26/E13</f>
        <v>-0.2745627555964506</v>
      </c>
      <c r="F27" s="36">
        <f t="shared" ref="F27:J27" si="26">+F26/F13</f>
        <v>-0.35320271567826084</v>
      </c>
      <c r="G27" s="36">
        <f t="shared" si="26"/>
        <v>-0.43298064785418056</v>
      </c>
      <c r="H27" s="36">
        <f t="shared" si="26"/>
        <v>-0.5175763594224948</v>
      </c>
      <c r="I27" s="36">
        <f t="shared" si="26"/>
        <v>-0.52622002750493213</v>
      </c>
      <c r="J27" s="36">
        <f t="shared" si="26"/>
        <v>-0.59988074279395109</v>
      </c>
      <c r="K27" s="36">
        <v>-0.5</v>
      </c>
      <c r="L27" s="36">
        <v>-0.5</v>
      </c>
      <c r="M27" s="36">
        <v>-0.5</v>
      </c>
      <c r="N27" s="36">
        <v>-0.5</v>
      </c>
      <c r="O27" s="36">
        <v>-0.5</v>
      </c>
      <c r="P27" s="36">
        <v>-0.5</v>
      </c>
      <c r="Q27" s="36">
        <v>-0.5</v>
      </c>
      <c r="R27" s="36">
        <v>-0.5</v>
      </c>
      <c r="S27" s="36">
        <v>-0.5</v>
      </c>
      <c r="T27" s="36">
        <v>-0.5</v>
      </c>
    </row>
    <row r="28" spans="4:20" x14ac:dyDescent="0.25">
      <c r="D28" s="21" t="s">
        <v>275</v>
      </c>
      <c r="E28" s="22">
        <v>-566.99</v>
      </c>
      <c r="F28" s="22">
        <v>-581.98599999999999</v>
      </c>
      <c r="G28" s="22">
        <v>-367.69799999999998</v>
      </c>
      <c r="H28" s="22">
        <v>-442.97500000000002</v>
      </c>
      <c r="I28" s="22">
        <v>-521.24900000000002</v>
      </c>
      <c r="J28" s="22">
        <v>-601.05999999999995</v>
      </c>
      <c r="K28" s="22">
        <f>+(K15*K29)/100%</f>
        <v>-620.73052999999993</v>
      </c>
      <c r="L28" s="22">
        <f t="shared" ref="L28:T28" si="27">+(L15*L29)/100%</f>
        <v>-645.55975119999994</v>
      </c>
      <c r="M28" s="22">
        <f t="shared" si="27"/>
        <v>-652.01534871199999</v>
      </c>
      <c r="N28" s="22">
        <f t="shared" si="27"/>
        <v>-671.57580917335997</v>
      </c>
      <c r="O28" s="22">
        <f t="shared" si="27"/>
        <v>-698.43884154029433</v>
      </c>
      <c r="P28" s="22">
        <f t="shared" si="27"/>
        <v>-705.42322995569725</v>
      </c>
      <c r="Q28" s="22">
        <f t="shared" si="27"/>
        <v>-726.58592685436815</v>
      </c>
      <c r="R28" s="22">
        <f t="shared" si="27"/>
        <v>-755.64936392854293</v>
      </c>
      <c r="S28" s="22">
        <f t="shared" si="27"/>
        <v>-763.20585756782839</v>
      </c>
      <c r="T28" s="22">
        <f t="shared" si="27"/>
        <v>-786.10203329486319</v>
      </c>
    </row>
    <row r="29" spans="4:20" x14ac:dyDescent="0.25">
      <c r="D29" s="21"/>
      <c r="E29" s="36">
        <f>+E28/E15</f>
        <v>-0.67518341615491151</v>
      </c>
      <c r="F29" s="36">
        <f t="shared" ref="F29:J29" si="28">+F28/F15</f>
        <v>-0.67526822832969191</v>
      </c>
      <c r="G29" s="36">
        <f t="shared" si="28"/>
        <v>-0.33016723056698916</v>
      </c>
      <c r="H29" s="36">
        <f t="shared" si="28"/>
        <v>-0.38547185113507421</v>
      </c>
      <c r="I29" s="36">
        <f t="shared" si="28"/>
        <v>-0.43530935626704703</v>
      </c>
      <c r="J29" s="36">
        <f t="shared" si="28"/>
        <v>-0.4986799988716521</v>
      </c>
      <c r="K29" s="36">
        <v>-0.5</v>
      </c>
      <c r="L29" s="36">
        <v>-0.5</v>
      </c>
      <c r="M29" s="36">
        <v>-0.5</v>
      </c>
      <c r="N29" s="36">
        <v>-0.5</v>
      </c>
      <c r="O29" s="36">
        <v>-0.5</v>
      </c>
      <c r="P29" s="36">
        <v>-0.5</v>
      </c>
      <c r="Q29" s="36">
        <v>-0.5</v>
      </c>
      <c r="R29" s="36">
        <v>-0.5</v>
      </c>
      <c r="S29" s="36">
        <v>-0.5</v>
      </c>
      <c r="T29" s="36">
        <v>-0.5</v>
      </c>
    </row>
    <row r="30" spans="4:20" x14ac:dyDescent="0.25">
      <c r="D30" s="21" t="s">
        <v>276</v>
      </c>
      <c r="E30" s="22">
        <v>-281.298</v>
      </c>
      <c r="F30" s="22">
        <v>-323.29599999999999</v>
      </c>
      <c r="G30" s="22">
        <v>-387.19</v>
      </c>
      <c r="H30" s="22">
        <v>-465.53899999999999</v>
      </c>
      <c r="I30" s="22">
        <v>-550.02700000000004</v>
      </c>
      <c r="J30" s="22">
        <v>-514.41200000000003</v>
      </c>
      <c r="K30" s="22">
        <f>+(K17*K31)/100%</f>
        <v>-537.45887999999991</v>
      </c>
      <c r="L30" s="22">
        <f t="shared" ref="L30:T30" si="29">+(L17*L31)/100%</f>
        <v>-601.95394559999988</v>
      </c>
      <c r="M30" s="22">
        <f t="shared" si="29"/>
        <v>-674.18841907199987</v>
      </c>
      <c r="N30" s="22">
        <f t="shared" si="29"/>
        <v>-755.09102936063994</v>
      </c>
      <c r="O30" s="22">
        <f t="shared" si="29"/>
        <v>-845.70195288391665</v>
      </c>
      <c r="P30" s="22">
        <f t="shared" si="29"/>
        <v>-947.18618722998667</v>
      </c>
      <c r="Q30" s="22">
        <f t="shared" si="29"/>
        <v>-1060.848529697585</v>
      </c>
      <c r="R30" s="22">
        <f t="shared" si="29"/>
        <v>-1188.1503532612953</v>
      </c>
      <c r="S30" s="22">
        <f t="shared" si="29"/>
        <v>-1330.728395652651</v>
      </c>
      <c r="T30" s="22">
        <f t="shared" si="29"/>
        <v>-1490.4158031309692</v>
      </c>
    </row>
    <row r="31" spans="4:20" x14ac:dyDescent="0.25">
      <c r="D31" s="21"/>
      <c r="E31" s="36">
        <f>+E30/E17</f>
        <v>-0.60116558136950471</v>
      </c>
      <c r="F31" s="36">
        <f t="shared" ref="F31:J31" si="30">+F30/F17</f>
        <v>-0.6187613519136288</v>
      </c>
      <c r="G31" s="36">
        <f t="shared" si="30"/>
        <v>-0.63237717569008789</v>
      </c>
      <c r="H31" s="36">
        <f t="shared" si="30"/>
        <v>-0.65523376022001623</v>
      </c>
      <c r="I31" s="36">
        <f t="shared" si="30"/>
        <v>-0.65908200375059167</v>
      </c>
      <c r="J31" s="36">
        <f t="shared" si="30"/>
        <v>-0.6431838357568862</v>
      </c>
      <c r="K31" s="36">
        <v>-0.6</v>
      </c>
      <c r="L31" s="36">
        <v>-0.6</v>
      </c>
      <c r="M31" s="36">
        <v>-0.6</v>
      </c>
      <c r="N31" s="36">
        <v>-0.6</v>
      </c>
      <c r="O31" s="36">
        <v>-0.6</v>
      </c>
      <c r="P31" s="36">
        <v>-0.6</v>
      </c>
      <c r="Q31" s="36">
        <v>-0.6</v>
      </c>
      <c r="R31" s="36">
        <v>-0.6</v>
      </c>
      <c r="S31" s="36">
        <v>-0.6</v>
      </c>
      <c r="T31" s="36">
        <v>-0.6</v>
      </c>
    </row>
    <row r="32" spans="4:20" x14ac:dyDescent="0.25">
      <c r="D32" s="21" t="s">
        <v>277</v>
      </c>
      <c r="E32" s="22">
        <v>-10832.146000000001</v>
      </c>
      <c r="F32" s="22">
        <v>-11738.145</v>
      </c>
      <c r="G32" s="22">
        <v>-15104.97</v>
      </c>
      <c r="H32" s="22">
        <v>-16211.266</v>
      </c>
      <c r="I32" s="22">
        <v>-14730.004000000001</v>
      </c>
      <c r="J32" s="22">
        <v>-13603.736000000001</v>
      </c>
      <c r="K32" s="22">
        <f>+(K19*K33)/100%</f>
        <v>-10534.763195200001</v>
      </c>
      <c r="L32" s="22">
        <f t="shared" ref="L32:T32" si="31">+(L19*L33)/100%</f>
        <v>-9691.9821395840008</v>
      </c>
      <c r="M32" s="22">
        <f t="shared" si="31"/>
        <v>-8916.6235684172807</v>
      </c>
      <c r="N32" s="22">
        <f t="shared" si="31"/>
        <v>-8203.2936829438986</v>
      </c>
      <c r="O32" s="22">
        <f t="shared" si="31"/>
        <v>-7547.0301883083857</v>
      </c>
      <c r="P32" s="22">
        <f t="shared" si="31"/>
        <v>-6943.2677732437151</v>
      </c>
      <c r="Q32" s="22">
        <f t="shared" si="31"/>
        <v>-6387.8063513842171</v>
      </c>
      <c r="R32" s="22">
        <f t="shared" si="31"/>
        <v>-5876.7818432734794</v>
      </c>
      <c r="S32" s="22">
        <f t="shared" si="31"/>
        <v>-5406.6392958116012</v>
      </c>
      <c r="T32" s="22">
        <f t="shared" si="31"/>
        <v>-4974.1081521466731</v>
      </c>
    </row>
    <row r="33" spans="4:20" x14ac:dyDescent="0.25">
      <c r="D33" s="21"/>
      <c r="E33" s="36">
        <f>+E32/E19</f>
        <v>-0.47952582476489081</v>
      </c>
      <c r="F33" s="36">
        <f t="shared" ref="F33:J33" si="32">+F32/F19</f>
        <v>-0.60225277105708885</v>
      </c>
      <c r="G33" s="36">
        <f t="shared" si="32"/>
        <v>-0.76989223526077755</v>
      </c>
      <c r="H33" s="36">
        <f t="shared" si="32"/>
        <v>-0.88004892711630489</v>
      </c>
      <c r="I33" s="36">
        <f t="shared" si="32"/>
        <v>-0.89882646124856913</v>
      </c>
      <c r="J33" s="36">
        <f t="shared" si="32"/>
        <v>-0.90288998764906958</v>
      </c>
      <c r="K33" s="36">
        <v>-0.76</v>
      </c>
      <c r="L33" s="36">
        <v>-0.76</v>
      </c>
      <c r="M33" s="36">
        <v>-0.76</v>
      </c>
      <c r="N33" s="36">
        <v>-0.76</v>
      </c>
      <c r="O33" s="36">
        <v>-0.76</v>
      </c>
      <c r="P33" s="36">
        <v>-0.76</v>
      </c>
      <c r="Q33" s="36">
        <v>-0.76</v>
      </c>
      <c r="R33" s="36">
        <v>-0.76</v>
      </c>
      <c r="S33" s="36">
        <v>-0.76</v>
      </c>
      <c r="T33" s="36">
        <v>-0.76</v>
      </c>
    </row>
    <row r="34" spans="4:20" x14ac:dyDescent="0.25">
      <c r="D34" s="9"/>
      <c r="E34" s="10"/>
      <c r="F34" s="10"/>
      <c r="G34" s="10"/>
      <c r="H34" s="10"/>
      <c r="I34" s="10"/>
      <c r="J34" s="10"/>
    </row>
    <row r="36" spans="4:20" x14ac:dyDescent="0.25">
      <c r="D36" s="5" t="s">
        <v>283</v>
      </c>
      <c r="E36" s="7">
        <f t="shared" ref="E36:J36" si="33">SUM(E26:E33)</f>
        <v>-35020.95843757788</v>
      </c>
      <c r="F36" s="7">
        <f t="shared" si="33"/>
        <v>-43189.417485066981</v>
      </c>
      <c r="G36" s="7">
        <f t="shared" si="33"/>
        <v>-52176.972417289369</v>
      </c>
      <c r="H36" s="7">
        <f t="shared" si="33"/>
        <v>-60093.090330897896</v>
      </c>
      <c r="I36" s="7">
        <f t="shared" si="33"/>
        <v>-57278.955437848781</v>
      </c>
      <c r="J36" s="7">
        <f t="shared" si="33"/>
        <v>-61416.665634565077</v>
      </c>
      <c r="K36" s="7">
        <f t="shared" ref="K36:T36" si="34">SUM(K26:K33)</f>
        <v>-55285.802205200001</v>
      </c>
      <c r="L36" s="7">
        <f t="shared" si="34"/>
        <v>-53660.535644384006</v>
      </c>
      <c r="M36" s="7">
        <f t="shared" si="34"/>
        <v>-52109.493548041275</v>
      </c>
      <c r="N36" s="7">
        <f t="shared" si="34"/>
        <v>-50659.340609081097</v>
      </c>
      <c r="O36" s="7">
        <f t="shared" si="34"/>
        <v>-49300.010668583731</v>
      </c>
      <c r="P36" s="7">
        <f t="shared" si="34"/>
        <v>-48000.587282563509</v>
      </c>
      <c r="Q36" s="7">
        <f t="shared" si="34"/>
        <v>-52308.232911126375</v>
      </c>
      <c r="R36" s="7">
        <f t="shared" si="34"/>
        <v>-51070.961021589719</v>
      </c>
      <c r="S36" s="7">
        <f t="shared" si="34"/>
        <v>-49885.992620935962</v>
      </c>
      <c r="T36" s="7">
        <f t="shared" si="34"/>
        <v>-48788.383879038309</v>
      </c>
    </row>
    <row r="39" spans="4:20" x14ac:dyDescent="0.25">
      <c r="D39" s="5" t="s">
        <v>290</v>
      </c>
      <c r="E39" s="7">
        <f t="shared" ref="E39:J39" si="35">+E22+E36</f>
        <v>73878.408562422119</v>
      </c>
      <c r="F39" s="7">
        <f t="shared" si="35"/>
        <v>64161.867610405388</v>
      </c>
      <c r="G39" s="7">
        <f t="shared" si="35"/>
        <v>53040.99811391571</v>
      </c>
      <c r="H39" s="7">
        <f t="shared" si="35"/>
        <v>43210.819742644053</v>
      </c>
      <c r="I39" s="7">
        <f t="shared" si="35"/>
        <v>39958.234114537685</v>
      </c>
      <c r="J39" s="7">
        <f t="shared" si="35"/>
        <v>33495.339299518724</v>
      </c>
      <c r="K39" s="7">
        <f t="shared" ref="K39:T39" si="36">+K22+K36</f>
        <v>47894.123374799994</v>
      </c>
      <c r="L39" s="7">
        <f t="shared" si="36"/>
        <v>46823.868128415976</v>
      </c>
      <c r="M39" s="7">
        <f t="shared" si="36"/>
        <v>45779.226370310709</v>
      </c>
      <c r="N39" s="7">
        <f t="shared" si="36"/>
        <v>44790.193710964151</v>
      </c>
      <c r="O39" s="7">
        <f t="shared" si="36"/>
        <v>43849.692520358767</v>
      </c>
      <c r="P39" s="7">
        <f t="shared" si="36"/>
        <v>42929.511656004302</v>
      </c>
      <c r="Q39" s="7">
        <f t="shared" si="36"/>
        <v>47579.482388876575</v>
      </c>
      <c r="R39" s="7">
        <f t="shared" si="36"/>
        <v>46649.29490580671</v>
      </c>
      <c r="S39" s="7">
        <f t="shared" si="36"/>
        <v>45738.446970864847</v>
      </c>
      <c r="T39" s="7">
        <f t="shared" si="36"/>
        <v>44883.571454596029</v>
      </c>
    </row>
    <row r="40" spans="4:20" x14ac:dyDescent="0.25">
      <c r="J40" s="139"/>
    </row>
    <row r="41" spans="4:20" s="82" customFormat="1" x14ac:dyDescent="0.25">
      <c r="D41" s="82" t="s">
        <v>211</v>
      </c>
      <c r="E41" s="83">
        <f>+E39-'BG2008-2013'!E32</f>
        <v>-3970.0204375778849</v>
      </c>
      <c r="F41" s="83">
        <f>+F39-'BG2008-2013'!F32</f>
        <v>-13371.199389594607</v>
      </c>
      <c r="G41" s="83">
        <f>+G39-'BG2008-2013'!G32</f>
        <v>-35653.165886084294</v>
      </c>
      <c r="H41" s="83">
        <f>+H39-'BG2008-2013'!H32</f>
        <v>-14260.976257355949</v>
      </c>
      <c r="I41" s="83">
        <f>+I39-'BG2008-2013'!I32</f>
        <v>-3072.3168854623145</v>
      </c>
      <c r="J41" s="83">
        <f>+J39-'BG2008-2013'!J32</f>
        <v>-3149.9757004812782</v>
      </c>
    </row>
  </sheetData>
  <mergeCells count="1">
    <mergeCell ref="D7:T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RAZONES FINANCIERAS</vt:lpstr>
      <vt:lpstr>BG2008-2013</vt:lpstr>
      <vt:lpstr>ER2008-2013</vt:lpstr>
      <vt:lpstr>ECAMBIO SF 2008-2013 </vt:lpstr>
      <vt:lpstr>ECAMBIO SF 2008-2012 ajust</vt:lpstr>
      <vt:lpstr>AV&amp;H BG</vt:lpstr>
      <vt:lpstr>AV&amp;H ER</vt:lpstr>
      <vt:lpstr>AF&amp;DEP</vt:lpstr>
      <vt:lpstr>AF&amp;DEP PROYECTADO</vt:lpstr>
      <vt:lpstr>FCLHISTORICO</vt:lpstr>
      <vt:lpstr>FCLPROYECTADO</vt:lpstr>
      <vt:lpstr>BGPR2008-2023</vt:lpstr>
      <vt:lpstr>ERPR2008-2023</vt:lpstr>
      <vt:lpstr>SUPUESTOS DE VALORACIÓN</vt:lpstr>
      <vt:lpstr>SUPUESTOS DE PROYECCIÓN</vt:lpstr>
      <vt:lpstr>BACKLOG</vt:lpstr>
      <vt:lpstr>WACC</vt:lpstr>
      <vt:lpstr>VRACIONPAT</vt:lpstr>
      <vt:lpstr>PRACCION</vt:lpstr>
      <vt:lpstr>ANALISIS DE SENSIBILIDAD</vt:lpstr>
      <vt:lpstr>MúltiplosComparables</vt:lpstr>
      <vt:lpstr>EBITDA - ROIC</vt:lpstr>
      <vt:lpstr>PROCESOS LICITATORIOS</vt:lpstr>
      <vt:lpstr>NOTICIAS</vt:lpstr>
      <vt:lpstr>Beta</vt:lpstr>
      <vt:lpstr>graficos</vt:lpstr>
      <vt:lpstr>GraficaPIB</vt:lpstr>
      <vt:lpstr>Sheet1</vt:lpstr>
      <vt:lpstr>TAbla Valoracion</vt:lpstr>
      <vt:lpstr>todas</vt:lpstr>
      <vt:lpstr>POR INGRESOSOPERACIONALES</vt:lpstr>
      <vt:lpstr>POR PATRIMONIO</vt:lpstr>
      <vt:lpstr>POR ACTIVOS</vt:lpstr>
      <vt:lpstr>Sheet1!Títulos_a_imprimir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María Quintero M</dc:creator>
  <cp:lastModifiedBy>Jenny del Pilar Barriga Vargas</cp:lastModifiedBy>
  <dcterms:created xsi:type="dcterms:W3CDTF">2014-01-31T02:27:44Z</dcterms:created>
  <dcterms:modified xsi:type="dcterms:W3CDTF">2014-07-30T21:01:14Z</dcterms:modified>
</cp:coreProperties>
</file>