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tnns-my.sharepoint.com/personal/vshernandez_tennis_com_co/Documents/Escritorio/TESIS/"/>
    </mc:Choice>
  </mc:AlternateContent>
  <xr:revisionPtr revIDLastSave="3" documentId="8_{68030969-9210-480B-B480-E7120CBEAB54}" xr6:coauthVersionLast="47" xr6:coauthVersionMax="47" xr10:uidLastSave="{FD1BAD36-7D47-4CA2-9E18-8B92398A4D67}"/>
  <bookViews>
    <workbookView xWindow="20370" yWindow="-120" windowWidth="20730" windowHeight="11160" firstSheet="2" activeTab="8" xr2:uid="{00000000-000D-0000-FFFF-FFFF00000000}"/>
  </bookViews>
  <sheets>
    <sheet name="Datos " sheetId="6" state="hidden" r:id="rId1"/>
    <sheet name="B. General Análisis (2)" sheetId="12" state="hidden" r:id="rId2"/>
    <sheet name="Supuestos" sheetId="29" r:id="rId3"/>
    <sheet name="Consolidado" sheetId="28" r:id="rId4"/>
    <sheet name="Estado de Flujo de Efectivo (2)" sheetId="13" state="hidden" r:id="rId5"/>
    <sheet name="Estado de Flujo de Efectivo (3)" sheetId="14" state="hidden" r:id="rId6"/>
    <sheet name="EFE - Final" sheetId="15" state="hidden" r:id="rId7"/>
    <sheet name="EFE (2)" sheetId="16" state="hidden" r:id="rId8"/>
    <sheet name="Valoración" sheetId="24" r:id="rId9"/>
    <sheet name="EVA  - Oscar León (2)" sheetId="26" state="hidden" r:id="rId10"/>
    <sheet name="Hoja5" sheetId="20" state="hidden" r:id="rId11"/>
  </sheets>
  <externalReferences>
    <externalReference r:id="rId1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4" i="24" l="1"/>
  <c r="M64" i="24"/>
  <c r="N64" i="24"/>
  <c r="L66" i="24"/>
  <c r="M66" i="24"/>
  <c r="N66" i="24"/>
  <c r="F48" i="24"/>
  <c r="L49" i="24" s="1"/>
  <c r="G48" i="24"/>
  <c r="M49" i="24" s="1"/>
  <c r="H48" i="24"/>
  <c r="N49" i="24" s="1"/>
  <c r="F49" i="24"/>
  <c r="L50" i="24" s="1"/>
  <c r="G49" i="24"/>
  <c r="M50" i="24" s="1"/>
  <c r="H49" i="24"/>
  <c r="N50" i="24" s="1"/>
  <c r="C52" i="24"/>
  <c r="C53" i="24"/>
  <c r="C56" i="24"/>
  <c r="C57" i="24"/>
  <c r="C58" i="24"/>
  <c r="C61" i="24"/>
  <c r="D195" i="28"/>
  <c r="E195" i="28"/>
  <c r="F195" i="28"/>
  <c r="G195" i="28"/>
  <c r="C195" i="28"/>
  <c r="E30" i="29"/>
  <c r="D30" i="29"/>
  <c r="D194" i="28"/>
  <c r="E194" i="28"/>
  <c r="F194" i="28"/>
  <c r="G194" i="28"/>
  <c r="C194" i="28"/>
  <c r="D18" i="29"/>
  <c r="E18" i="29"/>
  <c r="C18" i="29"/>
  <c r="C162" i="28"/>
  <c r="D162" i="28"/>
  <c r="C165" i="28"/>
  <c r="D165" i="28"/>
  <c r="C166" i="28"/>
  <c r="D166" i="28"/>
  <c r="D168" i="28" s="1"/>
  <c r="C167" i="28"/>
  <c r="D167" i="28"/>
  <c r="C168" i="28"/>
  <c r="C172" i="28"/>
  <c r="D172" i="28"/>
  <c r="C173" i="28"/>
  <c r="D173" i="28"/>
  <c r="C174" i="28"/>
  <c r="D174" i="28"/>
  <c r="D178" i="28"/>
  <c r="D183" i="28"/>
  <c r="C187" i="28"/>
  <c r="D187" i="28"/>
  <c r="C191" i="28"/>
  <c r="D191" i="28"/>
  <c r="C193" i="28"/>
  <c r="D193" i="28"/>
  <c r="B100" i="28"/>
  <c r="B101" i="28"/>
  <c r="B118" i="28" s="1"/>
  <c r="B153" i="28" s="1"/>
  <c r="B102" i="28"/>
  <c r="B148" i="28" s="1"/>
  <c r="B103" i="28"/>
  <c r="B147" i="28" s="1"/>
  <c r="B104" i="28"/>
  <c r="B105" i="28"/>
  <c r="B106" i="28"/>
  <c r="B107" i="28"/>
  <c r="B108" i="28"/>
  <c r="B109" i="28"/>
  <c r="B150" i="28" s="1"/>
  <c r="B110" i="28"/>
  <c r="B111" i="28"/>
  <c r="B112" i="28"/>
  <c r="B113" i="28"/>
  <c r="B119" i="28"/>
  <c r="B124" i="28"/>
  <c r="B125" i="28"/>
  <c r="B126" i="28"/>
  <c r="C126" i="28"/>
  <c r="D126" i="28"/>
  <c r="E126" i="28"/>
  <c r="B127" i="28"/>
  <c r="C127" i="28"/>
  <c r="D127" i="28"/>
  <c r="E127" i="28"/>
  <c r="B128" i="28"/>
  <c r="C128" i="28"/>
  <c r="D128" i="28"/>
  <c r="E128" i="28"/>
  <c r="B129" i="28"/>
  <c r="C129" i="28"/>
  <c r="D129" i="28"/>
  <c r="E129" i="28"/>
  <c r="B133" i="28"/>
  <c r="B134" i="28"/>
  <c r="C133" i="28" s="1"/>
  <c r="O32" i="28"/>
  <c r="P32" i="28"/>
  <c r="O33" i="28"/>
  <c r="P33" i="28"/>
  <c r="O34" i="28"/>
  <c r="P34" i="28"/>
  <c r="O35" i="28"/>
  <c r="P35" i="28"/>
  <c r="O36" i="28"/>
  <c r="P36" i="28"/>
  <c r="Q36" i="28"/>
  <c r="R36" i="28"/>
  <c r="S36" i="28"/>
  <c r="T36" i="28"/>
  <c r="U36" i="28"/>
  <c r="V36" i="28"/>
  <c r="O37" i="28"/>
  <c r="P37" i="28"/>
  <c r="O38" i="28"/>
  <c r="P38" i="28"/>
  <c r="Q38" i="28"/>
  <c r="R38" i="28"/>
  <c r="S38" i="28"/>
  <c r="T38" i="28"/>
  <c r="U38" i="28"/>
  <c r="V38" i="28"/>
  <c r="O39" i="28"/>
  <c r="P39" i="28"/>
  <c r="Q39" i="28"/>
  <c r="R39" i="28"/>
  <c r="S39" i="28"/>
  <c r="T39" i="28"/>
  <c r="U39" i="28"/>
  <c r="V39" i="28"/>
  <c r="O41" i="28"/>
  <c r="P41" i="28"/>
  <c r="Q41" i="28"/>
  <c r="R41" i="28"/>
  <c r="S41" i="28"/>
  <c r="T41" i="28"/>
  <c r="U41" i="28"/>
  <c r="V41" i="28"/>
  <c r="O43" i="28"/>
  <c r="P43" i="28"/>
  <c r="Q43" i="28"/>
  <c r="R43" i="28"/>
  <c r="S43" i="28"/>
  <c r="T43" i="28"/>
  <c r="U43" i="28"/>
  <c r="V43" i="28"/>
  <c r="O44" i="28"/>
  <c r="P44" i="28"/>
  <c r="Q44" i="28"/>
  <c r="R44" i="28"/>
  <c r="S44" i="28"/>
  <c r="T44" i="28"/>
  <c r="U44" i="28"/>
  <c r="V44" i="28"/>
  <c r="O45" i="28"/>
  <c r="P45" i="28"/>
  <c r="O46" i="28"/>
  <c r="P46" i="28"/>
  <c r="Q46" i="28"/>
  <c r="R46" i="28"/>
  <c r="S46" i="28"/>
  <c r="T46" i="28"/>
  <c r="U46" i="28"/>
  <c r="V46" i="28"/>
  <c r="O47" i="28"/>
  <c r="P47" i="28"/>
  <c r="O48" i="28"/>
  <c r="P48" i="28"/>
  <c r="Q48" i="28"/>
  <c r="R48" i="28"/>
  <c r="S48" i="28"/>
  <c r="T48" i="28"/>
  <c r="U48" i="28"/>
  <c r="V48" i="28"/>
  <c r="O49" i="28"/>
  <c r="P49" i="28"/>
  <c r="Q49" i="28"/>
  <c r="R49" i="28"/>
  <c r="S49" i="28"/>
  <c r="T49" i="28"/>
  <c r="U49" i="28"/>
  <c r="V49" i="28"/>
  <c r="O50" i="28"/>
  <c r="P50" i="28"/>
  <c r="Q50" i="28"/>
  <c r="R50" i="28"/>
  <c r="S50" i="28"/>
  <c r="T50" i="28"/>
  <c r="U50" i="28"/>
  <c r="V50" i="28"/>
  <c r="O51" i="28"/>
  <c r="P51" i="28"/>
  <c r="O52" i="28"/>
  <c r="P52" i="28"/>
  <c r="Q52" i="28"/>
  <c r="R52" i="28"/>
  <c r="S52" i="28"/>
  <c r="T52" i="28"/>
  <c r="U52" i="28"/>
  <c r="V52" i="28"/>
  <c r="O53" i="28"/>
  <c r="P53" i="28"/>
  <c r="Q53" i="28"/>
  <c r="R53" i="28"/>
  <c r="S53" i="28"/>
  <c r="T53" i="28"/>
  <c r="U53" i="28"/>
  <c r="V53" i="28"/>
  <c r="O54" i="28"/>
  <c r="P54" i="28"/>
  <c r="O55" i="28"/>
  <c r="P55" i="28"/>
  <c r="Q55" i="28"/>
  <c r="R55" i="28"/>
  <c r="S55" i="28"/>
  <c r="T55" i="28"/>
  <c r="U55" i="28"/>
  <c r="V55" i="28"/>
  <c r="O58" i="28"/>
  <c r="P58" i="28"/>
  <c r="Q58" i="28"/>
  <c r="R58" i="28"/>
  <c r="S58" i="28"/>
  <c r="T58" i="28"/>
  <c r="U58" i="28"/>
  <c r="V58" i="28"/>
  <c r="O59" i="28"/>
  <c r="P59" i="28"/>
  <c r="Q59" i="28"/>
  <c r="R59" i="28"/>
  <c r="S59" i="28"/>
  <c r="T59" i="28"/>
  <c r="U59" i="28"/>
  <c r="V59" i="28"/>
  <c r="O60" i="28"/>
  <c r="P60" i="28"/>
  <c r="Q60" i="28"/>
  <c r="R60" i="28"/>
  <c r="S60" i="28"/>
  <c r="T60" i="28"/>
  <c r="U60" i="28"/>
  <c r="V60" i="28"/>
  <c r="O61" i="28"/>
  <c r="P61" i="28"/>
  <c r="O62" i="28"/>
  <c r="P62" i="28"/>
  <c r="Q62" i="28"/>
  <c r="R62" i="28"/>
  <c r="S62" i="28"/>
  <c r="T62" i="28"/>
  <c r="U62" i="28"/>
  <c r="V62" i="28"/>
  <c r="O63" i="28"/>
  <c r="P63" i="28"/>
  <c r="O64" i="28"/>
  <c r="P64" i="28"/>
  <c r="S65" i="28"/>
  <c r="T65" i="28"/>
  <c r="O66" i="28"/>
  <c r="P66" i="28"/>
  <c r="O67" i="28"/>
  <c r="P67" i="28"/>
  <c r="O69" i="28"/>
  <c r="P69" i="28"/>
  <c r="Q69" i="28"/>
  <c r="R69" i="28"/>
  <c r="S69" i="28"/>
  <c r="T69" i="28"/>
  <c r="U69" i="28"/>
  <c r="V69" i="28"/>
  <c r="O70" i="28"/>
  <c r="P70" i="28"/>
  <c r="O71" i="28"/>
  <c r="P71" i="28"/>
  <c r="Q71" i="28"/>
  <c r="R71" i="28"/>
  <c r="S71" i="28"/>
  <c r="T71" i="28"/>
  <c r="U71" i="28"/>
  <c r="V71" i="28"/>
  <c r="O72" i="28"/>
  <c r="P72" i="28"/>
  <c r="Q72" i="28"/>
  <c r="R72" i="28"/>
  <c r="S72" i="28"/>
  <c r="T72" i="28"/>
  <c r="U72" i="28"/>
  <c r="V72" i="28"/>
  <c r="O73" i="28"/>
  <c r="P73" i="28"/>
  <c r="Q73" i="28"/>
  <c r="R73" i="28"/>
  <c r="S73" i="28"/>
  <c r="T73" i="28"/>
  <c r="U73" i="28"/>
  <c r="V73" i="28"/>
  <c r="O74" i="28"/>
  <c r="P74" i="28"/>
  <c r="Q74" i="28"/>
  <c r="R74" i="28"/>
  <c r="S74" i="28"/>
  <c r="T74" i="28"/>
  <c r="U74" i="28"/>
  <c r="V74" i="28"/>
  <c r="O75" i="28"/>
  <c r="P75" i="28"/>
  <c r="Q75" i="28"/>
  <c r="R75" i="28"/>
  <c r="S75" i="28"/>
  <c r="T75" i="28"/>
  <c r="U75" i="28"/>
  <c r="V75" i="28"/>
  <c r="O76" i="28"/>
  <c r="P76" i="28"/>
  <c r="Q76" i="28"/>
  <c r="R76" i="28"/>
  <c r="S76" i="28"/>
  <c r="T76" i="28"/>
  <c r="U76" i="28"/>
  <c r="V76" i="28"/>
  <c r="O77" i="28"/>
  <c r="P77" i="28"/>
  <c r="O78" i="28"/>
  <c r="P78" i="28"/>
  <c r="Q78" i="28"/>
  <c r="R78" i="28"/>
  <c r="S78" i="28"/>
  <c r="T78" i="28"/>
  <c r="U78" i="28"/>
  <c r="V78" i="28"/>
  <c r="O79" i="28"/>
  <c r="P79" i="28"/>
  <c r="O80" i="28"/>
  <c r="P80" i="28"/>
  <c r="O83" i="28"/>
  <c r="P83" i="28"/>
  <c r="Q83" i="28"/>
  <c r="R83" i="28"/>
  <c r="S83" i="28"/>
  <c r="T83" i="28"/>
  <c r="U83" i="28"/>
  <c r="V83" i="28"/>
  <c r="O84" i="28"/>
  <c r="P84" i="28"/>
  <c r="Q84" i="28"/>
  <c r="R84" i="28"/>
  <c r="S84" i="28"/>
  <c r="T84" i="28"/>
  <c r="U84" i="28"/>
  <c r="V84" i="28"/>
  <c r="O85" i="28"/>
  <c r="P85" i="28"/>
  <c r="Q85" i="28"/>
  <c r="R85" i="28"/>
  <c r="S85" i="28"/>
  <c r="T85" i="28"/>
  <c r="U85" i="28"/>
  <c r="V85" i="28"/>
  <c r="O86" i="28"/>
  <c r="P86" i="28"/>
  <c r="Q86" i="28"/>
  <c r="R86" i="28"/>
  <c r="S86" i="28"/>
  <c r="T86" i="28"/>
  <c r="U86" i="28"/>
  <c r="V86" i="28"/>
  <c r="O87" i="28"/>
  <c r="P87" i="28"/>
  <c r="Q87" i="28"/>
  <c r="R87" i="28"/>
  <c r="S87" i="28"/>
  <c r="T87" i="28"/>
  <c r="U87" i="28"/>
  <c r="V87" i="28"/>
  <c r="O88" i="28"/>
  <c r="P88" i="28"/>
  <c r="Q88" i="28"/>
  <c r="R88" i="28"/>
  <c r="S88" i="28"/>
  <c r="T88" i="28"/>
  <c r="U88" i="28"/>
  <c r="V88" i="28"/>
  <c r="O89" i="28"/>
  <c r="P89" i="28"/>
  <c r="Q89" i="28"/>
  <c r="R89" i="28"/>
  <c r="S89" i="28"/>
  <c r="T89" i="28"/>
  <c r="U89" i="28"/>
  <c r="V89" i="28"/>
  <c r="O90" i="28"/>
  <c r="P90" i="28"/>
  <c r="Q90" i="28"/>
  <c r="R90" i="28"/>
  <c r="S90" i="28"/>
  <c r="T90" i="28"/>
  <c r="U90" i="28"/>
  <c r="V90" i="28"/>
  <c r="O91" i="28"/>
  <c r="P91" i="28"/>
  <c r="L57" i="29"/>
  <c r="K57" i="29"/>
  <c r="L52" i="29"/>
  <c r="K52" i="29"/>
  <c r="J52" i="29"/>
  <c r="L49" i="29"/>
  <c r="K49" i="29"/>
  <c r="J49" i="29"/>
  <c r="L46" i="29"/>
  <c r="K46" i="29"/>
  <c r="J46" i="29"/>
  <c r="L43" i="29"/>
  <c r="K43" i="29"/>
  <c r="J43" i="29"/>
  <c r="L40" i="29"/>
  <c r="K40" i="29"/>
  <c r="J40" i="29"/>
  <c r="L37" i="29"/>
  <c r="K37" i="29"/>
  <c r="J37" i="29"/>
  <c r="L32" i="29"/>
  <c r="K32" i="29"/>
  <c r="L29" i="29"/>
  <c r="K29" i="29"/>
  <c r="L26" i="29"/>
  <c r="K26" i="29"/>
  <c r="L23" i="29"/>
  <c r="K23" i="29"/>
  <c r="L20" i="29"/>
  <c r="K20" i="29"/>
  <c r="L17" i="29"/>
  <c r="K17" i="29"/>
  <c r="L14" i="29"/>
  <c r="K14" i="29"/>
  <c r="L11" i="29"/>
  <c r="K11" i="29"/>
  <c r="L7" i="29"/>
  <c r="K7" i="29"/>
  <c r="J7" i="29"/>
  <c r="M6" i="29"/>
  <c r="L6" i="29"/>
  <c r="K6" i="29"/>
  <c r="B40" i="28"/>
  <c r="B42" i="28" s="1"/>
  <c r="C40" i="28"/>
  <c r="D40" i="28"/>
  <c r="B56" i="28"/>
  <c r="C56" i="28"/>
  <c r="D56" i="28"/>
  <c r="E66" i="28"/>
  <c r="C124" i="28" s="1"/>
  <c r="B68" i="28"/>
  <c r="C68" i="28"/>
  <c r="D68" i="28"/>
  <c r="E79" i="28"/>
  <c r="Q79" i="28" s="1"/>
  <c r="B81" i="28"/>
  <c r="B82" i="28" s="1"/>
  <c r="C81" i="28"/>
  <c r="D81" i="28"/>
  <c r="B92" i="28"/>
  <c r="C92" i="28"/>
  <c r="C178" i="28" s="1"/>
  <c r="D92" i="28"/>
  <c r="D26" i="29"/>
  <c r="C26" i="29"/>
  <c r="D25" i="29"/>
  <c r="C25" i="29"/>
  <c r="D20" i="29"/>
  <c r="C20" i="29"/>
  <c r="D15" i="29"/>
  <c r="C15" i="29"/>
  <c r="D14" i="29"/>
  <c r="C14" i="29"/>
  <c r="D13" i="29"/>
  <c r="C13" i="29"/>
  <c r="D12" i="29"/>
  <c r="C12" i="29"/>
  <c r="D10" i="29"/>
  <c r="C10" i="29"/>
  <c r="E8" i="29"/>
  <c r="D8" i="29"/>
  <c r="C8" i="29"/>
  <c r="E7" i="29"/>
  <c r="D7" i="29"/>
  <c r="C7" i="29"/>
  <c r="O5" i="28"/>
  <c r="P27" i="28"/>
  <c r="O27" i="28"/>
  <c r="J27" i="28"/>
  <c r="I27" i="28"/>
  <c r="V26" i="28"/>
  <c r="U26" i="28"/>
  <c r="T26" i="28"/>
  <c r="S26" i="28"/>
  <c r="R26" i="28"/>
  <c r="Q26" i="28"/>
  <c r="P26" i="28"/>
  <c r="O26" i="28"/>
  <c r="K26" i="28"/>
  <c r="J26" i="28"/>
  <c r="I26" i="28"/>
  <c r="D25" i="28"/>
  <c r="J25" i="28" s="1"/>
  <c r="C25" i="28"/>
  <c r="I25" i="28" s="1"/>
  <c r="P24" i="28"/>
  <c r="O24" i="28"/>
  <c r="J24" i="28"/>
  <c r="I24" i="28"/>
  <c r="P23" i="28"/>
  <c r="O23" i="28"/>
  <c r="J23" i="28"/>
  <c r="I23" i="28"/>
  <c r="V22" i="28"/>
  <c r="U22" i="28"/>
  <c r="T22" i="28"/>
  <c r="S22" i="28"/>
  <c r="R22" i="28"/>
  <c r="Q22" i="28"/>
  <c r="P22" i="28"/>
  <c r="O22" i="28"/>
  <c r="K22" i="28"/>
  <c r="J22" i="28"/>
  <c r="I22" i="28"/>
  <c r="V21" i="28"/>
  <c r="U21" i="28"/>
  <c r="T21" i="28"/>
  <c r="S21" i="28"/>
  <c r="R21" i="28"/>
  <c r="Q21" i="28"/>
  <c r="P21" i="28"/>
  <c r="O21" i="28"/>
  <c r="K21" i="28"/>
  <c r="J21" i="28"/>
  <c r="I21" i="28"/>
  <c r="V20" i="28"/>
  <c r="U20" i="28"/>
  <c r="T20" i="28"/>
  <c r="S20" i="28"/>
  <c r="R20" i="28"/>
  <c r="Q20" i="28"/>
  <c r="P20" i="28"/>
  <c r="O20" i="28"/>
  <c r="K20" i="28"/>
  <c r="J20" i="28"/>
  <c r="I20" i="28"/>
  <c r="V19" i="28"/>
  <c r="U19" i="28"/>
  <c r="T19" i="28"/>
  <c r="S19" i="28"/>
  <c r="R19" i="28"/>
  <c r="Q19" i="28"/>
  <c r="P19" i="28"/>
  <c r="O19" i="28"/>
  <c r="K19" i="28"/>
  <c r="J19" i="28"/>
  <c r="I19" i="28"/>
  <c r="P18" i="28"/>
  <c r="O18" i="28"/>
  <c r="J18" i="28"/>
  <c r="I18" i="28"/>
  <c r="P17" i="28"/>
  <c r="O17" i="28"/>
  <c r="J17" i="28"/>
  <c r="I17" i="28"/>
  <c r="V16" i="28"/>
  <c r="U16" i="28"/>
  <c r="T16" i="28"/>
  <c r="S16" i="28"/>
  <c r="R16" i="28"/>
  <c r="Q16" i="28"/>
  <c r="P16" i="28"/>
  <c r="O16" i="28"/>
  <c r="K16" i="28"/>
  <c r="J16" i="28"/>
  <c r="I16" i="28"/>
  <c r="V15" i="28"/>
  <c r="U15" i="28"/>
  <c r="T15" i="28"/>
  <c r="S15" i="28"/>
  <c r="R15" i="28"/>
  <c r="Q15" i="28"/>
  <c r="P15" i="28"/>
  <c r="O15" i="28"/>
  <c r="K15" i="28"/>
  <c r="J15" i="28"/>
  <c r="I15" i="28"/>
  <c r="D14" i="28"/>
  <c r="J14" i="28" s="1"/>
  <c r="C14" i="28"/>
  <c r="I14" i="28" s="1"/>
  <c r="V13" i="28"/>
  <c r="U13" i="28"/>
  <c r="T13" i="28"/>
  <c r="S13" i="28"/>
  <c r="R13" i="28"/>
  <c r="Q13" i="28"/>
  <c r="P13" i="28"/>
  <c r="O13" i="28"/>
  <c r="K13" i="28"/>
  <c r="J13" i="28"/>
  <c r="I13" i="28"/>
  <c r="P12" i="28"/>
  <c r="O12" i="28"/>
  <c r="J12" i="28"/>
  <c r="I12" i="28"/>
  <c r="P11" i="28"/>
  <c r="O11" i="28"/>
  <c r="J11" i="28"/>
  <c r="I11" i="28"/>
  <c r="P10" i="28"/>
  <c r="O10" i="28"/>
  <c r="J10" i="28"/>
  <c r="I10" i="28"/>
  <c r="P9" i="28"/>
  <c r="O9" i="28"/>
  <c r="J9" i="28"/>
  <c r="I9" i="28"/>
  <c r="P8" i="28"/>
  <c r="O8" i="28"/>
  <c r="J8" i="28"/>
  <c r="I8" i="28"/>
  <c r="P7" i="28"/>
  <c r="O7" i="28"/>
  <c r="J7" i="28"/>
  <c r="I7" i="28"/>
  <c r="R6" i="28"/>
  <c r="Q6" i="28"/>
  <c r="P6" i="28"/>
  <c r="O6" i="28"/>
  <c r="K6" i="28"/>
  <c r="J6" i="28"/>
  <c r="I6" i="28"/>
  <c r="V5" i="28"/>
  <c r="U5" i="28"/>
  <c r="T5" i="28"/>
  <c r="S5" i="28"/>
  <c r="R5" i="28"/>
  <c r="Q5" i="28"/>
  <c r="P5" i="28"/>
  <c r="N51" i="24" l="1"/>
  <c r="M51" i="24"/>
  <c r="L51" i="24"/>
  <c r="C183" i="28"/>
  <c r="B152" i="28"/>
  <c r="B145" i="28"/>
  <c r="B142" i="28"/>
  <c r="B121" i="28"/>
  <c r="B114" i="28"/>
  <c r="B130" i="28"/>
  <c r="C125" i="28"/>
  <c r="C130" i="28" s="1"/>
  <c r="O68" i="28"/>
  <c r="O56" i="28"/>
  <c r="L12" i="29"/>
  <c r="L30" i="29"/>
  <c r="L27" i="29"/>
  <c r="L44" i="29"/>
  <c r="O81" i="28"/>
  <c r="P81" i="28"/>
  <c r="O40" i="28"/>
  <c r="P40" i="28"/>
  <c r="C42" i="28"/>
  <c r="Q66" i="28"/>
  <c r="R66" i="28"/>
  <c r="O92" i="28"/>
  <c r="P92" i="28"/>
  <c r="P56" i="28"/>
  <c r="R79" i="28"/>
  <c r="P68" i="28"/>
  <c r="B57" i="28"/>
  <c r="D42" i="28"/>
  <c r="F66" i="28"/>
  <c r="M57" i="29"/>
  <c r="B93" i="28"/>
  <c r="C82" i="28"/>
  <c r="F79" i="28"/>
  <c r="D125" i="28" s="1"/>
  <c r="D82" i="28"/>
  <c r="K18" i="29"/>
  <c r="L18" i="29"/>
  <c r="K24" i="29"/>
  <c r="E20" i="29"/>
  <c r="E17" i="28" s="1"/>
  <c r="K17" i="28" s="1"/>
  <c r="K27" i="29"/>
  <c r="L33" i="29"/>
  <c r="K38" i="29"/>
  <c r="L38" i="29"/>
  <c r="K12" i="29"/>
  <c r="K53" i="29"/>
  <c r="L41" i="29"/>
  <c r="L53" i="29"/>
  <c r="K21" i="29"/>
  <c r="K47" i="29"/>
  <c r="L21" i="29"/>
  <c r="L47" i="29"/>
  <c r="L24" i="29"/>
  <c r="K41" i="29"/>
  <c r="K15" i="29"/>
  <c r="K33" i="29"/>
  <c r="K50" i="29"/>
  <c r="L50" i="29"/>
  <c r="L15" i="29"/>
  <c r="K30" i="29"/>
  <c r="K44" i="29"/>
  <c r="E12" i="29"/>
  <c r="E9" i="28" s="1"/>
  <c r="R9" i="28" s="1"/>
  <c r="E18" i="28"/>
  <c r="E14" i="29"/>
  <c r="E11" i="28" s="1"/>
  <c r="K11" i="28" s="1"/>
  <c r="F8" i="29"/>
  <c r="F6" i="28" s="1"/>
  <c r="C27" i="29"/>
  <c r="C11" i="29"/>
  <c r="D11" i="29"/>
  <c r="D27" i="29"/>
  <c r="E15" i="29"/>
  <c r="E12" i="28" s="1"/>
  <c r="R12" i="28" s="1"/>
  <c r="E13" i="29"/>
  <c r="E10" i="28" s="1"/>
  <c r="Q10" i="28" s="1"/>
  <c r="P14" i="28"/>
  <c r="O25" i="28"/>
  <c r="P25" i="28"/>
  <c r="O14" i="28"/>
  <c r="E14" i="26"/>
  <c r="F14" i="26" s="1"/>
  <c r="K11" i="26"/>
  <c r="Q6" i="26"/>
  <c r="H18" i="24"/>
  <c r="P31" i="24" s="1"/>
  <c r="H17" i="24"/>
  <c r="P30" i="24" s="1"/>
  <c r="Q5" i="24"/>
  <c r="R5" i="24"/>
  <c r="P5" i="24"/>
  <c r="C14" i="24"/>
  <c r="C54" i="24" s="1"/>
  <c r="C10" i="24"/>
  <c r="C50" i="24" s="1"/>
  <c r="L10" i="24"/>
  <c r="K10" i="24"/>
  <c r="T8" i="24"/>
  <c r="S8" i="24"/>
  <c r="T7" i="24"/>
  <c r="T9" i="24" s="1"/>
  <c r="S7" i="24"/>
  <c r="S9" i="24" s="1"/>
  <c r="T10" i="24"/>
  <c r="S10" i="24"/>
  <c r="C159" i="28" l="1"/>
  <c r="C160" i="28"/>
  <c r="C161" i="28"/>
  <c r="N6" i="29"/>
  <c r="D159" i="28"/>
  <c r="D161" i="28"/>
  <c r="D160" i="28"/>
  <c r="R18" i="28"/>
  <c r="E187" i="28"/>
  <c r="D124" i="28"/>
  <c r="D130" i="28" s="1"/>
  <c r="M18" i="29"/>
  <c r="M44" i="29"/>
  <c r="B143" i="28"/>
  <c r="B144" i="28" s="1"/>
  <c r="B146" i="28" s="1"/>
  <c r="B154" i="28" s="1"/>
  <c r="B132" i="28"/>
  <c r="B135" i="28" s="1"/>
  <c r="B115" i="28"/>
  <c r="S11" i="24"/>
  <c r="T11" i="24"/>
  <c r="M12" i="29"/>
  <c r="M27" i="29"/>
  <c r="B95" i="28"/>
  <c r="M30" i="29"/>
  <c r="P82" i="28"/>
  <c r="O82" i="28"/>
  <c r="S66" i="28"/>
  <c r="T66" i="28"/>
  <c r="F18" i="28"/>
  <c r="C57" i="28"/>
  <c r="S79" i="28"/>
  <c r="T79" i="28"/>
  <c r="P42" i="28"/>
  <c r="O42" i="28"/>
  <c r="F17" i="28"/>
  <c r="G17" i="28" s="1"/>
  <c r="D57" i="28"/>
  <c r="D177" i="28" s="1"/>
  <c r="G66" i="28"/>
  <c r="M33" i="29"/>
  <c r="G79" i="28"/>
  <c r="E125" i="28" s="1"/>
  <c r="R17" i="28"/>
  <c r="M24" i="29"/>
  <c r="D93" i="28"/>
  <c r="Q17" i="28"/>
  <c r="M15" i="29"/>
  <c r="C93" i="28"/>
  <c r="E11" i="29"/>
  <c r="E8" i="28" s="1"/>
  <c r="M38" i="29"/>
  <c r="M47" i="29"/>
  <c r="E27" i="29"/>
  <c r="Q7" i="26" s="1"/>
  <c r="Q9" i="26" s="1"/>
  <c r="M53" i="29"/>
  <c r="M41" i="29"/>
  <c r="M21" i="29"/>
  <c r="M50" i="29"/>
  <c r="L15" i="28"/>
  <c r="Q9" i="28"/>
  <c r="F12" i="28"/>
  <c r="S12" i="28" s="1"/>
  <c r="K9" i="28"/>
  <c r="L16" i="28"/>
  <c r="Q11" i="28"/>
  <c r="R11" i="28"/>
  <c r="L6" i="28"/>
  <c r="G6" i="28"/>
  <c r="F9" i="28"/>
  <c r="L9" i="28" s="1"/>
  <c r="L19" i="28"/>
  <c r="L20" i="28"/>
  <c r="L21" i="28"/>
  <c r="L26" i="28"/>
  <c r="L22" i="28"/>
  <c r="K18" i="28"/>
  <c r="L13" i="28"/>
  <c r="F11" i="28"/>
  <c r="T11" i="28" s="1"/>
  <c r="Q18" i="28"/>
  <c r="S6" i="28"/>
  <c r="T6" i="28"/>
  <c r="K10" i="28"/>
  <c r="R10" i="28"/>
  <c r="F10" i="28"/>
  <c r="T10" i="28" s="1"/>
  <c r="K12" i="28"/>
  <c r="Q12" i="28"/>
  <c r="C20" i="24"/>
  <c r="C60" i="24" s="1"/>
  <c r="E31" i="26"/>
  <c r="E7" i="28" l="1"/>
  <c r="M7" i="29" s="1"/>
  <c r="E172" i="28"/>
  <c r="I42" i="28"/>
  <c r="C177" i="28"/>
  <c r="D182" i="28"/>
  <c r="S18" i="28"/>
  <c r="F187" i="28"/>
  <c r="C182" i="28"/>
  <c r="O6" i="29"/>
  <c r="E124" i="28"/>
  <c r="E130" i="28" s="1"/>
  <c r="L18" i="28"/>
  <c r="I82" i="28"/>
  <c r="C95" i="28"/>
  <c r="D95" i="28"/>
  <c r="L17" i="28"/>
  <c r="S17" i="28"/>
  <c r="T18" i="28"/>
  <c r="T17" i="28"/>
  <c r="O93" i="28"/>
  <c r="P93" i="28"/>
  <c r="J93" i="28"/>
  <c r="V79" i="28"/>
  <c r="U79" i="28"/>
  <c r="I32" i="28"/>
  <c r="I44" i="28"/>
  <c r="I72" i="28"/>
  <c r="I84" i="28"/>
  <c r="I76" i="28"/>
  <c r="I88" i="28"/>
  <c r="I33" i="28"/>
  <c r="I45" i="28"/>
  <c r="I57" i="28"/>
  <c r="I73" i="28"/>
  <c r="I85" i="28"/>
  <c r="I34" i="28"/>
  <c r="I46" i="28"/>
  <c r="I58" i="28"/>
  <c r="I74" i="28"/>
  <c r="I86" i="28"/>
  <c r="I35" i="28"/>
  <c r="I47" i="28"/>
  <c r="I59" i="28"/>
  <c r="I75" i="28"/>
  <c r="I87" i="28"/>
  <c r="I36" i="28"/>
  <c r="I48" i="28"/>
  <c r="I60" i="28"/>
  <c r="I39" i="28"/>
  <c r="I51" i="28"/>
  <c r="I63" i="28"/>
  <c r="I67" i="28"/>
  <c r="I79" i="28"/>
  <c r="I91" i="28"/>
  <c r="I52" i="28"/>
  <c r="I64" i="28"/>
  <c r="I68" i="28"/>
  <c r="I80" i="28"/>
  <c r="I43" i="28"/>
  <c r="I50" i="28"/>
  <c r="I55" i="28"/>
  <c r="I77" i="28"/>
  <c r="I92" i="28"/>
  <c r="I49" i="28"/>
  <c r="I61" i="28"/>
  <c r="I37" i="28"/>
  <c r="I66" i="28"/>
  <c r="I89" i="28"/>
  <c r="I90" i="28"/>
  <c r="I38" i="28"/>
  <c r="I54" i="28"/>
  <c r="I71" i="28"/>
  <c r="I53" i="28"/>
  <c r="I78" i="28"/>
  <c r="I69" i="28"/>
  <c r="I41" i="28"/>
  <c r="I62" i="28"/>
  <c r="I83" i="28"/>
  <c r="M65" i="28"/>
  <c r="I70" i="28"/>
  <c r="I40" i="28"/>
  <c r="I56" i="28"/>
  <c r="I81" i="28"/>
  <c r="U66" i="28"/>
  <c r="V66" i="28"/>
  <c r="J43" i="28"/>
  <c r="J55" i="28"/>
  <c r="J71" i="28"/>
  <c r="J83" i="28"/>
  <c r="J35" i="28"/>
  <c r="J32" i="28"/>
  <c r="J44" i="28"/>
  <c r="J72" i="28"/>
  <c r="J84" i="28"/>
  <c r="J47" i="28"/>
  <c r="J33" i="28"/>
  <c r="J45" i="28"/>
  <c r="J57" i="28"/>
  <c r="J73" i="28"/>
  <c r="J85" i="28"/>
  <c r="J59" i="28"/>
  <c r="J75" i="28"/>
  <c r="J34" i="28"/>
  <c r="J46" i="28"/>
  <c r="J58" i="28"/>
  <c r="J74" i="28"/>
  <c r="J86" i="28"/>
  <c r="J87" i="28"/>
  <c r="J38" i="28"/>
  <c r="J50" i="28"/>
  <c r="P57" i="28"/>
  <c r="J62" i="28"/>
  <c r="J66" i="28"/>
  <c r="J78" i="28"/>
  <c r="J90" i="28"/>
  <c r="J39" i="28"/>
  <c r="J51" i="28"/>
  <c r="J63" i="28"/>
  <c r="J67" i="28"/>
  <c r="J79" i="28"/>
  <c r="J36" i="28"/>
  <c r="J80" i="28"/>
  <c r="N65" i="28"/>
  <c r="J64" i="28"/>
  <c r="J77" i="28"/>
  <c r="J89" i="28"/>
  <c r="J54" i="28"/>
  <c r="J52" i="28"/>
  <c r="J53" i="28"/>
  <c r="J69" i="28"/>
  <c r="J49" i="28"/>
  <c r="J61" i="28"/>
  <c r="J76" i="28"/>
  <c r="J37" i="28"/>
  <c r="J48" i="28"/>
  <c r="O57" i="28"/>
  <c r="J60" i="28"/>
  <c r="J91" i="28"/>
  <c r="J68" i="28"/>
  <c r="J88" i="28"/>
  <c r="J41" i="28"/>
  <c r="J70" i="28"/>
  <c r="J56" i="28"/>
  <c r="J40" i="28"/>
  <c r="J81" i="28"/>
  <c r="J92" i="28"/>
  <c r="I93" i="28"/>
  <c r="J42" i="28"/>
  <c r="J82" i="28"/>
  <c r="F8" i="28"/>
  <c r="G18" i="28"/>
  <c r="R8" i="28"/>
  <c r="K8" i="28"/>
  <c r="Q8" i="28"/>
  <c r="E14" i="28"/>
  <c r="L12" i="28"/>
  <c r="L11" i="28"/>
  <c r="T12" i="28"/>
  <c r="S11" i="28"/>
  <c r="L10" i="28"/>
  <c r="S9" i="28"/>
  <c r="S10" i="28"/>
  <c r="M13" i="28"/>
  <c r="M26" i="28"/>
  <c r="M21" i="28"/>
  <c r="G9" i="28"/>
  <c r="U9" i="28" s="1"/>
  <c r="M22" i="28"/>
  <c r="M19" i="28"/>
  <c r="G10" i="28"/>
  <c r="M10" i="28" s="1"/>
  <c r="T9" i="28"/>
  <c r="U6" i="28"/>
  <c r="V6" i="28"/>
  <c r="G8" i="28"/>
  <c r="M6" i="28"/>
  <c r="G11" i="28"/>
  <c r="M11" i="28" s="1"/>
  <c r="M20" i="28"/>
  <c r="M15" i="28"/>
  <c r="G12" i="28"/>
  <c r="V12" i="28" s="1"/>
  <c r="M16" i="28"/>
  <c r="V17" i="28"/>
  <c r="U17" i="28"/>
  <c r="M17" i="28"/>
  <c r="E48" i="26"/>
  <c r="F48" i="26" s="1"/>
  <c r="F31" i="26"/>
  <c r="G7" i="28" l="1"/>
  <c r="O7" i="29" s="1"/>
  <c r="G172" i="28"/>
  <c r="M18" i="28"/>
  <c r="G183" i="28"/>
  <c r="G187" i="28"/>
  <c r="F7" i="28"/>
  <c r="N7" i="29" s="1"/>
  <c r="F172" i="28"/>
  <c r="E173" i="28"/>
  <c r="E183" i="28"/>
  <c r="K7" i="28"/>
  <c r="R7" i="28"/>
  <c r="Q7" i="28"/>
  <c r="Q14" i="28"/>
  <c r="C142" i="28"/>
  <c r="K14" i="28"/>
  <c r="H6" i="24"/>
  <c r="C6" i="26"/>
  <c r="U18" i="28"/>
  <c r="V18" i="28"/>
  <c r="S7" i="28"/>
  <c r="L7" i="28"/>
  <c r="T8" i="28"/>
  <c r="S8" i="28"/>
  <c r="L8" i="28"/>
  <c r="F14" i="28"/>
  <c r="R14" i="28"/>
  <c r="E23" i="28"/>
  <c r="K23" i="28" s="1"/>
  <c r="V8" i="28"/>
  <c r="U8" i="28"/>
  <c r="U12" i="28"/>
  <c r="M8" i="28"/>
  <c r="M9" i="28"/>
  <c r="M12" i="28"/>
  <c r="V9" i="28"/>
  <c r="U10" i="28"/>
  <c r="V10" i="28"/>
  <c r="G14" i="28"/>
  <c r="V11" i="28"/>
  <c r="U11" i="28"/>
  <c r="F173" i="28" l="1"/>
  <c r="F183" i="28"/>
  <c r="G173" i="28"/>
  <c r="V7" i="28"/>
  <c r="M7" i="28"/>
  <c r="U7" i="28"/>
  <c r="T7" i="28"/>
  <c r="C143" i="28"/>
  <c r="C144" i="28" s="1"/>
  <c r="F23" i="28"/>
  <c r="F24" i="28" s="1"/>
  <c r="F25" i="28" s="1"/>
  <c r="F27" i="28" s="1"/>
  <c r="D142" i="28"/>
  <c r="M14" i="28"/>
  <c r="E142" i="28"/>
  <c r="C24" i="26"/>
  <c r="I6" i="24"/>
  <c r="L14" i="28"/>
  <c r="S14" i="28"/>
  <c r="T14" i="28"/>
  <c r="Q23" i="28"/>
  <c r="E24" i="28"/>
  <c r="E25" i="28" s="1"/>
  <c r="Q25" i="28" s="1"/>
  <c r="R23" i="28"/>
  <c r="G23" i="28"/>
  <c r="M23" i="28" s="1"/>
  <c r="U14" i="28"/>
  <c r="V14" i="28"/>
  <c r="C41" i="26"/>
  <c r="J6" i="24"/>
  <c r="S12" i="24"/>
  <c r="S16" i="24"/>
  <c r="S17" i="24" s="1"/>
  <c r="D100" i="28" l="1"/>
  <c r="F174" i="28"/>
  <c r="L24" i="28"/>
  <c r="L23" i="28"/>
  <c r="T23" i="28"/>
  <c r="L25" i="28"/>
  <c r="S23" i="28"/>
  <c r="E143" i="28"/>
  <c r="E144" i="28" s="1"/>
  <c r="D143" i="28"/>
  <c r="D144" i="28" s="1"/>
  <c r="Q24" i="28"/>
  <c r="K24" i="28"/>
  <c r="R24" i="28"/>
  <c r="S24" i="28"/>
  <c r="R25" i="28"/>
  <c r="T24" i="28"/>
  <c r="E27" i="28"/>
  <c r="S25" i="28"/>
  <c r="K25" i="28"/>
  <c r="T25" i="28"/>
  <c r="V23" i="28"/>
  <c r="U23" i="28"/>
  <c r="G24" i="28"/>
  <c r="G25" i="28" s="1"/>
  <c r="G27" i="28" s="1"/>
  <c r="L27" i="28"/>
  <c r="T12" i="24"/>
  <c r="T16" i="24"/>
  <c r="T17" i="24" s="1"/>
  <c r="T18" i="24" s="1"/>
  <c r="E100" i="28" l="1"/>
  <c r="G174" i="28"/>
  <c r="C100" i="28"/>
  <c r="E174" i="28"/>
  <c r="R27" i="28"/>
  <c r="E91" i="28"/>
  <c r="F91" i="28" s="1"/>
  <c r="G91" i="28" s="1"/>
  <c r="T27" i="28"/>
  <c r="S27" i="28"/>
  <c r="V24" i="28"/>
  <c r="U25" i="28"/>
  <c r="V25" i="28"/>
  <c r="M25" i="28"/>
  <c r="Q27" i="28"/>
  <c r="K27" i="28"/>
  <c r="U24" i="28"/>
  <c r="M24" i="28"/>
  <c r="U27" i="28"/>
  <c r="V27" i="28"/>
  <c r="M27" i="28"/>
  <c r="F92" i="28" l="1"/>
  <c r="F178" i="28" s="1"/>
  <c r="R91" i="28"/>
  <c r="T91" i="28"/>
  <c r="Q91" i="28"/>
  <c r="S91" i="28"/>
  <c r="E92" i="28"/>
  <c r="V91" i="28"/>
  <c r="U91" i="28"/>
  <c r="G92" i="28"/>
  <c r="G178" i="28" s="1"/>
  <c r="Q92" i="28" l="1"/>
  <c r="E178" i="28"/>
  <c r="T92" i="28"/>
  <c r="S92" i="28"/>
  <c r="R92" i="28"/>
  <c r="U92" i="28"/>
  <c r="V92" i="28"/>
  <c r="C27" i="15"/>
  <c r="C27" i="16"/>
  <c r="B23" i="16"/>
  <c r="B22" i="16"/>
  <c r="B20" i="16"/>
  <c r="B19" i="16"/>
  <c r="B17" i="16"/>
  <c r="B16" i="16"/>
  <c r="B15" i="16"/>
  <c r="B14" i="16"/>
  <c r="B13" i="16"/>
  <c r="B12" i="16"/>
  <c r="B11" i="16"/>
  <c r="B10" i="16"/>
  <c r="B9" i="16"/>
  <c r="B8" i="16"/>
  <c r="B7" i="16"/>
  <c r="B6" i="16"/>
  <c r="N3" i="16"/>
  <c r="N3" i="15"/>
  <c r="B15" i="15"/>
  <c r="B11" i="15"/>
  <c r="B23" i="15"/>
  <c r="B22" i="15"/>
  <c r="B20" i="15"/>
  <c r="B19" i="15"/>
  <c r="B17" i="15"/>
  <c r="B16" i="15"/>
  <c r="B13" i="15"/>
  <c r="B14" i="15"/>
  <c r="B12" i="15"/>
  <c r="B10" i="15"/>
  <c r="B7" i="15"/>
  <c r="B8" i="15"/>
  <c r="B9" i="15"/>
  <c r="B6" i="15"/>
  <c r="C23" i="16" l="1"/>
  <c r="C22" i="16" l="1"/>
  <c r="C23" i="15"/>
  <c r="C22" i="15"/>
  <c r="E13" i="26" l="1"/>
  <c r="F13" i="26" s="1"/>
  <c r="D22" i="15"/>
  <c r="E23" i="15"/>
  <c r="D23" i="15"/>
  <c r="E30" i="26" l="1"/>
  <c r="F30" i="26" s="1"/>
  <c r="E47" i="26"/>
  <c r="F47" i="26" s="1"/>
  <c r="E22" i="15"/>
  <c r="F77" i="28" l="1"/>
  <c r="G77" i="28"/>
  <c r="E77" i="28"/>
  <c r="C112" i="28" s="1"/>
  <c r="G61" i="28"/>
  <c r="E61" i="28"/>
  <c r="C108" i="28" s="1"/>
  <c r="F61" i="28"/>
  <c r="E112" i="28" l="1"/>
  <c r="D112" i="28"/>
  <c r="D108" i="28"/>
  <c r="E108" i="28"/>
  <c r="S77" i="28"/>
  <c r="T77" i="28"/>
  <c r="S61" i="28"/>
  <c r="T61" i="28"/>
  <c r="Q61" i="28"/>
  <c r="R61" i="28"/>
  <c r="U61" i="28"/>
  <c r="V61" i="28"/>
  <c r="Q77" i="28"/>
  <c r="R77" i="28"/>
  <c r="U77" i="28"/>
  <c r="V77" i="28"/>
  <c r="F63" i="28"/>
  <c r="E63" i="28"/>
  <c r="G63" i="28"/>
  <c r="D16" i="15"/>
  <c r="E65" i="28"/>
  <c r="C110" i="28" s="1"/>
  <c r="G65" i="28"/>
  <c r="F65" i="28"/>
  <c r="D110" i="28" s="1"/>
  <c r="E45" i="28"/>
  <c r="E193" i="28" s="1"/>
  <c r="F45" i="28"/>
  <c r="F193" i="28" s="1"/>
  <c r="G45" i="28"/>
  <c r="G193" i="28" s="1"/>
  <c r="E54" i="28"/>
  <c r="C107" i="28" s="1"/>
  <c r="G54" i="28"/>
  <c r="F54" i="28"/>
  <c r="F34" i="28"/>
  <c r="F166" i="28" s="1"/>
  <c r="E34" i="28"/>
  <c r="G34" i="28"/>
  <c r="E80" i="28"/>
  <c r="C113" i="28" s="1"/>
  <c r="F80" i="28"/>
  <c r="D113" i="28" s="1"/>
  <c r="G80" i="28"/>
  <c r="E113" i="28" s="1"/>
  <c r="G64" i="28"/>
  <c r="G167" i="28" s="1"/>
  <c r="F64" i="28"/>
  <c r="F167" i="28" s="1"/>
  <c r="E64" i="28"/>
  <c r="E37" i="28"/>
  <c r="C105" i="28" s="1"/>
  <c r="G37" i="28"/>
  <c r="F37" i="28"/>
  <c r="G33" i="28"/>
  <c r="E33" i="28"/>
  <c r="F33" i="28"/>
  <c r="E67" i="28"/>
  <c r="C111" i="28" s="1"/>
  <c r="F67" i="28"/>
  <c r="D111" i="28" s="1"/>
  <c r="G67" i="28"/>
  <c r="E111" i="28" s="1"/>
  <c r="C12" i="16"/>
  <c r="E47" i="28"/>
  <c r="C119" i="28" s="1"/>
  <c r="F47" i="28"/>
  <c r="G47" i="28"/>
  <c r="E51" i="28"/>
  <c r="C106" i="28" s="1"/>
  <c r="G51" i="28"/>
  <c r="F51" i="28"/>
  <c r="E35" i="28"/>
  <c r="C104" i="28" s="1"/>
  <c r="F35" i="28"/>
  <c r="G35" i="28"/>
  <c r="E104" i="28" s="1"/>
  <c r="C16" i="15"/>
  <c r="C16" i="16"/>
  <c r="E16" i="15"/>
  <c r="E12" i="15"/>
  <c r="D12" i="15"/>
  <c r="C12" i="15"/>
  <c r="C102" i="28" l="1"/>
  <c r="C148" i="28" s="1"/>
  <c r="E162" i="28"/>
  <c r="E165" i="28"/>
  <c r="C103" i="28"/>
  <c r="C147" i="28" s="1"/>
  <c r="E166" i="28"/>
  <c r="C109" i="28"/>
  <c r="C150" i="28" s="1"/>
  <c r="E167" i="28"/>
  <c r="D104" i="28"/>
  <c r="D102" i="28"/>
  <c r="D148" i="28" s="1"/>
  <c r="F162" i="28"/>
  <c r="F165" i="28"/>
  <c r="F168" i="28" s="1"/>
  <c r="E103" i="28"/>
  <c r="E147" i="28" s="1"/>
  <c r="G166" i="28"/>
  <c r="G165" i="28"/>
  <c r="G168" i="28" s="1"/>
  <c r="G162" i="28"/>
  <c r="E119" i="28"/>
  <c r="E107" i="28"/>
  <c r="E106" i="28"/>
  <c r="E105" i="28"/>
  <c r="D119" i="28"/>
  <c r="D109" i="28"/>
  <c r="D150" i="28" s="1"/>
  <c r="E110" i="28"/>
  <c r="D106" i="28"/>
  <c r="E102" i="28"/>
  <c r="E148" i="28" s="1"/>
  <c r="D103" i="28"/>
  <c r="D147" i="28" s="1"/>
  <c r="E109" i="28"/>
  <c r="E150" i="28" s="1"/>
  <c r="D105" i="28"/>
  <c r="D107" i="28"/>
  <c r="Q67" i="28"/>
  <c r="R67" i="28"/>
  <c r="Q35" i="28"/>
  <c r="R35" i="28"/>
  <c r="Q33" i="28"/>
  <c r="R33" i="28"/>
  <c r="V63" i="28"/>
  <c r="U63" i="28"/>
  <c r="U33" i="28"/>
  <c r="V33" i="28"/>
  <c r="Q63" i="28"/>
  <c r="R63" i="28"/>
  <c r="V51" i="28"/>
  <c r="U51" i="28"/>
  <c r="S54" i="28"/>
  <c r="T54" i="28"/>
  <c r="Q37" i="28"/>
  <c r="R37" i="28"/>
  <c r="U80" i="28"/>
  <c r="V80" i="28"/>
  <c r="S67" i="28"/>
  <c r="T67" i="28"/>
  <c r="S80" i="28"/>
  <c r="T80" i="28"/>
  <c r="U35" i="28"/>
  <c r="V35" i="28"/>
  <c r="U65" i="28"/>
  <c r="V65" i="28"/>
  <c r="S33" i="28"/>
  <c r="T33" i="28"/>
  <c r="T34" i="28"/>
  <c r="S34" i="28"/>
  <c r="S37" i="28"/>
  <c r="T37" i="28"/>
  <c r="Q51" i="28"/>
  <c r="R51" i="28"/>
  <c r="U54" i="28"/>
  <c r="V54" i="28"/>
  <c r="R54" i="28"/>
  <c r="Q54" i="28"/>
  <c r="S47" i="28"/>
  <c r="T47" i="28"/>
  <c r="R64" i="28"/>
  <c r="Q64" i="28"/>
  <c r="U45" i="28"/>
  <c r="V45" i="28"/>
  <c r="Q47" i="28"/>
  <c r="R47" i="28"/>
  <c r="S64" i="28"/>
  <c r="T64" i="28"/>
  <c r="S45" i="28"/>
  <c r="T45" i="28"/>
  <c r="V67" i="28"/>
  <c r="U67" i="28"/>
  <c r="G81" i="28"/>
  <c r="R80" i="28"/>
  <c r="Q80" i="28"/>
  <c r="S35" i="28"/>
  <c r="T35" i="28"/>
  <c r="U34" i="28"/>
  <c r="V34" i="28"/>
  <c r="Q34" i="28"/>
  <c r="R34" i="28"/>
  <c r="S51" i="28"/>
  <c r="T51" i="28"/>
  <c r="S63" i="28"/>
  <c r="T63" i="28"/>
  <c r="U37" i="28"/>
  <c r="V37" i="28"/>
  <c r="U47" i="28"/>
  <c r="V47" i="28"/>
  <c r="U64" i="28"/>
  <c r="V64" i="28"/>
  <c r="Q45" i="28"/>
  <c r="R45" i="28"/>
  <c r="E81" i="28"/>
  <c r="C8" i="16"/>
  <c r="C7" i="16"/>
  <c r="N56" i="29"/>
  <c r="C101" i="28" s="1"/>
  <c r="C15" i="15"/>
  <c r="C14" i="16"/>
  <c r="E9" i="15"/>
  <c r="P6" i="24"/>
  <c r="P28" i="24" s="1"/>
  <c r="E20" i="15"/>
  <c r="C9" i="16"/>
  <c r="C20" i="16"/>
  <c r="P56" i="29"/>
  <c r="E101" i="28" s="1"/>
  <c r="E145" i="28" s="1"/>
  <c r="E146" i="28" s="1"/>
  <c r="F81" i="28"/>
  <c r="F68" i="28"/>
  <c r="O56" i="29"/>
  <c r="D101" i="28" s="1"/>
  <c r="E14" i="15"/>
  <c r="C17" i="16"/>
  <c r="E68" i="28"/>
  <c r="G68" i="28"/>
  <c r="C15" i="16"/>
  <c r="E6" i="15"/>
  <c r="D15" i="15"/>
  <c r="E10" i="15"/>
  <c r="E11" i="15"/>
  <c r="D7" i="15"/>
  <c r="D10" i="15"/>
  <c r="C7" i="15"/>
  <c r="E7" i="15"/>
  <c r="C10" i="16"/>
  <c r="D6" i="15"/>
  <c r="C6" i="16"/>
  <c r="G56" i="28"/>
  <c r="E56" i="28"/>
  <c r="C10" i="15"/>
  <c r="C6" i="15"/>
  <c r="F56" i="28"/>
  <c r="D14" i="15"/>
  <c r="D13" i="15"/>
  <c r="D20" i="15"/>
  <c r="C20" i="15"/>
  <c r="E4" i="15"/>
  <c r="C13" i="16"/>
  <c r="C13" i="15"/>
  <c r="C42" i="26"/>
  <c r="C4" i="16"/>
  <c r="C4" i="15"/>
  <c r="C14" i="15"/>
  <c r="C25" i="26"/>
  <c r="D9" i="15"/>
  <c r="D4" i="15"/>
  <c r="C7" i="26"/>
  <c r="E8" i="15"/>
  <c r="D17" i="15"/>
  <c r="C11" i="15"/>
  <c r="C11" i="16"/>
  <c r="E15" i="15"/>
  <c r="D8" i="15"/>
  <c r="E13" i="15"/>
  <c r="E17" i="15"/>
  <c r="D11" i="15"/>
  <c r="C9" i="15"/>
  <c r="C17" i="15"/>
  <c r="C8" i="15"/>
  <c r="E168" i="28" l="1"/>
  <c r="C152" i="28"/>
  <c r="E152" i="28"/>
  <c r="D152" i="28"/>
  <c r="E191" i="28"/>
  <c r="F191" i="28"/>
  <c r="G191" i="28"/>
  <c r="C114" i="28"/>
  <c r="C145" i="28"/>
  <c r="C146" i="28" s="1"/>
  <c r="D118" i="28"/>
  <c r="D145" i="28"/>
  <c r="D146" i="28" s="1"/>
  <c r="E114" i="28"/>
  <c r="E118" i="28"/>
  <c r="D114" i="28"/>
  <c r="C118" i="28"/>
  <c r="J7" i="24"/>
  <c r="R10" i="24" s="1"/>
  <c r="I7" i="24"/>
  <c r="Q10" i="24" s="1"/>
  <c r="H7" i="24"/>
  <c r="P10" i="24" s="1"/>
  <c r="Q56" i="28"/>
  <c r="R56" i="28"/>
  <c r="S68" i="28"/>
  <c r="T68" i="28"/>
  <c r="T81" i="28"/>
  <c r="S81" i="28"/>
  <c r="Q81" i="28"/>
  <c r="R81" i="28"/>
  <c r="Q68" i="28"/>
  <c r="R68" i="28"/>
  <c r="U81" i="28"/>
  <c r="V81" i="28"/>
  <c r="V56" i="28"/>
  <c r="U56" i="28"/>
  <c r="U68" i="28"/>
  <c r="V68" i="28"/>
  <c r="T56" i="28"/>
  <c r="S56" i="28"/>
  <c r="G70" i="28"/>
  <c r="E70" i="28"/>
  <c r="P14" i="24"/>
  <c r="P16" i="24"/>
  <c r="F70" i="28"/>
  <c r="I6" i="15"/>
  <c r="H6" i="15"/>
  <c r="G6" i="15"/>
  <c r="C5" i="15"/>
  <c r="C19" i="15" s="1"/>
  <c r="C21" i="15" s="1"/>
  <c r="C5" i="16"/>
  <c r="C19" i="16" s="1"/>
  <c r="D5" i="15"/>
  <c r="D18" i="15" s="1"/>
  <c r="E5" i="15"/>
  <c r="C39" i="14"/>
  <c r="D38" i="14" s="1"/>
  <c r="C38" i="14"/>
  <c r="D33" i="14"/>
  <c r="C33" i="14"/>
  <c r="F32" i="14"/>
  <c r="E32" i="14"/>
  <c r="D32" i="14"/>
  <c r="C32" i="14"/>
  <c r="F31" i="14"/>
  <c r="E31" i="14"/>
  <c r="D31" i="14"/>
  <c r="C31" i="14"/>
  <c r="F30" i="14"/>
  <c r="E30" i="14"/>
  <c r="D30" i="14"/>
  <c r="C30" i="14"/>
  <c r="F29" i="14"/>
  <c r="E29" i="14"/>
  <c r="D29" i="14"/>
  <c r="C29" i="14"/>
  <c r="F28" i="14"/>
  <c r="E28" i="14"/>
  <c r="D28" i="14"/>
  <c r="C28" i="14"/>
  <c r="F27" i="14"/>
  <c r="E27" i="14"/>
  <c r="D27" i="14"/>
  <c r="C27" i="14"/>
  <c r="F23" i="14"/>
  <c r="F24" i="14" s="1"/>
  <c r="E23" i="14"/>
  <c r="E24" i="14" s="1"/>
  <c r="D23" i="14"/>
  <c r="D24" i="14" s="1"/>
  <c r="C23" i="14"/>
  <c r="C24" i="14" s="1"/>
  <c r="F19" i="14"/>
  <c r="E19" i="14"/>
  <c r="D19" i="14"/>
  <c r="C19" i="14"/>
  <c r="F18" i="14"/>
  <c r="E18" i="14"/>
  <c r="D18" i="14"/>
  <c r="C18" i="14"/>
  <c r="F17" i="14"/>
  <c r="E17" i="14"/>
  <c r="D17" i="14"/>
  <c r="C17" i="14"/>
  <c r="F16" i="14"/>
  <c r="E16" i="14"/>
  <c r="D16" i="14"/>
  <c r="C16" i="14"/>
  <c r="F15" i="14"/>
  <c r="E15" i="14"/>
  <c r="D15" i="14"/>
  <c r="C15" i="14"/>
  <c r="F14" i="14"/>
  <c r="E14" i="14"/>
  <c r="D14" i="14"/>
  <c r="C14" i="14"/>
  <c r="F13" i="14"/>
  <c r="E13" i="14"/>
  <c r="D13" i="14"/>
  <c r="C13" i="14"/>
  <c r="F12" i="14"/>
  <c r="E12" i="14"/>
  <c r="D12" i="14"/>
  <c r="C12" i="14"/>
  <c r="F11" i="14"/>
  <c r="E11" i="14"/>
  <c r="D11" i="14"/>
  <c r="C11" i="14"/>
  <c r="F10" i="14"/>
  <c r="E10" i="14"/>
  <c r="D10" i="14"/>
  <c r="C10" i="14"/>
  <c r="F9" i="14"/>
  <c r="E9" i="14"/>
  <c r="D9" i="14"/>
  <c r="C9" i="14"/>
  <c r="F8" i="14"/>
  <c r="E8" i="14"/>
  <c r="D8" i="14"/>
  <c r="C8" i="14"/>
  <c r="F7" i="14"/>
  <c r="E7" i="14"/>
  <c r="D7" i="14"/>
  <c r="C7" i="14"/>
  <c r="F6" i="14"/>
  <c r="E6" i="14"/>
  <c r="D6" i="14"/>
  <c r="C6" i="14"/>
  <c r="F5" i="14"/>
  <c r="E5" i="14"/>
  <c r="D5" i="14"/>
  <c r="C5" i="14"/>
  <c r="F4" i="6"/>
  <c r="E175" i="28" s="1"/>
  <c r="E176" i="28" l="1"/>
  <c r="E190" i="28" s="1"/>
  <c r="E192" i="28" s="1"/>
  <c r="E185" i="28"/>
  <c r="E186" i="28"/>
  <c r="E184" i="28"/>
  <c r="C121" i="28"/>
  <c r="C132" i="28" s="1"/>
  <c r="C134" i="28" s="1"/>
  <c r="E32" i="28" s="1"/>
  <c r="C153" i="28"/>
  <c r="C154" i="28" s="1"/>
  <c r="E121" i="28"/>
  <c r="E132" i="28" s="1"/>
  <c r="E153" i="28"/>
  <c r="E154" i="28" s="1"/>
  <c r="D121" i="28"/>
  <c r="D132" i="28" s="1"/>
  <c r="D153" i="28"/>
  <c r="D154" i="28" s="1"/>
  <c r="C115" i="28"/>
  <c r="D115" i="28"/>
  <c r="E115" i="28"/>
  <c r="S70" i="28"/>
  <c r="T70" i="28"/>
  <c r="U70" i="28"/>
  <c r="V70" i="28"/>
  <c r="Q70" i="28"/>
  <c r="R70" i="28"/>
  <c r="F82" i="28"/>
  <c r="E82" i="28"/>
  <c r="G82" i="28"/>
  <c r="C18" i="15"/>
  <c r="D18" i="16"/>
  <c r="C18" i="16"/>
  <c r="C14" i="26"/>
  <c r="E33" i="14"/>
  <c r="J9" i="24"/>
  <c r="R8" i="24" s="1"/>
  <c r="E18" i="15"/>
  <c r="E19" i="15"/>
  <c r="E21" i="15" s="1"/>
  <c r="D19" i="15"/>
  <c r="D21" i="15" s="1"/>
  <c r="D21" i="16"/>
  <c r="C21" i="16"/>
  <c r="C20" i="14"/>
  <c r="C21" i="14" s="1"/>
  <c r="D20" i="14"/>
  <c r="D21" i="14" s="1"/>
  <c r="E20" i="14"/>
  <c r="E21" i="14" s="1"/>
  <c r="F20" i="14"/>
  <c r="F21" i="14" s="1"/>
  <c r="C7" i="24"/>
  <c r="C47" i="24" s="1"/>
  <c r="D133" i="28" l="1"/>
  <c r="D134" i="28" s="1"/>
  <c r="C135" i="28"/>
  <c r="H9" i="24"/>
  <c r="P8" i="24" s="1"/>
  <c r="I9" i="24"/>
  <c r="Q8" i="24" s="1"/>
  <c r="S82" i="28"/>
  <c r="T82" i="28"/>
  <c r="R82" i="28"/>
  <c r="Q82" i="28"/>
  <c r="V82" i="28"/>
  <c r="U82" i="28"/>
  <c r="G93" i="28"/>
  <c r="C47" i="26"/>
  <c r="E93" i="28"/>
  <c r="F93" i="28"/>
  <c r="C30" i="26"/>
  <c r="D24" i="15"/>
  <c r="D25" i="15" s="1"/>
  <c r="D26" i="15" s="1"/>
  <c r="C31" i="26"/>
  <c r="E34" i="14"/>
  <c r="E35" i="14" s="1"/>
  <c r="E37" i="14" s="1"/>
  <c r="C13" i="26"/>
  <c r="C15" i="26" s="1"/>
  <c r="F33" i="14"/>
  <c r="C24" i="15"/>
  <c r="C25" i="15" s="1"/>
  <c r="C26" i="15" s="1"/>
  <c r="C28" i="15" s="1"/>
  <c r="N7" i="16"/>
  <c r="C24" i="16"/>
  <c r="N7" i="15"/>
  <c r="D34" i="14"/>
  <c r="D35" i="14" s="1"/>
  <c r="D37" i="14" s="1"/>
  <c r="D39" i="14" s="1"/>
  <c r="E38" i="14" s="1"/>
  <c r="C34" i="14"/>
  <c r="C35" i="14" s="1"/>
  <c r="C37" i="14" s="1"/>
  <c r="C41" i="14" s="1"/>
  <c r="E133" i="28" l="1"/>
  <c r="E134" i="28" s="1"/>
  <c r="E135" i="28" s="1"/>
  <c r="D135" i="28"/>
  <c r="T93" i="28"/>
  <c r="S93" i="28"/>
  <c r="Q93" i="28"/>
  <c r="R93" i="28"/>
  <c r="V93" i="28"/>
  <c r="U93" i="28"/>
  <c r="D13" i="26"/>
  <c r="H13" i="26" s="1"/>
  <c r="D14" i="26"/>
  <c r="H14" i="26" s="1"/>
  <c r="C32" i="26"/>
  <c r="D30" i="26" s="1"/>
  <c r="C6" i="24"/>
  <c r="C46" i="24" s="1"/>
  <c r="E24" i="15"/>
  <c r="E25" i="15" s="1"/>
  <c r="E26" i="15" s="1"/>
  <c r="C48" i="26"/>
  <c r="F34" i="14"/>
  <c r="F35" i="14" s="1"/>
  <c r="F37" i="14" s="1"/>
  <c r="C25" i="16"/>
  <c r="C26" i="16" s="1"/>
  <c r="C28" i="16" s="1"/>
  <c r="D25" i="16"/>
  <c r="N6" i="15"/>
  <c r="N6" i="16"/>
  <c r="E39" i="14"/>
  <c r="E41" i="14" s="1"/>
  <c r="D41" i="14"/>
  <c r="F9" i="13"/>
  <c r="C39" i="13"/>
  <c r="D38" i="13" s="1"/>
  <c r="C34" i="13"/>
  <c r="C33" i="13"/>
  <c r="F32" i="13"/>
  <c r="E32" i="13"/>
  <c r="D32" i="13"/>
  <c r="C32" i="13"/>
  <c r="F31" i="13"/>
  <c r="E31" i="13"/>
  <c r="D31" i="13"/>
  <c r="C31" i="13"/>
  <c r="F30" i="13"/>
  <c r="E30" i="13"/>
  <c r="D30" i="13"/>
  <c r="C30" i="13"/>
  <c r="F29" i="13"/>
  <c r="E29" i="13"/>
  <c r="D29" i="13"/>
  <c r="C29" i="13"/>
  <c r="F28" i="13"/>
  <c r="E28" i="13"/>
  <c r="D28" i="13"/>
  <c r="C28" i="13"/>
  <c r="F27" i="13"/>
  <c r="E27" i="13"/>
  <c r="D27" i="13"/>
  <c r="C27" i="13"/>
  <c r="F19" i="13"/>
  <c r="E19" i="13"/>
  <c r="D19" i="13"/>
  <c r="C19" i="13"/>
  <c r="F18" i="13"/>
  <c r="E18" i="13"/>
  <c r="D18" i="13"/>
  <c r="C18" i="13"/>
  <c r="F17" i="13"/>
  <c r="E17" i="13"/>
  <c r="D17" i="13"/>
  <c r="C17" i="13"/>
  <c r="F16" i="13"/>
  <c r="E16" i="13"/>
  <c r="D16" i="13"/>
  <c r="C16" i="13"/>
  <c r="C15" i="13"/>
  <c r="F14" i="13"/>
  <c r="E14" i="13"/>
  <c r="D14" i="13"/>
  <c r="C14" i="13"/>
  <c r="F13" i="13"/>
  <c r="E13" i="13"/>
  <c r="D13" i="13"/>
  <c r="C13" i="13"/>
  <c r="F12" i="13"/>
  <c r="E12" i="13"/>
  <c r="D12" i="13"/>
  <c r="C12" i="13"/>
  <c r="F11" i="13"/>
  <c r="E11" i="13"/>
  <c r="D11" i="13"/>
  <c r="C11" i="13"/>
  <c r="F10" i="13"/>
  <c r="E10" i="13"/>
  <c r="D10" i="13"/>
  <c r="C10" i="13"/>
  <c r="E9" i="13"/>
  <c r="D9" i="13"/>
  <c r="C9" i="13"/>
  <c r="C8" i="13"/>
  <c r="F7" i="13"/>
  <c r="C7" i="13"/>
  <c r="C6" i="13"/>
  <c r="C5" i="13"/>
  <c r="E71" i="12"/>
  <c r="D71" i="12"/>
  <c r="Y69" i="12"/>
  <c r="X69" i="12"/>
  <c r="S69" i="12"/>
  <c r="R69" i="12"/>
  <c r="AA68" i="12"/>
  <c r="Z68" i="12"/>
  <c r="Y68" i="12"/>
  <c r="X68" i="12"/>
  <c r="S68" i="12"/>
  <c r="R68" i="12"/>
  <c r="H68" i="12"/>
  <c r="G68" i="12"/>
  <c r="F68" i="12"/>
  <c r="AA67" i="12"/>
  <c r="Z67" i="12"/>
  <c r="Y67" i="12"/>
  <c r="X67" i="12"/>
  <c r="S67" i="12"/>
  <c r="R67" i="12"/>
  <c r="AA66" i="12"/>
  <c r="Z66" i="12"/>
  <c r="Y66" i="12"/>
  <c r="X66" i="12"/>
  <c r="S66" i="12"/>
  <c r="R66" i="12"/>
  <c r="AA65" i="12"/>
  <c r="Z65" i="12"/>
  <c r="Y65" i="12"/>
  <c r="X65" i="12"/>
  <c r="S65" i="12"/>
  <c r="R65" i="12"/>
  <c r="AA64" i="12"/>
  <c r="Z64" i="12"/>
  <c r="Y64" i="12"/>
  <c r="X64" i="12"/>
  <c r="S64" i="12"/>
  <c r="R64" i="12"/>
  <c r="AA63" i="12"/>
  <c r="Z63" i="12"/>
  <c r="Y63" i="12"/>
  <c r="X63" i="12"/>
  <c r="S63" i="12"/>
  <c r="R63" i="12"/>
  <c r="AA62" i="12"/>
  <c r="Z62" i="12"/>
  <c r="Y62" i="12"/>
  <c r="X62" i="12"/>
  <c r="S62" i="12"/>
  <c r="R62" i="12"/>
  <c r="AA61" i="12"/>
  <c r="Z61" i="12"/>
  <c r="Y61" i="12"/>
  <c r="X61" i="12"/>
  <c r="S61" i="12"/>
  <c r="R61" i="12"/>
  <c r="AA60" i="12"/>
  <c r="Z60" i="12"/>
  <c r="Y60" i="12"/>
  <c r="X60" i="12"/>
  <c r="S60" i="12"/>
  <c r="R60" i="12"/>
  <c r="AA59" i="12"/>
  <c r="Z59" i="12"/>
  <c r="Y59" i="12"/>
  <c r="X59" i="12"/>
  <c r="S59" i="12"/>
  <c r="R59" i="12"/>
  <c r="Y58" i="12"/>
  <c r="X58" i="12"/>
  <c r="S58" i="12"/>
  <c r="R58" i="12"/>
  <c r="Y57" i="12"/>
  <c r="X57" i="12"/>
  <c r="S57" i="12"/>
  <c r="R57" i="12"/>
  <c r="Y56" i="12"/>
  <c r="X56" i="12"/>
  <c r="S56" i="12"/>
  <c r="R56" i="12"/>
  <c r="AA55" i="12"/>
  <c r="Y55" i="12"/>
  <c r="X55" i="12"/>
  <c r="S55" i="12"/>
  <c r="R55" i="12"/>
  <c r="G55" i="12"/>
  <c r="F55" i="12"/>
  <c r="AA54" i="12"/>
  <c r="Z54" i="12"/>
  <c r="Y54" i="12"/>
  <c r="X54" i="12"/>
  <c r="S54" i="12"/>
  <c r="R54" i="12"/>
  <c r="Y53" i="12"/>
  <c r="X53" i="12"/>
  <c r="S53" i="12"/>
  <c r="R53" i="12"/>
  <c r="AA52" i="12"/>
  <c r="Z52" i="12"/>
  <c r="Y52" i="12"/>
  <c r="X52" i="12"/>
  <c r="S52" i="12"/>
  <c r="R52" i="12"/>
  <c r="AA51" i="12"/>
  <c r="Z51" i="12"/>
  <c r="Y51" i="12"/>
  <c r="X51" i="12"/>
  <c r="S51" i="12"/>
  <c r="R51" i="12"/>
  <c r="AA50" i="12"/>
  <c r="Z50" i="12"/>
  <c r="Y50" i="12"/>
  <c r="X50" i="12"/>
  <c r="S50" i="12"/>
  <c r="R50" i="12"/>
  <c r="AA49" i="12"/>
  <c r="Z49" i="12"/>
  <c r="Y49" i="12"/>
  <c r="X49" i="12"/>
  <c r="S49" i="12"/>
  <c r="R49" i="12"/>
  <c r="AA48" i="12"/>
  <c r="Z48" i="12"/>
  <c r="Y48" i="12"/>
  <c r="X48" i="12"/>
  <c r="S48" i="12"/>
  <c r="R48" i="12"/>
  <c r="AA47" i="12"/>
  <c r="Z47" i="12"/>
  <c r="Y47" i="12"/>
  <c r="X47" i="12"/>
  <c r="S47" i="12"/>
  <c r="R47" i="12"/>
  <c r="Y46" i="12"/>
  <c r="X46" i="12"/>
  <c r="S46" i="12"/>
  <c r="R46" i="12"/>
  <c r="AA45" i="12"/>
  <c r="Z45" i="12"/>
  <c r="Y45" i="12"/>
  <c r="X45" i="12"/>
  <c r="S45" i="12"/>
  <c r="R45" i="12"/>
  <c r="Y44" i="12"/>
  <c r="X44" i="12"/>
  <c r="S44" i="12"/>
  <c r="R44" i="12"/>
  <c r="Y43" i="12"/>
  <c r="X43" i="12"/>
  <c r="S43" i="12"/>
  <c r="R43" i="12"/>
  <c r="AA42" i="12"/>
  <c r="Y42" i="12"/>
  <c r="X42" i="12"/>
  <c r="S42" i="12"/>
  <c r="R42" i="12"/>
  <c r="F42" i="12"/>
  <c r="Z42" i="12" s="1"/>
  <c r="Y41" i="12"/>
  <c r="X41" i="12"/>
  <c r="S41" i="12"/>
  <c r="R41" i="12"/>
  <c r="N41" i="12"/>
  <c r="Y40" i="12"/>
  <c r="X40" i="12"/>
  <c r="S40" i="12"/>
  <c r="R40" i="12"/>
  <c r="Y39" i="12"/>
  <c r="X39" i="12"/>
  <c r="S39" i="12"/>
  <c r="R39" i="12"/>
  <c r="AA38" i="12"/>
  <c r="Z38" i="12"/>
  <c r="Y38" i="12"/>
  <c r="X38" i="12"/>
  <c r="S38" i="12"/>
  <c r="R38" i="12"/>
  <c r="L38" i="12"/>
  <c r="K38" i="12"/>
  <c r="J38" i="12"/>
  <c r="Y37" i="12"/>
  <c r="X37" i="12"/>
  <c r="S37" i="12"/>
  <c r="R37" i="12"/>
  <c r="L37" i="12"/>
  <c r="K37" i="12"/>
  <c r="J37" i="12"/>
  <c r="AA36" i="12"/>
  <c r="Z36" i="12"/>
  <c r="Y36" i="12"/>
  <c r="X36" i="12"/>
  <c r="S36" i="12"/>
  <c r="R36" i="12"/>
  <c r="L36" i="12"/>
  <c r="K36" i="12"/>
  <c r="J36" i="12"/>
  <c r="AA35" i="12"/>
  <c r="Z35" i="12"/>
  <c r="Y35" i="12"/>
  <c r="X35" i="12"/>
  <c r="S35" i="12"/>
  <c r="R35" i="12"/>
  <c r="AA34" i="12"/>
  <c r="Z34" i="12"/>
  <c r="Y34" i="12"/>
  <c r="X34" i="12"/>
  <c r="S34" i="12"/>
  <c r="R34" i="12"/>
  <c r="L34" i="12"/>
  <c r="K34" i="12"/>
  <c r="J34" i="12"/>
  <c r="Y33" i="12"/>
  <c r="X33" i="12"/>
  <c r="S33" i="12"/>
  <c r="R33" i="12"/>
  <c r="L33" i="12"/>
  <c r="K33" i="12"/>
  <c r="J33" i="12"/>
  <c r="Y32" i="12"/>
  <c r="X32" i="12"/>
  <c r="S32" i="12"/>
  <c r="R32" i="12"/>
  <c r="L32" i="12"/>
  <c r="K32" i="12"/>
  <c r="J32" i="12"/>
  <c r="AA31" i="12"/>
  <c r="Z31" i="12"/>
  <c r="Y31" i="12"/>
  <c r="X31" i="12"/>
  <c r="S31" i="12"/>
  <c r="R31" i="12"/>
  <c r="Y30" i="12"/>
  <c r="X30" i="12"/>
  <c r="S30" i="12"/>
  <c r="R30" i="12"/>
  <c r="AA29" i="12"/>
  <c r="Z29" i="12"/>
  <c r="Y29" i="12"/>
  <c r="X29" i="12"/>
  <c r="S29" i="12"/>
  <c r="R29" i="12"/>
  <c r="AA28" i="12"/>
  <c r="Z28" i="12"/>
  <c r="Y28" i="12"/>
  <c r="X28" i="12"/>
  <c r="S28" i="12"/>
  <c r="R28" i="12"/>
  <c r="Y27" i="12"/>
  <c r="X27" i="12"/>
  <c r="S27" i="12"/>
  <c r="R27" i="12"/>
  <c r="L27" i="12"/>
  <c r="L28" i="12" s="1"/>
  <c r="K27" i="12"/>
  <c r="K28" i="12" s="1"/>
  <c r="AA26" i="12"/>
  <c r="Z26" i="12"/>
  <c r="Y26" i="12"/>
  <c r="X26" i="12"/>
  <c r="S26" i="12"/>
  <c r="R26" i="12"/>
  <c r="AA25" i="12"/>
  <c r="Z25" i="12"/>
  <c r="Y25" i="12"/>
  <c r="X25" i="12"/>
  <c r="S25" i="12"/>
  <c r="R25" i="12"/>
  <c r="AA24" i="12"/>
  <c r="Z24" i="12"/>
  <c r="Y24" i="12"/>
  <c r="X24" i="12"/>
  <c r="S24" i="12"/>
  <c r="R24" i="12"/>
  <c r="L24" i="12"/>
  <c r="K24" i="12"/>
  <c r="K25" i="12" s="1"/>
  <c r="M25" i="12" s="1"/>
  <c r="Y23" i="12"/>
  <c r="X23" i="12"/>
  <c r="S23" i="12"/>
  <c r="R23" i="12"/>
  <c r="AA22" i="12"/>
  <c r="Z22" i="12"/>
  <c r="Y22" i="12"/>
  <c r="X22" i="12"/>
  <c r="S22" i="12"/>
  <c r="R22" i="12"/>
  <c r="Y21" i="12"/>
  <c r="X21" i="12"/>
  <c r="S21" i="12"/>
  <c r="R21" i="12"/>
  <c r="L21" i="12"/>
  <c r="L22" i="12" s="1"/>
  <c r="K21" i="12"/>
  <c r="K22" i="12" s="1"/>
  <c r="AA20" i="12"/>
  <c r="Z20" i="12"/>
  <c r="Y20" i="12"/>
  <c r="X20" i="12"/>
  <c r="S20" i="12"/>
  <c r="R20" i="12"/>
  <c r="AA19" i="12"/>
  <c r="Z19" i="12"/>
  <c r="Y19" i="12"/>
  <c r="X19" i="12"/>
  <c r="S19" i="12"/>
  <c r="R19" i="12"/>
  <c r="Y18" i="12"/>
  <c r="X18" i="12"/>
  <c r="S18" i="12"/>
  <c r="R18" i="12"/>
  <c r="L18" i="12"/>
  <c r="L19" i="12" s="1"/>
  <c r="K18" i="12"/>
  <c r="K19" i="12" s="1"/>
  <c r="AA17" i="12"/>
  <c r="Z17" i="12"/>
  <c r="Y17" i="12"/>
  <c r="X17" i="12"/>
  <c r="S17" i="12"/>
  <c r="R17" i="12"/>
  <c r="Y16" i="12"/>
  <c r="X16" i="12"/>
  <c r="S16" i="12"/>
  <c r="R16" i="12"/>
  <c r="AA15" i="12"/>
  <c r="Z15" i="12"/>
  <c r="Y15" i="12"/>
  <c r="X15" i="12"/>
  <c r="S15" i="12"/>
  <c r="R15" i="12"/>
  <c r="L15" i="12"/>
  <c r="L16" i="12" s="1"/>
  <c r="K15" i="12"/>
  <c r="K16" i="12" s="1"/>
  <c r="AA14" i="12"/>
  <c r="Z14" i="12"/>
  <c r="Y14" i="12"/>
  <c r="X14" i="12"/>
  <c r="S14" i="12"/>
  <c r="R14" i="12"/>
  <c r="Y13" i="12"/>
  <c r="X13" i="12"/>
  <c r="S13" i="12"/>
  <c r="R13" i="12"/>
  <c r="AA12" i="12"/>
  <c r="Z12" i="12"/>
  <c r="Y12" i="12"/>
  <c r="X12" i="12"/>
  <c r="S12" i="12"/>
  <c r="R12" i="12"/>
  <c r="L12" i="12"/>
  <c r="L13" i="12" s="1"/>
  <c r="K12" i="12"/>
  <c r="K13" i="12" s="1"/>
  <c r="Y11" i="12"/>
  <c r="X11" i="12"/>
  <c r="S11" i="12"/>
  <c r="R11" i="12"/>
  <c r="Y10" i="12"/>
  <c r="X10" i="12"/>
  <c r="S10" i="12"/>
  <c r="R10" i="12"/>
  <c r="Y9" i="12"/>
  <c r="X9" i="12"/>
  <c r="S9" i="12"/>
  <c r="R9" i="12"/>
  <c r="L9" i="12"/>
  <c r="L10" i="12" s="1"/>
  <c r="K9" i="12"/>
  <c r="K10" i="12" s="1"/>
  <c r="M10" i="12" s="1"/>
  <c r="AA8" i="12"/>
  <c r="Z8" i="12"/>
  <c r="Y8" i="12"/>
  <c r="X8" i="12"/>
  <c r="S8" i="12"/>
  <c r="R8" i="12"/>
  <c r="AA7" i="12"/>
  <c r="Z7" i="12"/>
  <c r="Y7" i="12"/>
  <c r="X7" i="12"/>
  <c r="AA6" i="12"/>
  <c r="Z6" i="12"/>
  <c r="Y6" i="12"/>
  <c r="X6" i="12"/>
  <c r="L6" i="12"/>
  <c r="L7" i="12" s="1"/>
  <c r="K6" i="12"/>
  <c r="K7" i="12" s="1"/>
  <c r="F1" i="12"/>
  <c r="M33" i="12" l="1"/>
  <c r="G23" i="12" s="1"/>
  <c r="M22" i="12"/>
  <c r="F30" i="12" s="1"/>
  <c r="H15" i="26"/>
  <c r="C19" i="26" s="1"/>
  <c r="C58" i="26" s="1"/>
  <c r="M36" i="12"/>
  <c r="F37" i="12" s="1"/>
  <c r="D15" i="26"/>
  <c r="C49" i="26"/>
  <c r="D47" i="26" s="1"/>
  <c r="C8" i="24"/>
  <c r="C48" i="24" s="1"/>
  <c r="C15" i="24"/>
  <c r="C55" i="24" s="1"/>
  <c r="C9" i="24"/>
  <c r="C49" i="24" s="1"/>
  <c r="H30" i="26"/>
  <c r="D31" i="26"/>
  <c r="H31" i="26" s="1"/>
  <c r="M7" i="12"/>
  <c r="G9" i="12" s="1"/>
  <c r="G10" i="12" s="1"/>
  <c r="M16" i="12"/>
  <c r="F21" i="12" s="1"/>
  <c r="F38" i="14"/>
  <c r="F39" i="14" s="1"/>
  <c r="F41" i="14" s="1"/>
  <c r="C20" i="13"/>
  <c r="C23" i="13"/>
  <c r="C24" i="13" s="1"/>
  <c r="M38" i="12"/>
  <c r="G53" i="12" s="1"/>
  <c r="M34" i="12"/>
  <c r="G27" i="12" s="1"/>
  <c r="M37" i="12"/>
  <c r="H41" i="12" s="1"/>
  <c r="M13" i="12"/>
  <c r="M19" i="12"/>
  <c r="F13" i="12" s="1"/>
  <c r="M32" i="12"/>
  <c r="F11" i="12" s="1"/>
  <c r="AA11" i="12" s="1"/>
  <c r="M28" i="12"/>
  <c r="G56" i="12" s="1"/>
  <c r="C35" i="13"/>
  <c r="G43" i="12"/>
  <c r="F43" i="12"/>
  <c r="Z55" i="12"/>
  <c r="H55" i="12"/>
  <c r="G42" i="12"/>
  <c r="G37" i="12" l="1"/>
  <c r="G39" i="12" s="1"/>
  <c r="G30" i="12"/>
  <c r="F23" i="12"/>
  <c r="Z23" i="12" s="1"/>
  <c r="G41" i="12"/>
  <c r="F53" i="12"/>
  <c r="AA53" i="12" s="1"/>
  <c r="F41" i="12"/>
  <c r="AA41" i="12" s="1"/>
  <c r="H32" i="26"/>
  <c r="C35" i="26" s="1"/>
  <c r="C59" i="26" s="1"/>
  <c r="F27" i="12"/>
  <c r="F9" i="12"/>
  <c r="F40" i="12" s="1"/>
  <c r="AA40" i="12" s="1"/>
  <c r="H47" i="26"/>
  <c r="D32" i="26"/>
  <c r="G21" i="12"/>
  <c r="C11" i="24"/>
  <c r="C51" i="24" s="1"/>
  <c r="C59" i="24" s="1"/>
  <c r="D48" i="26"/>
  <c r="H48" i="26" s="1"/>
  <c r="C21" i="13"/>
  <c r="C37" i="13"/>
  <c r="G11" i="12"/>
  <c r="G13" i="12"/>
  <c r="F56" i="12"/>
  <c r="Z56" i="12" s="1"/>
  <c r="Z11" i="12"/>
  <c r="G40" i="12"/>
  <c r="Z43" i="12"/>
  <c r="AA43" i="12"/>
  <c r="G57" i="12"/>
  <c r="F39" i="12"/>
  <c r="Z37" i="12"/>
  <c r="AA37" i="12"/>
  <c r="AA30" i="12"/>
  <c r="Z30" i="12"/>
  <c r="H42" i="12"/>
  <c r="Z13" i="12"/>
  <c r="AA13" i="12"/>
  <c r="AA21" i="12"/>
  <c r="Z21" i="12"/>
  <c r="C45" i="24" l="1"/>
  <c r="H52" i="24" s="1"/>
  <c r="L65" i="24"/>
  <c r="L69" i="24" s="1"/>
  <c r="N65" i="24"/>
  <c r="N69" i="24" s="1"/>
  <c r="M65" i="24"/>
  <c r="M69" i="24" s="1"/>
  <c r="G32" i="12"/>
  <c r="F32" i="12"/>
  <c r="AA32" i="12" s="1"/>
  <c r="AA23" i="12"/>
  <c r="Z53" i="12"/>
  <c r="Z40" i="12"/>
  <c r="G16" i="12"/>
  <c r="G18" i="12" s="1"/>
  <c r="Z9" i="12"/>
  <c r="AA9" i="12"/>
  <c r="Z41" i="12"/>
  <c r="Z27" i="12"/>
  <c r="AA27" i="12"/>
  <c r="H49" i="26"/>
  <c r="C52" i="26" s="1"/>
  <c r="C60" i="26" s="1"/>
  <c r="D49" i="26"/>
  <c r="C19" i="24"/>
  <c r="C5" i="24" s="1"/>
  <c r="E59" i="26"/>
  <c r="D59" i="26"/>
  <c r="AA56" i="12"/>
  <c r="F57" i="12"/>
  <c r="AA57" i="12" s="1"/>
  <c r="AA39" i="12"/>
  <c r="Z39" i="12"/>
  <c r="F44" i="12"/>
  <c r="G44" i="12"/>
  <c r="G52" i="24" l="1"/>
  <c r="F52" i="24"/>
  <c r="M52" i="24"/>
  <c r="M55" i="24" s="1"/>
  <c r="N52" i="24"/>
  <c r="N55" i="24" s="1"/>
  <c r="L52" i="24"/>
  <c r="L55" i="24" s="1"/>
  <c r="Z32" i="12"/>
  <c r="Z57" i="12"/>
  <c r="E60" i="26"/>
  <c r="D60" i="26"/>
  <c r="P15" i="24"/>
  <c r="P17" i="24" s="1"/>
  <c r="Q15" i="24"/>
  <c r="R15" i="24"/>
  <c r="G33" i="12"/>
  <c r="U18" i="12" s="1"/>
  <c r="G46" i="12"/>
  <c r="Z44" i="12"/>
  <c r="F46" i="12"/>
  <c r="AA44" i="12"/>
  <c r="U44" i="12" l="1"/>
  <c r="U46" i="12"/>
  <c r="G58" i="12"/>
  <c r="AA46" i="12"/>
  <c r="Z46" i="12"/>
  <c r="F58" i="12"/>
  <c r="U38" i="12"/>
  <c r="U31" i="12"/>
  <c r="U22" i="12"/>
  <c r="U14" i="12"/>
  <c r="U12" i="12"/>
  <c r="U68" i="12"/>
  <c r="U65" i="12"/>
  <c r="U61" i="12"/>
  <c r="U52" i="12"/>
  <c r="U48" i="12"/>
  <c r="U19" i="12"/>
  <c r="U34" i="12"/>
  <c r="U35" i="12"/>
  <c r="U28" i="12"/>
  <c r="U66" i="12"/>
  <c r="U62" i="12"/>
  <c r="U54" i="12"/>
  <c r="U49" i="12"/>
  <c r="U33" i="12"/>
  <c r="U24" i="12"/>
  <c r="U17" i="12"/>
  <c r="U15" i="12"/>
  <c r="U36" i="12"/>
  <c r="U25" i="12"/>
  <c r="U20" i="12"/>
  <c r="U67" i="12"/>
  <c r="U63" i="12"/>
  <c r="U59" i="12"/>
  <c r="U50" i="12"/>
  <c r="U45" i="12"/>
  <c r="U60" i="12"/>
  <c r="U29" i="12"/>
  <c r="U26" i="12"/>
  <c r="U51" i="12"/>
  <c r="U64" i="12"/>
  <c r="U47" i="12"/>
  <c r="U8" i="12"/>
  <c r="U55" i="12"/>
  <c r="U21" i="12"/>
  <c r="U11" i="12"/>
  <c r="U32" i="12"/>
  <c r="U56" i="12"/>
  <c r="U27" i="12"/>
  <c r="U37" i="12"/>
  <c r="U43" i="12"/>
  <c r="U53" i="12"/>
  <c r="U23" i="12"/>
  <c r="U42" i="12"/>
  <c r="U41" i="12"/>
  <c r="U13" i="12"/>
  <c r="U30" i="12"/>
  <c r="U9" i="12"/>
  <c r="U40" i="12"/>
  <c r="U10" i="12"/>
  <c r="U57" i="12"/>
  <c r="U39" i="12"/>
  <c r="U16" i="12"/>
  <c r="Z58" i="12" l="1"/>
  <c r="F69" i="12"/>
  <c r="AA58" i="12"/>
  <c r="G69" i="12"/>
  <c r="U69" i="12" s="1"/>
  <c r="U58" i="12"/>
  <c r="AA69" i="12" l="1"/>
  <c r="Z69" i="12"/>
  <c r="F2" i="12" l="1"/>
  <c r="H21" i="12" l="1"/>
  <c r="H13" i="12"/>
  <c r="H56" i="12"/>
  <c r="H23" i="12"/>
  <c r="H9" i="12"/>
  <c r="H37" i="12"/>
  <c r="H43" i="12"/>
  <c r="H11" i="12"/>
  <c r="H27" i="12"/>
  <c r="H30" i="12"/>
  <c r="H53" i="12"/>
  <c r="D8" i="13" l="1"/>
  <c r="F10" i="12"/>
  <c r="E8" i="13"/>
  <c r="F8" i="13"/>
  <c r="H32" i="12"/>
  <c r="H39" i="12"/>
  <c r="H57" i="12"/>
  <c r="H10" i="12"/>
  <c r="H16" i="12" s="1"/>
  <c r="H40" i="12"/>
  <c r="AA10" i="12" l="1"/>
  <c r="Z10" i="12"/>
  <c r="F16" i="12"/>
  <c r="D15" i="13"/>
  <c r="F15" i="13"/>
  <c r="E15" i="13"/>
  <c r="H18" i="12"/>
  <c r="H44" i="12"/>
  <c r="H46" i="12" s="1"/>
  <c r="J8" i="24" l="1"/>
  <c r="AA16" i="12"/>
  <c r="F18" i="12"/>
  <c r="Z16" i="12"/>
  <c r="H58" i="12"/>
  <c r="H33" i="12"/>
  <c r="V46" i="12" s="1"/>
  <c r="R7" i="24" l="1"/>
  <c r="R9" i="24" s="1"/>
  <c r="R11" i="24" s="1"/>
  <c r="J10" i="24"/>
  <c r="V18" i="12"/>
  <c r="AA18" i="12"/>
  <c r="Z18" i="12"/>
  <c r="F33" i="12"/>
  <c r="T18" i="12" s="1"/>
  <c r="H69" i="12"/>
  <c r="V69" i="12" s="1"/>
  <c r="V58" i="12"/>
  <c r="V44" i="12"/>
  <c r="V59" i="12"/>
  <c r="V25" i="12"/>
  <c r="V64" i="12"/>
  <c r="V8" i="12"/>
  <c r="V19" i="12"/>
  <c r="V14" i="12"/>
  <c r="V68" i="12"/>
  <c r="V54" i="12"/>
  <c r="V49" i="12"/>
  <c r="V51" i="12"/>
  <c r="V17" i="12"/>
  <c r="V42" i="12"/>
  <c r="V15" i="12"/>
  <c r="V36" i="12"/>
  <c r="V50" i="12"/>
  <c r="V20" i="12"/>
  <c r="V38" i="12"/>
  <c r="V55" i="12"/>
  <c r="V61" i="12"/>
  <c r="V28" i="12"/>
  <c r="V52" i="12"/>
  <c r="V48" i="12"/>
  <c r="V63" i="12"/>
  <c r="V34" i="12"/>
  <c r="V29" i="12"/>
  <c r="V22" i="12"/>
  <c r="V24" i="12"/>
  <c r="V66" i="12"/>
  <c r="V62" i="12"/>
  <c r="V33" i="12"/>
  <c r="V65" i="12"/>
  <c r="V45" i="12"/>
  <c r="V35" i="12"/>
  <c r="V41" i="12"/>
  <c r="V67" i="12"/>
  <c r="V26" i="12"/>
  <c r="V12" i="12"/>
  <c r="V47" i="12"/>
  <c r="V31" i="12"/>
  <c r="V60" i="12"/>
  <c r="V9" i="12"/>
  <c r="V11" i="12"/>
  <c r="V56" i="12"/>
  <c r="V37" i="12"/>
  <c r="V43" i="12"/>
  <c r="V23" i="12"/>
  <c r="V13" i="12"/>
  <c r="V21" i="12"/>
  <c r="V53" i="12"/>
  <c r="V30" i="12"/>
  <c r="V27" i="12"/>
  <c r="V40" i="12"/>
  <c r="V57" i="12"/>
  <c r="V10" i="12"/>
  <c r="V16" i="12"/>
  <c r="V32" i="12"/>
  <c r="V39" i="12"/>
  <c r="P22" i="24" l="1"/>
  <c r="H15" i="24"/>
  <c r="E5" i="13"/>
  <c r="F5" i="13"/>
  <c r="Z33" i="12"/>
  <c r="T36" i="12"/>
  <c r="T17" i="12"/>
  <c r="T51" i="12"/>
  <c r="T9" i="12"/>
  <c r="T52" i="12"/>
  <c r="T68" i="12"/>
  <c r="T14" i="12"/>
  <c r="T37" i="12"/>
  <c r="T20" i="12"/>
  <c r="T40" i="12"/>
  <c r="T66" i="12"/>
  <c r="T63" i="12"/>
  <c r="T56" i="12"/>
  <c r="T62" i="12"/>
  <c r="T44" i="12"/>
  <c r="T54" i="12"/>
  <c r="T47" i="12"/>
  <c r="T32" i="12"/>
  <c r="T49" i="12"/>
  <c r="T23" i="12"/>
  <c r="T65" i="12"/>
  <c r="T64" i="12"/>
  <c r="T39" i="12"/>
  <c r="T33" i="12"/>
  <c r="T67" i="12"/>
  <c r="T57" i="12"/>
  <c r="T24" i="12"/>
  <c r="T34" i="12"/>
  <c r="T15" i="12"/>
  <c r="T59" i="12"/>
  <c r="T13" i="12"/>
  <c r="T48" i="12"/>
  <c r="T22" i="12"/>
  <c r="T45" i="12"/>
  <c r="T41" i="12"/>
  <c r="T25" i="12"/>
  <c r="T50" i="12"/>
  <c r="T8" i="12"/>
  <c r="T12" i="12"/>
  <c r="AA33" i="12"/>
  <c r="T55" i="12"/>
  <c r="T46" i="12"/>
  <c r="T35" i="12"/>
  <c r="T11" i="12"/>
  <c r="T28" i="12"/>
  <c r="T29" i="12"/>
  <c r="T30" i="12"/>
  <c r="T38" i="12"/>
  <c r="T27" i="12"/>
  <c r="T31" i="12"/>
  <c r="T26" i="12"/>
  <c r="T42" i="12"/>
  <c r="T53" i="12"/>
  <c r="T61" i="12"/>
  <c r="T21" i="12"/>
  <c r="T19" i="12"/>
  <c r="T60" i="12"/>
  <c r="T43" i="12"/>
  <c r="T58" i="12"/>
  <c r="T69" i="12"/>
  <c r="T10" i="12"/>
  <c r="T16" i="12"/>
  <c r="E4" i="6" l="1"/>
  <c r="D4" i="6"/>
  <c r="L6" i="6"/>
  <c r="L4" i="6"/>
  <c r="K41" i="12" l="1"/>
  <c r="K42" i="12" s="1"/>
  <c r="C175" i="28"/>
  <c r="L41" i="12"/>
  <c r="L42" i="12" s="1"/>
  <c r="D175" i="28"/>
  <c r="M42" i="12"/>
  <c r="D186" i="28" l="1"/>
  <c r="D176" i="28"/>
  <c r="D190" i="28" s="1"/>
  <c r="D192" i="28" s="1"/>
  <c r="D184" i="28"/>
  <c r="D185" i="28"/>
  <c r="C176" i="28"/>
  <c r="C190" i="28" s="1"/>
  <c r="C192" i="28" s="1"/>
  <c r="C184" i="28"/>
  <c r="C186" i="28"/>
  <c r="C185" i="28"/>
  <c r="G4" i="6"/>
  <c r="F175" i="28" s="1"/>
  <c r="F176" i="28" l="1"/>
  <c r="F190" i="28" s="1"/>
  <c r="F192" i="28" s="1"/>
  <c r="F185" i="28"/>
  <c r="F186" i="28"/>
  <c r="F184" i="28"/>
  <c r="O41" i="12"/>
  <c r="H4" i="6"/>
  <c r="G175" i="28" s="1"/>
  <c r="G176" i="28" l="1"/>
  <c r="G190" i="28" s="1"/>
  <c r="G192" i="28" s="1"/>
  <c r="G185" i="28"/>
  <c r="G186" i="28"/>
  <c r="G184" i="28"/>
  <c r="E6" i="13"/>
  <c r="E23" i="13" s="1"/>
  <c r="E24" i="13" s="1"/>
  <c r="D6" i="13"/>
  <c r="D23" i="13" s="1"/>
  <c r="D24" i="13" s="1"/>
  <c r="P41" i="12"/>
  <c r="F6" i="13" l="1"/>
  <c r="F23" i="13" l="1"/>
  <c r="F24" i="13" s="1"/>
  <c r="F20" i="13"/>
  <c r="F21" i="13" l="1"/>
  <c r="D5" i="13" l="1"/>
  <c r="D33" i="13" l="1"/>
  <c r="E33" i="13" l="1"/>
  <c r="D34" i="13"/>
  <c r="D35" i="13" s="1"/>
  <c r="F33" i="13" l="1"/>
  <c r="E34" i="13"/>
  <c r="E35" i="13" s="1"/>
  <c r="F34" i="13" l="1"/>
  <c r="F35" i="13" s="1"/>
  <c r="F37" i="13" s="1"/>
  <c r="E7" i="13" l="1"/>
  <c r="E20" i="13" s="1"/>
  <c r="E21" i="13" s="1"/>
  <c r="D7" i="13"/>
  <c r="D20" i="13" s="1"/>
  <c r="D21" i="13" s="1"/>
  <c r="E37" i="13" l="1"/>
  <c r="D37" i="13"/>
  <c r="D39" i="13" s="1"/>
  <c r="E38" i="13" s="1"/>
  <c r="I8" i="24" l="1"/>
  <c r="H8" i="24"/>
  <c r="E39" i="13"/>
  <c r="F38" i="13" s="1"/>
  <c r="F39" i="13" s="1"/>
  <c r="Q32" i="28" l="1"/>
  <c r="R32" i="28"/>
  <c r="E40" i="28"/>
  <c r="P7" i="24"/>
  <c r="P9" i="24" s="1"/>
  <c r="P11" i="24" s="1"/>
  <c r="P12" i="24" s="1"/>
  <c r="Q6" i="24" s="1"/>
  <c r="H10" i="24"/>
  <c r="Q7" i="24"/>
  <c r="Q9" i="24" s="1"/>
  <c r="Q11" i="24" s="1"/>
  <c r="I10" i="24"/>
  <c r="N5" i="15"/>
  <c r="R40" i="28" l="1"/>
  <c r="Q40" i="28"/>
  <c r="E42" i="28"/>
  <c r="H14" i="24"/>
  <c r="Q16" i="24"/>
  <c r="Q12" i="24"/>
  <c r="R6" i="24" s="1"/>
  <c r="Q14" i="24"/>
  <c r="C29" i="15"/>
  <c r="C30" i="15" s="1"/>
  <c r="D27" i="15"/>
  <c r="D28" i="15" s="1"/>
  <c r="C29" i="16"/>
  <c r="N5" i="16"/>
  <c r="F32" i="28"/>
  <c r="E161" i="28" l="1"/>
  <c r="E159" i="28"/>
  <c r="E160" i="28"/>
  <c r="S32" i="28"/>
  <c r="T32" i="28"/>
  <c r="R42" i="28"/>
  <c r="Q42" i="28"/>
  <c r="F40" i="28"/>
  <c r="E57" i="28"/>
  <c r="Q17" i="24"/>
  <c r="Q18" i="24" s="1"/>
  <c r="H16" i="24"/>
  <c r="H19" i="24" s="1"/>
  <c r="C26" i="24" s="1"/>
  <c r="I14" i="24"/>
  <c r="I15" i="24"/>
  <c r="R12" i="24"/>
  <c r="P23" i="24" s="1"/>
  <c r="P24" i="24" s="1"/>
  <c r="P26" i="24" s="1"/>
  <c r="R16" i="24"/>
  <c r="R14" i="24"/>
  <c r="C30" i="16"/>
  <c r="P4" i="16" s="1" a="1"/>
  <c r="P4" i="16" s="1"/>
  <c r="G32" i="28"/>
  <c r="P6" i="15" a="1"/>
  <c r="P6" i="15" s="1"/>
  <c r="P4" i="15" a="1"/>
  <c r="P4" i="15" s="1"/>
  <c r="E95" i="28" l="1"/>
  <c r="C137" i="28" s="1"/>
  <c r="E177" i="28"/>
  <c r="E182" i="28"/>
  <c r="P6" i="16" a="1"/>
  <c r="P6" i="16" s="1"/>
  <c r="K43" i="28"/>
  <c r="K55" i="28"/>
  <c r="K71" i="28"/>
  <c r="K83" i="28"/>
  <c r="K58" i="28"/>
  <c r="K86" i="28"/>
  <c r="K44" i="28"/>
  <c r="K72" i="28"/>
  <c r="K84" i="28"/>
  <c r="K46" i="28"/>
  <c r="K57" i="28"/>
  <c r="K73" i="28"/>
  <c r="K85" i="28"/>
  <c r="K74" i="28"/>
  <c r="K49" i="28"/>
  <c r="K89" i="28"/>
  <c r="K38" i="28"/>
  <c r="K50" i="28"/>
  <c r="Q57" i="28"/>
  <c r="K62" i="28"/>
  <c r="K78" i="28"/>
  <c r="K36" i="28"/>
  <c r="K59" i="28"/>
  <c r="K88" i="28"/>
  <c r="K41" i="28"/>
  <c r="K39" i="28"/>
  <c r="K76" i="28"/>
  <c r="K48" i="28"/>
  <c r="R57" i="28"/>
  <c r="K60" i="28"/>
  <c r="K75" i="28"/>
  <c r="K90" i="28"/>
  <c r="K79" i="28"/>
  <c r="K52" i="28"/>
  <c r="K53" i="28"/>
  <c r="K87" i="28"/>
  <c r="K69" i="28"/>
  <c r="K66" i="28"/>
  <c r="K91" i="28"/>
  <c r="K92" i="28"/>
  <c r="K77" i="28"/>
  <c r="K61" i="28"/>
  <c r="K37" i="28"/>
  <c r="K64" i="28"/>
  <c r="K54" i="28"/>
  <c r="K47" i="28"/>
  <c r="K80" i="28"/>
  <c r="K67" i="28"/>
  <c r="K35" i="28"/>
  <c r="K63" i="28"/>
  <c r="K51" i="28"/>
  <c r="K45" i="28"/>
  <c r="O65" i="28"/>
  <c r="K33" i="28"/>
  <c r="K34" i="28"/>
  <c r="K56" i="28"/>
  <c r="K68" i="28"/>
  <c r="K81" i="28"/>
  <c r="K70" i="28"/>
  <c r="K82" i="28"/>
  <c r="K93" i="28"/>
  <c r="K32" i="28"/>
  <c r="K40" i="28"/>
  <c r="K42" i="28"/>
  <c r="V32" i="28"/>
  <c r="U32" i="28"/>
  <c r="S40" i="28"/>
  <c r="T40" i="28"/>
  <c r="G40" i="28"/>
  <c r="F42" i="28"/>
  <c r="R17" i="24"/>
  <c r="P25" i="24" s="1"/>
  <c r="P27" i="24" s="1"/>
  <c r="P29" i="24" s="1"/>
  <c r="P32" i="24" s="1"/>
  <c r="N4" i="16"/>
  <c r="O4" i="16" s="1"/>
  <c r="N9" i="16" s="1"/>
  <c r="C27" i="24"/>
  <c r="C28" i="24"/>
  <c r="E27" i="15"/>
  <c r="E28" i="15" s="1"/>
  <c r="D29" i="15"/>
  <c r="D30" i="15" s="1"/>
  <c r="N4" i="15"/>
  <c r="O4" i="15" s="1"/>
  <c r="N9" i="15" s="1"/>
  <c r="F161" i="28" l="1"/>
  <c r="F159" i="28"/>
  <c r="F160" i="28"/>
  <c r="S42" i="28"/>
  <c r="T42" i="28"/>
  <c r="U40" i="28"/>
  <c r="V40" i="28"/>
  <c r="F57" i="28"/>
  <c r="G42" i="28"/>
  <c r="S18" i="24"/>
  <c r="R18" i="24"/>
  <c r="Q29" i="24"/>
  <c r="E29" i="15"/>
  <c r="E30" i="15" s="1"/>
  <c r="D43" i="14"/>
  <c r="G161" i="28" l="1"/>
  <c r="G159" i="28"/>
  <c r="G160" i="28"/>
  <c r="F95" i="28"/>
  <c r="D137" i="28" s="1"/>
  <c r="F177" i="28"/>
  <c r="F182" i="28"/>
  <c r="U42" i="28"/>
  <c r="V42" i="28"/>
  <c r="L41" i="28"/>
  <c r="L53" i="28"/>
  <c r="L69" i="28"/>
  <c r="L73" i="28"/>
  <c r="L85" i="28"/>
  <c r="L43" i="28"/>
  <c r="L55" i="28"/>
  <c r="L71" i="28"/>
  <c r="L83" i="28"/>
  <c r="L44" i="28"/>
  <c r="L72" i="28"/>
  <c r="L84" i="28"/>
  <c r="L57" i="28"/>
  <c r="L36" i="28"/>
  <c r="L48" i="28"/>
  <c r="L60" i="28"/>
  <c r="L76" i="28"/>
  <c r="L88" i="28"/>
  <c r="L49" i="28"/>
  <c r="L86" i="28"/>
  <c r="L50" i="28"/>
  <c r="L38" i="28"/>
  <c r="L89" i="28"/>
  <c r="T57" i="28"/>
  <c r="L59" i="28"/>
  <c r="L74" i="28"/>
  <c r="L39" i="28"/>
  <c r="S57" i="28"/>
  <c r="L75" i="28"/>
  <c r="L90" i="28"/>
  <c r="L46" i="28"/>
  <c r="L58" i="28"/>
  <c r="L78" i="28"/>
  <c r="L52" i="28"/>
  <c r="L62" i="28"/>
  <c r="L87" i="28"/>
  <c r="L66" i="28"/>
  <c r="L79" i="28"/>
  <c r="L91" i="28"/>
  <c r="L92" i="28"/>
  <c r="L77" i="28"/>
  <c r="L61" i="28"/>
  <c r="L34" i="28"/>
  <c r="L51" i="28"/>
  <c r="L37" i="28"/>
  <c r="L35" i="28"/>
  <c r="L67" i="28"/>
  <c r="L54" i="28"/>
  <c r="P65" i="28"/>
  <c r="L80" i="28"/>
  <c r="L45" i="28"/>
  <c r="L33" i="28"/>
  <c r="L64" i="28"/>
  <c r="L47" i="28"/>
  <c r="L63" i="28"/>
  <c r="L56" i="28"/>
  <c r="L81" i="28"/>
  <c r="L68" i="28"/>
  <c r="L70" i="28"/>
  <c r="L82" i="28"/>
  <c r="L93" i="28"/>
  <c r="L32" i="28"/>
  <c r="L40" i="28"/>
  <c r="L42" i="28"/>
  <c r="G57" i="28"/>
  <c r="G95" i="28" l="1"/>
  <c r="E137" i="28" s="1"/>
  <c r="G177" i="28"/>
  <c r="G182" i="28"/>
  <c r="M52" i="28"/>
  <c r="U57" i="28"/>
  <c r="M41" i="28"/>
  <c r="M53" i="28"/>
  <c r="V57" i="28"/>
  <c r="M69" i="28"/>
  <c r="M44" i="28"/>
  <c r="M84" i="28"/>
  <c r="M43" i="28"/>
  <c r="M55" i="28"/>
  <c r="M71" i="28"/>
  <c r="M83" i="28"/>
  <c r="M72" i="28"/>
  <c r="M59" i="28"/>
  <c r="M75" i="28"/>
  <c r="M87" i="28"/>
  <c r="M36" i="28"/>
  <c r="M48" i="28"/>
  <c r="M60" i="28"/>
  <c r="M76" i="28"/>
  <c r="M88" i="28"/>
  <c r="M46" i="28"/>
  <c r="M85" i="28"/>
  <c r="M38" i="28"/>
  <c r="M62" i="28"/>
  <c r="M73" i="28"/>
  <c r="M50" i="28"/>
  <c r="M57" i="28"/>
  <c r="M89" i="28"/>
  <c r="M86" i="28"/>
  <c r="M49" i="28"/>
  <c r="M39" i="28"/>
  <c r="M90" i="28"/>
  <c r="M74" i="28"/>
  <c r="M58" i="28"/>
  <c r="M78" i="28"/>
  <c r="M79" i="28"/>
  <c r="M66" i="28"/>
  <c r="M91" i="28"/>
  <c r="M92" i="28"/>
  <c r="M61" i="28"/>
  <c r="M77" i="28"/>
  <c r="Q65" i="28"/>
  <c r="M63" i="28"/>
  <c r="M80" i="28"/>
  <c r="M37" i="28"/>
  <c r="M54" i="28"/>
  <c r="M34" i="28"/>
  <c r="M67" i="28"/>
  <c r="M45" i="28"/>
  <c r="M47" i="28"/>
  <c r="M64" i="28"/>
  <c r="M35" i="28"/>
  <c r="M33" i="28"/>
  <c r="M51" i="28"/>
  <c r="M81" i="28"/>
  <c r="M68" i="28"/>
  <c r="M56" i="28"/>
  <c r="M70" i="28"/>
  <c r="M82" i="28"/>
  <c r="M93" i="28"/>
  <c r="M32" i="28"/>
  <c r="M40" i="28"/>
  <c r="M42" i="28"/>
  <c r="E43" i="14" l="1"/>
  <c r="F43"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K41" authorId="0" shapeId="0" xr:uid="{FC232E73-B917-459F-8912-CDC13D65F61B}">
      <text>
        <r>
          <rPr>
            <b/>
            <sz val="9"/>
            <color indexed="81"/>
            <rFont val="Tahoma"/>
            <family val="2"/>
          </rPr>
          <t>USUARIO:</t>
        </r>
        <r>
          <rPr>
            <sz val="9"/>
            <color indexed="81"/>
            <rFont val="Tahoma"/>
            <family val="2"/>
          </rPr>
          <t xml:space="preserve">
Informe de la Super -Notas Finan pp, planta y equip (PDF)</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E8" authorId="0" shapeId="0" xr:uid="{C9831E33-1BCA-4324-B51A-0236DCAF7488}">
      <text>
        <r>
          <rPr>
            <b/>
            <sz val="9"/>
            <color indexed="81"/>
            <rFont val="Tahoma"/>
            <family val="2"/>
          </rPr>
          <t>USUARIO:</t>
        </r>
        <r>
          <rPr>
            <sz val="9"/>
            <color indexed="81"/>
            <rFont val="Tahoma"/>
            <family val="2"/>
          </rPr>
          <t xml:space="preserve">
AÑO 2024</t>
        </r>
      </text>
    </comment>
    <comment ref="F8" authorId="0" shapeId="0" xr:uid="{74C93E00-BF3B-403C-A1F3-5D702B06FF83}">
      <text>
        <r>
          <rPr>
            <b/>
            <sz val="9"/>
            <color indexed="81"/>
            <rFont val="Tahoma"/>
            <family val="2"/>
          </rPr>
          <t>USUARIO:</t>
        </r>
        <r>
          <rPr>
            <sz val="9"/>
            <color indexed="81"/>
            <rFont val="Tahoma"/>
            <family val="2"/>
          </rPr>
          <t xml:space="preserve">
PROMEDIO</t>
        </r>
      </text>
    </comment>
    <comment ref="F29" authorId="0" shapeId="0" xr:uid="{B7AC3595-061D-46A6-A39F-43E76AF5915F}">
      <text>
        <r>
          <rPr>
            <b/>
            <sz val="9"/>
            <color indexed="81"/>
            <rFont val="Tahoma"/>
            <family val="2"/>
          </rPr>
          <t>USUARIO:</t>
        </r>
        <r>
          <rPr>
            <sz val="9"/>
            <color indexed="81"/>
            <rFont val="Tahoma"/>
            <family val="2"/>
          </rPr>
          <t xml:space="preserve">
Informe de Politicas Monetaria de Banrep </t>
        </r>
      </text>
    </comment>
    <comment ref="K56" authorId="0" shapeId="0" xr:uid="{6D79700E-F1EF-4E1C-8A56-A721BC110606}">
      <text>
        <r>
          <rPr>
            <b/>
            <sz val="9"/>
            <color indexed="81"/>
            <rFont val="Tahoma"/>
            <family val="2"/>
          </rPr>
          <t>USUARIO:</t>
        </r>
        <r>
          <rPr>
            <sz val="9"/>
            <color indexed="81"/>
            <rFont val="Tahoma"/>
            <family val="2"/>
          </rPr>
          <t xml:space="preserve">
Informe de la Super -Notas Finan pp, planta y equip (PDF)</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<sst xmlns="http://schemas.openxmlformats.org/spreadsheetml/2006/main" count="1050" uniqueCount="387">
  <si>
    <t>Reporte de Estado de Situación Financiera (ESF)</t>
  </si>
  <si>
    <t/>
  </si>
  <si>
    <t>NIT 811018771</t>
  </si>
  <si>
    <t>Cuentas</t>
  </si>
  <si>
    <t>Activos</t>
  </si>
  <si>
    <t>Activos corrientes</t>
  </si>
  <si>
    <t>Efectivo y equivalentes al efectivo</t>
  </si>
  <si>
    <t>Cuentas comerciales por cobrar y otras cuentas por cobrar corrientes</t>
  </si>
  <si>
    <t>Inventarios corrientes</t>
  </si>
  <si>
    <t>Activos por impuestos corrientes, corriente</t>
  </si>
  <si>
    <t>Activos biológicos corrientes</t>
  </si>
  <si>
    <t>-</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</si>
  <si>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</si>
  <si>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</si>
  <si>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</si>
  <si>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</si>
  <si>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Activos no corrientes o grupos de activos para su disposición clasificados como mantenidos para la venta o como mantenidos para distribuir a los propietarios</t>
  </si>
  <si>
    <t>Activos corrientes totales</t>
  </si>
  <si>
    <t>Activos no corrientes</t>
  </si>
  <si>
    <t>Propiedad de inversión</t>
  </si>
  <si>
    <t>Propiedades, planta y equipo</t>
  </si>
  <si>
    <t>Plusvalía</t>
  </si>
  <si>
    <t>Activos intangibles distintos de la plusvalía</t>
  </si>
  <si>
    <t>Activos biológicos no corrientes</t>
  </si>
  <si>
    <t>Cuentas comerciales por cobrar y otras cuentas por cobrar no corrientes</t>
  </si>
  <si>
    <t>Inventarios no corrientes</t>
  </si>
  <si>
    <t>Activos por impuestos diferidos</t>
  </si>
  <si>
    <t>Activos por impuestos corrientes, no corriente</t>
  </si>
  <si>
    <t>Otros activos financieros no corrientes</t>
  </si>
  <si>
    <t>Otros activos no financieros no corrientes</t>
  </si>
  <si>
    <t>Activos no corrientes distintos al efectivo pignorados como garantía colateral para las que el receptor de transferencias tiene derecho por contrato o costumbre a vender o pignorar de nuevo la garantía colateral</t>
  </si>
  <si>
    <t>Total de activos no corrientes</t>
  </si>
  <si>
    <t>Total Activos</t>
  </si>
  <si>
    <t>Patrimonio y pasivos</t>
  </si>
  <si>
    <t>Pasivos corrientes</t>
  </si>
  <si>
    <t>Provisiones corrientes</t>
  </si>
  <si>
    <t>Provisiones corrientes por beneficios a los empleados</t>
  </si>
  <si>
    <t>Otras provisiones corrientes</t>
  </si>
  <si>
    <t>Total provisiones corrientes</t>
  </si>
  <si>
    <t>Cuentas por pagar comerciales y otras cuentas por pagar corrientes</t>
  </si>
  <si>
    <t>Pasivos por impuestos corrientes, corriente</t>
  </si>
  <si>
    <t>Otros pasivos financieros corrientes</t>
  </si>
  <si>
    <t>Otros pasivos no financieros corrientes</t>
  </si>
  <si>
    <t>Total de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</si>
  <si>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</si>
  <si>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</si>
  <si>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t>
  </si>
  <si>
    <t>Provisiones no corrientes</t>
  </si>
  <si>
    <t>Provisiones no corrientes por beneficios a los empleados</t>
  </si>
  <si>
    <t>Otras provisiones no corrientes</t>
  </si>
  <si>
    <t>Total provisiones no corrientes</t>
  </si>
  <si>
    <t>Cuentas comerciales por pagar y otras cuentas por pagar no corrientes</t>
  </si>
  <si>
    <t>Pasivo por impuestos diferidos</t>
  </si>
  <si>
    <t>Pasivos por impuestos corrientes, no corriente</t>
  </si>
  <si>
    <t>Otros pasivos financieros no corrientes</t>
  </si>
  <si>
    <t>Otros pasivos no financieros no corrientes</t>
  </si>
  <si>
    <t>Total de pasivos no corrientes</t>
  </si>
  <si>
    <t>Total pasivos</t>
  </si>
  <si>
    <t>Patrimonio</t>
  </si>
  <si>
    <t>Capital emitido</t>
  </si>
  <si>
    <t>Prima de emisión</t>
  </si>
  <si>
    <t>Acciones propias en cartera</t>
  </si>
  <si>
    <t>Inversión suplementaria al capital asignado</t>
  </si>
  <si>
    <t>Otras participaciones en el patrimonio</t>
  </si>
  <si>
    <t>Superavit por revaluación</t>
  </si>
  <si>
    <t>Otras reservas</t>
  </si>
  <si>
    <t>Ganancias acumuladas</t>
  </si>
  <si>
    <t>Patrimonio Total</t>
  </si>
  <si>
    <t>Total de patrimonio y pasivos</t>
  </si>
  <si>
    <t>Resultado del periodo</t>
  </si>
  <si>
    <t>Ganancia (pérdida)</t>
  </si>
  <si>
    <t>Ingresos de actividades ordinarias</t>
  </si>
  <si>
    <t>Costo de ventas</t>
  </si>
  <si>
    <t>Ganancia bruta</t>
  </si>
  <si>
    <t>Otros ingresos</t>
  </si>
  <si>
    <t>Gastos de ventas</t>
  </si>
  <si>
    <t>Gastos de administración</t>
  </si>
  <si>
    <t>Otros gastos</t>
  </si>
  <si>
    <t>Otras ganancias (pérdidas)</t>
  </si>
  <si>
    <t>Ganancia (pérdida) por actividades de operación</t>
  </si>
  <si>
    <t>Diferencia entre el importe en libros de dividendos pagaderos e importe en libros de activos distribuidos distintos al efectivo</t>
  </si>
  <si>
    <t>Ganancias (pérdidas) que surgen de la baja en cuentas de activos financieros medidos al costo amortizado</t>
  </si>
  <si>
    <t>Ingresos financieros</t>
  </si>
  <si>
    <t>Costos financieros</t>
  </si>
  <si>
    <t>Deterioro de valor de ganancias y reversión de pérdidas por deterioro de valor (pérdidas por deterioro de valor) determinado de acuerdo con la NIIF 9</t>
  </si>
  <si>
    <t>Ganancias (pérdidas) que surgen de diferencias entre el costo amortizado anterior y el valor razonable de activos financieros reclasificados de la categoría de medición costo amortizado a la categoría de medición de valor razonable con cambios en resultados</t>
  </si>
  <si>
    <t>Ganancia (pérdida) acumulada anteriormente reconocida en otro resultado integral que surge de la reclasificación de activos financieros de la categoría de medición de valor razonable con cambios en otro resultado integral a la de valor razonable con cambios en resultados</t>
  </si>
  <si>
    <t>Ganancias (pérdidas) de cobertura por cobertura de un grupo de partidas con posiciones de riesgo compensadoras</t>
  </si>
  <si>
    <t>Ganancia (pérdida), antes de impuestos</t>
  </si>
  <si>
    <t>Ingreso (gasto) por impuestos</t>
  </si>
  <si>
    <t>Ganancia (pérdida) procedente de operaciones continuadas</t>
  </si>
  <si>
    <t>Ganancia (pérdida) procedente de operaciones discontinuadas</t>
  </si>
  <si>
    <t>LIQUIDEZ</t>
  </si>
  <si>
    <t>KTNO</t>
  </si>
  <si>
    <t>OPERACIÓN</t>
  </si>
  <si>
    <t>RENTABILIDAD</t>
  </si>
  <si>
    <t>ROA</t>
  </si>
  <si>
    <t>ROE</t>
  </si>
  <si>
    <t>ENDEUDAMIENTO</t>
  </si>
  <si>
    <t>INDUCTOR DE VALOR</t>
  </si>
  <si>
    <t>Análisis % 2022</t>
  </si>
  <si>
    <t>Análisis % 2023</t>
  </si>
  <si>
    <t>Análisis % 2024</t>
  </si>
  <si>
    <t>Análisis Vertical</t>
  </si>
  <si>
    <t>Análisis% 2022</t>
  </si>
  <si>
    <t>Tasa impuesto</t>
  </si>
  <si>
    <t>Var. Absoluta 2022 -2023</t>
  </si>
  <si>
    <t>Var. Relativa 2022 -2023</t>
  </si>
  <si>
    <t>Var. Absoluta 2023 -2024</t>
  </si>
  <si>
    <t>Var. Relativa 2023 -2024</t>
  </si>
  <si>
    <t>Análisis Horizontal</t>
  </si>
  <si>
    <t>Input</t>
  </si>
  <si>
    <t>Análisis % 2025</t>
  </si>
  <si>
    <t>Análisis % 2026</t>
  </si>
  <si>
    <t>Razon  Corriente</t>
  </si>
  <si>
    <t>Razón Ácida</t>
  </si>
  <si>
    <t>Capital de Trabajo</t>
  </si>
  <si>
    <t>Días Inventario</t>
  </si>
  <si>
    <t>Días Cuentas CXC</t>
  </si>
  <si>
    <t>Mg. Utilidad Bruta</t>
  </si>
  <si>
    <t>Mg. Utilidad Operacional</t>
  </si>
  <si>
    <t>Mg. Neto Utilidad</t>
  </si>
  <si>
    <t>Ebitda</t>
  </si>
  <si>
    <t>Margen Ebitda</t>
  </si>
  <si>
    <t>Razon de Endeudamiento</t>
  </si>
  <si>
    <t>Impacto Carga Financiera (UO)</t>
  </si>
  <si>
    <t>Impacto Carga Financiera (EBITDA)</t>
  </si>
  <si>
    <t>Relacion Ebitda/ Intereses</t>
  </si>
  <si>
    <t>Productividad KTNO (PKT)</t>
  </si>
  <si>
    <t>Palanca de Crecimiento (PDC)</t>
  </si>
  <si>
    <t>Productividad Activo Fijo (PAF)</t>
  </si>
  <si>
    <t>Rentabilidad Activo Neto Operación (RAN)</t>
  </si>
  <si>
    <t>Tasa de Crecimiento Sostenible (GSR)</t>
  </si>
  <si>
    <t>Ciclo de Caja (Días)</t>
  </si>
  <si>
    <t>1. Depreciación y Amortización</t>
  </si>
  <si>
    <t>inciio</t>
  </si>
  <si>
    <t>suma</t>
  </si>
  <si>
    <t>resta</t>
  </si>
  <si>
    <t xml:space="preserve">final </t>
  </si>
  <si>
    <t>Bases Proyección</t>
  </si>
  <si>
    <t>Aumento % Vtas</t>
  </si>
  <si>
    <t>Promedio</t>
  </si>
  <si>
    <t>Mg bruto</t>
  </si>
  <si>
    <t>Otros Ingresos</t>
  </si>
  <si>
    <t>Gasto de Vtas</t>
  </si>
  <si>
    <t>Gasto Admón</t>
  </si>
  <si>
    <t>Otros Gastos</t>
  </si>
  <si>
    <t>Ing. Finan.</t>
  </si>
  <si>
    <t>Gasto de Int.</t>
  </si>
  <si>
    <t>Prestamo Bancario</t>
  </si>
  <si>
    <t>Tasa de Interes</t>
  </si>
  <si>
    <t>Intereses</t>
  </si>
  <si>
    <t>Utilidad antes de Imp.</t>
  </si>
  <si>
    <t>Impuesto sobre la Rta.</t>
  </si>
  <si>
    <t>Tasa de Imp.</t>
  </si>
  <si>
    <t>CxC</t>
  </si>
  <si>
    <t>Días CxC</t>
  </si>
  <si>
    <t>Inventarios</t>
  </si>
  <si>
    <t>Días de Inv.</t>
  </si>
  <si>
    <t>Proyección</t>
  </si>
  <si>
    <t>CxP</t>
  </si>
  <si>
    <t>Días CxP</t>
  </si>
  <si>
    <t>Propiedad, Planta y Equipo</t>
  </si>
  <si>
    <t>% Vta</t>
  </si>
  <si>
    <t>Otros Act. Finan. Corr.</t>
  </si>
  <si>
    <t>Otros Act No Finan. No Cte.</t>
  </si>
  <si>
    <t>Otros Pas No Finan. Cte</t>
  </si>
  <si>
    <t>Otros Pas. No Finan. No Ctes</t>
  </si>
  <si>
    <t>Estado de Flujo de Efectivo al</t>
  </si>
  <si>
    <t>ACTIVIDADES DE OPERACIÓN</t>
  </si>
  <si>
    <t>PRONÓSTICO</t>
  </si>
  <si>
    <t>Utilidad Neta</t>
  </si>
  <si>
    <t>(+) Depreciación</t>
  </si>
  <si>
    <t>Efectivo Proveniente de las Operaciones</t>
  </si>
  <si>
    <t>ACTIVIDADES DE INVERSIÓN</t>
  </si>
  <si>
    <t>(-) Cambios en Propiedad, Planta y Equipo</t>
  </si>
  <si>
    <t>Efectivo Utilizado para Adquisición de Activos</t>
  </si>
  <si>
    <t>ACTIVIDADES DE FINANCIAMIENTO</t>
  </si>
  <si>
    <t>(-) Dividendos</t>
  </si>
  <si>
    <t>Efectivo Utilizado en Actividades de Financiamiento</t>
  </si>
  <si>
    <t>FLUJO DE EFECTIVO NETO</t>
  </si>
  <si>
    <t>Efectivo al Inicio del Período</t>
  </si>
  <si>
    <t>Efectivo al Final del Período</t>
  </si>
  <si>
    <t>Diferencia</t>
  </si>
  <si>
    <t>dividendo= utilidad retenida  del periodo anterior + utilidad neta del ejercicio - utilidad retenida del periodo actual</t>
  </si>
  <si>
    <t xml:space="preserve"> 2023 - 2024</t>
  </si>
  <si>
    <t xml:space="preserve"> 2024 - 2025</t>
  </si>
  <si>
    <t xml:space="preserve"> 2025 - 2026</t>
  </si>
  <si>
    <t>Gastos de Depreciación</t>
  </si>
  <si>
    <t>Depreciación % PP&amp;E</t>
  </si>
  <si>
    <t>REAL</t>
  </si>
  <si>
    <t xml:space="preserve"> 2022 -  2023</t>
  </si>
  <si>
    <t>(-) Cambios en Activos por impuestos corrientes</t>
  </si>
  <si>
    <t>Activo</t>
  </si>
  <si>
    <t>Pasivos</t>
  </si>
  <si>
    <t>(+) Cambios en Cuentas por Cobrar</t>
  </si>
  <si>
    <t>(+) Cambios en Inventarios</t>
  </si>
  <si>
    <t>(+) Cambios en Otros activos financieros corrientes</t>
  </si>
  <si>
    <t>(-) Cambios en Activos intangibles distintos de la plusvalía</t>
  </si>
  <si>
    <t>(+) Cambios en Activos por impuestos diferidos</t>
  </si>
  <si>
    <t>(-) Cambios en Otros activos no financieros no corrientes</t>
  </si>
  <si>
    <t>(-) Cambios Provisiones corrientes por beneficios a los empleados</t>
  </si>
  <si>
    <t>(-) Cambios en Cuentas por Pagar</t>
  </si>
  <si>
    <t>(+) Cambios Pasivos por impuestos corrientes</t>
  </si>
  <si>
    <t>(-) Cambios Otros pasivos no financieros corrientes</t>
  </si>
  <si>
    <t>(-) Cambios Pasivo por impuestos diferidos</t>
  </si>
  <si>
    <t>(-) Cambios Otros pasivos no financieros no corrientes</t>
  </si>
  <si>
    <t>Al final</t>
  </si>
  <si>
    <t>Deuda Finan/ Ebitda</t>
  </si>
  <si>
    <t>Que % de este flujo se va tomar para disminuir deuda</t>
  </si>
  <si>
    <t>Bases de Proyección</t>
  </si>
  <si>
    <t>Interes/Deuda Finan</t>
  </si>
  <si>
    <t>Disminución de la deuda %</t>
  </si>
  <si>
    <t>(+) Otras reservas</t>
  </si>
  <si>
    <t>(+) Superavit por revaluación</t>
  </si>
  <si>
    <t>(+) Prima de emisión</t>
  </si>
  <si>
    <t>(+) Capital emitido</t>
  </si>
  <si>
    <t>(+) Otros pasivos financieros no corrientes</t>
  </si>
  <si>
    <t>(-) Otros pasivos financieros corrientes</t>
  </si>
  <si>
    <t>(+) Ganancias acumuladas</t>
  </si>
  <si>
    <t>Var. Relativa 2024 -2025</t>
  </si>
  <si>
    <t>Var. Absoluta 2025 -2026</t>
  </si>
  <si>
    <t>Var. Absoluta 2024 -2025</t>
  </si>
  <si>
    <t>Var. Relativa 2025 -2026</t>
  </si>
  <si>
    <t>Tasa de interes Proyectadas para deuda</t>
  </si>
  <si>
    <t>Ventas</t>
  </si>
  <si>
    <t>Utilidad Bruta</t>
  </si>
  <si>
    <t>Ingresos de actividades ord.</t>
  </si>
  <si>
    <t>Sólo para ventas y costo</t>
  </si>
  <si>
    <t>Diferencia del Balance</t>
  </si>
  <si>
    <t>(-) Cambio en activos intangibles distintos a la pusvalía</t>
  </si>
  <si>
    <t>Utilidad neta</t>
  </si>
  <si>
    <t>Flujo de efectivo actividades de operación</t>
  </si>
  <si>
    <t>(+) D&amp;A</t>
  </si>
  <si>
    <t>Flujo de efectivo actividades de inversión</t>
  </si>
  <si>
    <t>(+) Inc patrimonio diferente UN</t>
  </si>
  <si>
    <t>Flujo de efectivo actividades de financiación</t>
  </si>
  <si>
    <t>Flujo total</t>
  </si>
  <si>
    <t>Caja al inicio</t>
  </si>
  <si>
    <t>Caja final</t>
  </si>
  <si>
    <t>Caja real</t>
  </si>
  <si>
    <t>Dif</t>
  </si>
  <si>
    <t>Caja inicial 2023</t>
  </si>
  <si>
    <t>Incremento activo</t>
  </si>
  <si>
    <t>Incremento caja</t>
  </si>
  <si>
    <t>Incremento pasivo</t>
  </si>
  <si>
    <t>Incremento patrimonio</t>
  </si>
  <si>
    <t>Incremento total menos caja</t>
  </si>
  <si>
    <t>Utilidad Operativa (EBIT)</t>
  </si>
  <si>
    <t>Impuestos a la Utilidad Operativa</t>
  </si>
  <si>
    <t>Utilidad Operativa después de impuestos (NOPAT)</t>
  </si>
  <si>
    <t>Flujo de Caja Bruto</t>
  </si>
  <si>
    <t>(-) Cambios en Inventario</t>
  </si>
  <si>
    <t>(-) Cambios en Cuentas por Cobrar</t>
  </si>
  <si>
    <t>(-) Cambios en otros activos circulantes</t>
  </si>
  <si>
    <t>(+) Cambios en Cuentas por Pagar</t>
  </si>
  <si>
    <t>(+) Cambios en Otros Pasivos Circulantes</t>
  </si>
  <si>
    <t>(-) Inversión en Capital de Trabajo</t>
  </si>
  <si>
    <t>(-) CAPEX (Cambios en Activos Fijos)</t>
  </si>
  <si>
    <t>Flujo de Caja Libre a la Empresa (FCFF)</t>
  </si>
  <si>
    <t>EVA = UODI – (Activos Netos de Operación x CK)</t>
  </si>
  <si>
    <t>UODI</t>
  </si>
  <si>
    <t>Activo Neto de Operación</t>
  </si>
  <si>
    <t>Fuente</t>
  </si>
  <si>
    <t>Valor</t>
  </si>
  <si>
    <t>% Part</t>
  </si>
  <si>
    <t>Costo</t>
  </si>
  <si>
    <t>Costo Desp de Impuest</t>
  </si>
  <si>
    <t>Costo de Capital (CK)</t>
  </si>
  <si>
    <t>Pasivo</t>
  </si>
  <si>
    <t>Total</t>
  </si>
  <si>
    <t>CAPM</t>
  </si>
  <si>
    <t>Rf+ Beta  * (Rm - Rf)</t>
  </si>
  <si>
    <t>https://datosmacro.expansion.com/bono/usa?dr=2025-01</t>
  </si>
  <si>
    <t>bonos del tesoro al 31/12/2024</t>
  </si>
  <si>
    <t xml:space="preserve">Rf: </t>
  </si>
  <si>
    <t>https://pages.stern.nyu.edu/~adamodar/New_Home_Page/datafile/Betas.html</t>
  </si>
  <si>
    <t>Dato del Beta - Vestir</t>
  </si>
  <si>
    <t>Beta:</t>
  </si>
  <si>
    <t>Libro oscar leon garcia- Pag 251</t>
  </si>
  <si>
    <t>ß L = ßU [1 + (1-t)D/P]</t>
  </si>
  <si>
    <t>ßU</t>
  </si>
  <si>
    <t>T</t>
  </si>
  <si>
    <t>Dato de D/P Vestir Damodaran</t>
  </si>
  <si>
    <t>D/P</t>
  </si>
  <si>
    <t>Beta Apalancado:</t>
  </si>
  <si>
    <t>Rm:</t>
  </si>
  <si>
    <t>El índice Colcap tuvo un rendimiento de 23,61% en 2024, según BlackRock. Este índice bursátil de Colombia se posicionó entre los mejores de América Latina. </t>
  </si>
  <si>
    <t>https://www.blackrock.com/co/productos/251708/ishares-fondo-burstil-ishares-colcap-fund</t>
  </si>
  <si>
    <t>Dato de RM</t>
  </si>
  <si>
    <t>Dato Rf - TES 2034 https://www.grupoaval.com/wps/portal/grupo-aval/aval/portal-financiero/renta-fija/tes/datos-historicos</t>
  </si>
  <si>
    <t>EVA</t>
  </si>
  <si>
    <t>Año</t>
  </si>
  <si>
    <t>% Var</t>
  </si>
  <si>
    <t>Var $</t>
  </si>
  <si>
    <r>
      <t>EVA=NOPAT−(WACC×Capital invertido)EVA = NOPAT - ( WACC \times Capital \text{ invertido} )</t>
    </r>
    <r>
      <rPr>
        <sz val="12"/>
        <rFont val="Calibri"/>
        <family val="2"/>
      </rPr>
      <t>EVA=NOPAT−(WACC×Capital invertido)</t>
    </r>
  </si>
  <si>
    <t>Donde:</t>
  </si>
  <si>
    <r>
      <t>NOPAT (Net Operating Profit After Taxes)</t>
    </r>
    <r>
      <rPr>
        <sz val="12"/>
        <rFont val="Calibri"/>
        <family val="2"/>
      </rPr>
      <t>: Utilidad operativa después de impuestos, es decir, la ganancia que genera la empresa después de pagar impuestos, pero antes de intereses.</t>
    </r>
  </si>
  <si>
    <r>
      <t>WACC (Weighted Average Cost of Capital)</t>
    </r>
    <r>
      <rPr>
        <sz val="12"/>
        <rFont val="Calibri"/>
        <family val="2"/>
      </rPr>
      <t>: Costo promedio ponderado de capital, que refleja el costo de financiamiento de la empresa considerando tanto deuda como capital propio.</t>
    </r>
  </si>
  <si>
    <r>
      <t>Capital Invertido</t>
    </r>
    <r>
      <rPr>
        <sz val="12"/>
        <rFont val="Calibri"/>
        <family val="2"/>
      </rPr>
      <t>: Representa los activos operativos netos de la empresa, es decir, el capital necesario para operar el negocio.</t>
    </r>
  </si>
  <si>
    <t>Esta métrica permite evaluar si una empresa genera valor para sus accionistas al obtener un rendimiento superior al costo de capital.</t>
  </si>
  <si>
    <r>
      <t xml:space="preserve">Según el libro </t>
    </r>
    <r>
      <rPr>
        <i/>
        <sz val="12"/>
        <rFont val="Calibri"/>
        <family val="2"/>
      </rPr>
      <t>Desafíos del EVA</t>
    </r>
    <r>
      <rPr>
        <sz val="12"/>
        <rFont val="Calibri"/>
        <family val="2"/>
      </rPr>
      <t xml:space="preserve"> de Stern Stewart, el </t>
    </r>
    <r>
      <rPr>
        <b/>
        <sz val="12"/>
        <rFont val="Calibri"/>
        <family val="2"/>
      </rPr>
      <t>Valor Económico Agregado (EVA, por sus siglas en inglés)</t>
    </r>
    <r>
      <rPr>
        <sz val="12"/>
        <rFont val="Calibri"/>
        <family val="2"/>
      </rPr>
      <t xml:space="preserve"> se calcula con la siguiente fórmula:</t>
    </r>
  </si>
  <si>
    <r>
      <t xml:space="preserve">Sí, el </t>
    </r>
    <r>
      <rPr>
        <b/>
        <sz val="12"/>
        <rFont val="Calibri"/>
        <family val="2"/>
      </rPr>
      <t>Valor Económico Agregado (EVA)</t>
    </r>
    <r>
      <rPr>
        <sz val="12"/>
        <rFont val="Calibri"/>
        <family val="2"/>
      </rPr>
      <t xml:space="preserve"> puede expresarse de diferentes formas, dependiendo del enfoque que se utilice para su cálculo. Aparte de la fórmula básica dada por Stern Stewart, aquí hay algunas variaciones:</t>
    </r>
  </si>
  <si>
    <t>1. Fórmula Básica (Flujo Operativo)</t>
  </si>
  <si>
    <t>Esta es la fórmula principal y la más utilizada.</t>
  </si>
  <si>
    <t>2. Fórmula en función del ROIC (Rentabilidad sobre el Capital Invertido)</t>
  </si>
  <si>
    <r>
      <t>EVA=(ROIC−WACC)×Capital invertidoEVA = (ROIC - WACC) \times Capital \text{ invertido}</t>
    </r>
    <r>
      <rPr>
        <sz val="12"/>
        <rFont val="Calibri"/>
        <family val="2"/>
      </rPr>
      <t>EVA=(ROIC−WACC)×Capital invertido</t>
    </r>
  </si>
  <si>
    <r>
      <t>ROIC (Return on Invested Capital)</t>
    </r>
    <r>
      <rPr>
        <sz val="12"/>
        <rFont val="Calibri"/>
        <family val="2"/>
      </rPr>
      <t xml:space="preserve"> = NOPATCapital invertido\frac{NOPAT}{Capital \text{ invertido}}</t>
    </r>
    <r>
      <rPr>
        <sz val="12"/>
        <rFont val="Calibri"/>
        <family val="2"/>
      </rPr>
      <t>Capital invertidoNOPAT​</t>
    </r>
  </si>
  <si>
    <r>
      <t xml:space="preserve">Si </t>
    </r>
    <r>
      <rPr>
        <b/>
        <sz val="12"/>
        <rFont val="Calibri"/>
        <family val="2"/>
      </rPr>
      <t>ROIC &gt; WACC</t>
    </r>
    <r>
      <rPr>
        <sz val="12"/>
        <rFont val="Calibri"/>
        <family val="2"/>
      </rPr>
      <t>, la empresa está creando valor.</t>
    </r>
  </si>
  <si>
    <r>
      <t xml:space="preserve">Si </t>
    </r>
    <r>
      <rPr>
        <b/>
        <sz val="12"/>
        <rFont val="Calibri"/>
        <family val="2"/>
      </rPr>
      <t>ROIC &lt; WACC</t>
    </r>
    <r>
      <rPr>
        <sz val="12"/>
        <rFont val="Calibri"/>
        <family val="2"/>
      </rPr>
      <t>, la empresa está destruyendo valor.</t>
    </r>
  </si>
  <si>
    <t>3. Fórmula en términos del Margen Operativo y Rotación de Activos</t>
  </si>
  <si>
    <r>
      <t>EVA=(MOP×Rotacioˊn de activos−WACC)×Capital invertidoEVA = (MOP \times Rotación \text{ de activos} - WACC) \times Capital \text{ invertido}</t>
    </r>
    <r>
      <rPr>
        <sz val="12"/>
        <rFont val="Calibri"/>
        <family val="2"/>
      </rPr>
      <t>EVA=(MOP×Rotacioˊn de activos−WACC)×Capital invertido</t>
    </r>
  </si>
  <si>
    <r>
      <t>MOP (Margen Operativo Neto)</t>
    </r>
    <r>
      <rPr>
        <sz val="12"/>
        <rFont val="Calibri"/>
        <family val="2"/>
      </rPr>
      <t xml:space="preserve"> = NOPATVentas\frac{NOPAT}{Ventas}</t>
    </r>
    <r>
      <rPr>
        <sz val="12"/>
        <rFont val="Calibri"/>
        <family val="2"/>
      </rPr>
      <t>VentasNOPAT​</t>
    </r>
  </si>
  <si>
    <r>
      <t>Rotación de Activos</t>
    </r>
    <r>
      <rPr>
        <sz val="12"/>
        <rFont val="Calibri"/>
        <family val="2"/>
      </rPr>
      <t xml:space="preserve"> = VentasCapital invertido\frac{Ventas}{Capital \text{ invertido}}</t>
    </r>
    <r>
      <rPr>
        <sz val="12"/>
        <rFont val="Calibri"/>
        <family val="2"/>
      </rPr>
      <t>Capital invertidoVentas​</t>
    </r>
  </si>
  <si>
    <t>Esta versión es útil para analizar cómo la rentabilidad operativa y la eficiencia del uso de activos afectan la creación de valor.</t>
  </si>
  <si>
    <t>4. Fórmula en términos del Valor de Mercado</t>
  </si>
  <si>
    <r>
      <t>EVA=(ROE−ke)×PatrimonioEVA = (ROE - k_e) \times Patrimonio</t>
    </r>
    <r>
      <rPr>
        <sz val="12"/>
        <rFont val="Calibri"/>
        <family val="2"/>
      </rPr>
      <t>EVA=(ROE−ke​)×Patrimonio</t>
    </r>
  </si>
  <si>
    <r>
      <t>ROE (Return on Equity)</t>
    </r>
    <r>
      <rPr>
        <sz val="12"/>
        <rFont val="Calibri"/>
        <family val="2"/>
      </rPr>
      <t xml:space="preserve"> = Utilidad netaPatrimonio\frac{Utilidad\ neta}{Patrimonio}</t>
    </r>
    <r>
      <rPr>
        <sz val="12"/>
        <rFont val="Calibri"/>
        <family val="2"/>
      </rPr>
      <t>PatrimonioUtilidad neta​</t>
    </r>
  </si>
  <si>
    <r>
      <t>kek_eke​ (Costo del Capital Propio)</t>
    </r>
    <r>
      <rPr>
        <sz val="12"/>
        <rFont val="Calibri"/>
        <family val="2"/>
      </rPr>
      <t>: Rendimiento requerido por los accionistas.</t>
    </r>
  </si>
  <si>
    <t>Esta versión se enfoca en la creación de valor desde la perspectiva del accionista.</t>
  </si>
  <si>
    <t>2. Fórmula basada en spread (diferencial de rentabilidad)</t>
  </si>
  <si>
    <t>Esta versión enfatiza la diferencia entre la rentabilidad operativa y el costo del capital.</t>
  </si>
  <si>
    <t>3. EVA en términos de capital contable (perspectiva del accionista)</t>
  </si>
  <si>
    <t>Esta variante se centra en la rentabilidad generada para los accionistas.</t>
  </si>
  <si>
    <t>EVA=(ROE−Costo del Capital Propio)×Patrimonio</t>
  </si>
  <si>
    <t>EVA=(ROIC−WACC)×Capital Invertido</t>
  </si>
  <si>
    <t>Capital Invertido</t>
  </si>
  <si>
    <t>ROIC</t>
  </si>
  <si>
    <t>WACC</t>
  </si>
  <si>
    <t>Ke</t>
  </si>
  <si>
    <t>Dias CXP</t>
  </si>
  <si>
    <t>(S&amp;P500 + Prma Riesgo + MB)</t>
  </si>
  <si>
    <t>Datos en miles de pesos colombianos</t>
  </si>
  <si>
    <t>D</t>
  </si>
  <si>
    <t>Noplat</t>
  </si>
  <si>
    <t>Activos Iniciales</t>
  </si>
  <si>
    <t>E</t>
  </si>
  <si>
    <t>(+) Reposición KTNO</t>
  </si>
  <si>
    <t>%D</t>
  </si>
  <si>
    <t>(-) Reposición KTNO</t>
  </si>
  <si>
    <t>(+) Capex</t>
  </si>
  <si>
    <t>%E</t>
  </si>
  <si>
    <t>(-) Capex</t>
  </si>
  <si>
    <t>(=) Inversión Bruta</t>
  </si>
  <si>
    <t>Kd</t>
  </si>
  <si>
    <t>(=) FCL</t>
  </si>
  <si>
    <t>(-) Depreciación</t>
  </si>
  <si>
    <t>Ke (usd)</t>
  </si>
  <si>
    <t>(=) Inversión Neta</t>
  </si>
  <si>
    <t>rf</t>
  </si>
  <si>
    <t>Activos Finales</t>
  </si>
  <si>
    <t>Rm</t>
  </si>
  <si>
    <t>Concepto</t>
  </si>
  <si>
    <t>βu</t>
  </si>
  <si>
    <t>Valor Periodo Relevante</t>
  </si>
  <si>
    <t>βL</t>
  </si>
  <si>
    <t>Valor Perpetuidad</t>
  </si>
  <si>
    <t>Riesgo País</t>
  </si>
  <si>
    <t>Valor de las Operaciones</t>
  </si>
  <si>
    <t>Inflación USA</t>
  </si>
  <si>
    <t>(+) Inversiones</t>
  </si>
  <si>
    <t>Dev Esperada</t>
  </si>
  <si>
    <t>(-) Obligaciones Financieras</t>
  </si>
  <si>
    <t>EVA Incremental</t>
  </si>
  <si>
    <t>Ke (cop)</t>
  </si>
  <si>
    <t>Valor del Patrimonio</t>
  </si>
  <si>
    <t>g</t>
  </si>
  <si>
    <t>Valor Continuidad-FCL</t>
  </si>
  <si>
    <t>MULTIPLOS</t>
  </si>
  <si>
    <t>Valor Continuidad-EVA</t>
  </si>
  <si>
    <t>Valor EVA-Periodo Relevante</t>
  </si>
  <si>
    <t>EV/EBIT</t>
  </si>
  <si>
    <t>VA Continuidad EVA</t>
  </si>
  <si>
    <t>EV/EBITDA</t>
  </si>
  <si>
    <t>MVA</t>
  </si>
  <si>
    <t>EV/REVENUE</t>
  </si>
  <si>
    <t xml:space="preserve">Estado de Resultados </t>
  </si>
  <si>
    <t>Estado de Resultados</t>
  </si>
  <si>
    <t>Estado de Situación Financiera</t>
  </si>
  <si>
    <t xml:space="preserve">Estado de Flujo de Efectivo </t>
  </si>
  <si>
    <t>Diferencia Balance</t>
  </si>
  <si>
    <t xml:space="preserve">Flujo de Caja Libre </t>
  </si>
  <si>
    <t>Indicadores</t>
  </si>
  <si>
    <t>Payout Dividendios</t>
  </si>
  <si>
    <t>Tipo</t>
  </si>
  <si>
    <t xml:space="preserve">Valor Economico Agregado - EVA - Oscar León García </t>
  </si>
  <si>
    <t>Valor Economico Agregado - EVA - Stern Stewart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</si>
</sst>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 #,##0;[Red]\-&quot;$&quot;\ #,##0"/>
    <numFmt numFmtId="8" formatCode="&quot;$&quot;\ #,##0.00;[Red]\-&quot;$&quot;\ #,##0.00"/>
    <numFmt numFmtId="41" formatCode="_-* #,##0_-;\-* #,##0_-;_-* &quot;-&quot;_-;_-@_-"/>
    <numFmt numFmtId="44" formatCode="_-&quot;$&quot;\ * #,##0.00_-;\-&quot;$&quot;\ * #,##0.00_-;_-&quot;$&quot;\ * &quot;-&quot;??_-;_-@_-"/>
    <numFmt numFmtId="43" formatCode="_-* #,##0.00_-;\-* #,##0.00_-;_-* &quot;-&quot;??_-;_-@_-"/>
    <numFmt numFmtId="164" formatCode="0.0%"/>
    <numFmt numFmtId="165" formatCode="_-&quot;$&quot;\ * #,##0_-;\-&quot;$&quot;\ * #,##0_-;_-&quot;$&quot;\ * &quot;-&quot;??_-;_-@_-"/>
    <numFmt numFmtId="166" formatCode="_(* #,##0_);_(* \(#,##0\);_(* &quot;-&quot;??_);_(@_)"/>
    <numFmt numFmtId="167" formatCode="0.0"/>
    <numFmt numFmtId="168" formatCode="yyyy\-mm\-dd;@"/>
    <numFmt numFmtId="169" formatCode="_-&quot;$&quot;* #,##0.00_-;\-&quot;$&quot;* #,##0.00_-;_-&quot;$&quot;* &quot;-&quot;??_-;_-@_-"/>
    <numFmt numFmtId="170" formatCode="_-&quot;$&quot;* #,##0_-;\-&quot;$&quot;* #,##0_-;_-&quot;$&quot;* &quot;-&quot;??_-;_-@_-"/>
    <numFmt numFmtId="171" formatCode="&quot;$&quot;\ #,##0"/>
    <numFmt numFmtId="172" formatCode="_-&quot;$&quot;* #,##0.000_-;\-&quot;$&quot;* #,##0.000_-;_-&quot;$&quot;* &quot;-&quot;??_-;_-@_-"/>
    <numFmt numFmtId="173" formatCode="#,##0.0"/>
    <numFmt numFmtId="174" formatCode="_(* #,##0_);_(* \(#,##0\);_(* &quot;-&quot;_);_(@_)"/>
    <numFmt numFmtId="175" formatCode="_-* #,##0_-;\-* #,##0_-;_-* &quot;-&quot;??_-;_-@_-"/>
  </numFmts>
  <fonts count="45" x14ac:knownFonts="1">
    <font>
      <sz val="12"/>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Calibri"/>
      <family val="2"/>
    </font>
    <font>
      <b/>
      <sz val="18"/>
      <color rgb="FF003A8A"/>
      <name val="Calibri"/>
      <family val="2"/>
    </font>
    <font>
      <b/>
      <sz val="12"/>
      <name val="Calibri"/>
      <family val="2"/>
    </font>
    <font>
      <b/>
      <sz val="12"/>
      <color rgb="FFFFFFFF"/>
      <name val="Calibri"/>
      <family val="2"/>
    </font>
    <font>
      <b/>
      <sz val="12"/>
      <color rgb="FFFFFFFF"/>
      <name val="Calibri"/>
      <family val="2"/>
    </font>
    <font>
      <b/>
      <sz val="12"/>
      <color rgb="FF003A8A"/>
      <name val="Calibri"/>
      <family val="2"/>
    </font>
    <font>
      <b/>
      <sz val="12"/>
      <color rgb="FF003A8A"/>
      <name val="Calibri"/>
      <family val="2"/>
    </font>
    <font>
      <b/>
      <sz val="12"/>
      <name val="Calibri"/>
      <family val="2"/>
    </font>
    <font>
      <sz val="12"/>
      <name val="Calibri"/>
      <family val="2"/>
    </font>
    <font>
      <sz val="10"/>
      <name val="Arial"/>
      <family val="2"/>
    </font>
    <font>
      <sz val="9"/>
      <name val="Verdana"/>
      <family val="2"/>
    </font>
    <font>
      <b/>
      <sz val="9"/>
      <name val="Verdana"/>
      <family val="2"/>
    </font>
    <font>
      <sz val="9"/>
      <color indexed="8"/>
      <name val="Verdana"/>
      <family val="2"/>
    </font>
    <font>
      <sz val="11"/>
      <color indexed="8"/>
      <name val="Calibri"/>
      <family val="2"/>
    </font>
    <font>
      <sz val="11"/>
      <color indexed="60"/>
      <name val="Calibri"/>
      <family val="2"/>
    </font>
    <font>
      <b/>
      <sz val="11"/>
      <color indexed="8"/>
      <name val="Calibri"/>
      <family val="2"/>
    </font>
    <font>
      <b/>
      <sz val="9"/>
      <color theme="0"/>
      <name val="Verdana"/>
      <family val="2"/>
    </font>
    <font>
      <b/>
      <sz val="12"/>
      <color theme="0"/>
      <name val="Calibri"/>
      <family val="2"/>
    </font>
    <font>
      <sz val="12"/>
      <color theme="0"/>
      <name val="Calibri"/>
      <family val="2"/>
    </font>
    <font>
      <b/>
      <sz val="11"/>
      <color theme="1"/>
      <name val="Calibri"/>
      <family val="2"/>
      <scheme val="minor"/>
    </font>
    <font>
      <sz val="10"/>
      <color theme="1"/>
      <name val="Arial"/>
      <family val="2"/>
    </font>
    <font>
      <sz val="9"/>
      <color indexed="81"/>
      <name val="Tahoma"/>
      <family val="2"/>
    </font>
    <font>
      <b/>
      <sz val="9"/>
      <color indexed="81"/>
      <name val="Tahoma"/>
      <family val="2"/>
    </font>
    <font>
      <sz val="12"/>
      <name val="Calibri"/>
      <family val="2"/>
      <scheme val="minor"/>
    </font>
    <font>
      <sz val="12"/>
      <color theme="1"/>
      <name val="Calibri"/>
      <family val="2"/>
      <scheme val="minor"/>
    </font>
    <font>
      <b/>
      <sz val="12"/>
      <color theme="1"/>
      <name val="Calibri"/>
      <family val="2"/>
      <scheme val="minor"/>
    </font>
    <font>
      <b/>
      <sz val="12"/>
      <color theme="0" tint="-4.9989318521683403E-2"/>
      <name val="Calibri"/>
      <family val="2"/>
    </font>
    <font>
      <b/>
      <strike/>
      <sz val="12"/>
      <name val="Calibri"/>
      <family val="2"/>
    </font>
    <font>
      <b/>
      <sz val="12"/>
      <color theme="1"/>
      <name val="Calibri"/>
      <family val="2"/>
    </font>
    <font>
      <sz val="14"/>
      <color rgb="FF001D35"/>
      <name val="Arial"/>
      <family val="2"/>
    </font>
    <font>
      <i/>
      <sz val="12"/>
      <name val="Calibri"/>
      <family val="2"/>
    </font>
    <font>
      <b/>
      <sz val="13.5"/>
      <name val="Calibri"/>
      <family val="2"/>
    </font>
    <font>
      <b/>
      <sz val="11"/>
      <color theme="0"/>
      <name val="Calibri"/>
      <family val="2"/>
      <scheme val="minor"/>
    </font>
    <font>
      <sz val="11"/>
      <color theme="0" tint="-0.249977111117893"/>
      <name val="Calibri"/>
      <family val="2"/>
      <scheme val="minor"/>
    </font>
    <font>
      <sz val="11"/>
      <color theme="0" tint="-0.499984740745262"/>
      <name val="Calibri"/>
      <family val="2"/>
      <scheme val="minor"/>
    </font>
    <font>
      <sz val="11"/>
      <color rgb="FFFFDE08"/>
      <name val="Calibri"/>
      <family val="2"/>
      <scheme val="minor"/>
    </font>
    <font>
      <u/>
      <sz val="12"/>
      <color theme="10"/>
      <name val="Calibri"/>
      <family val="2"/>
    </font>
    <font>
      <sz val="11"/>
      <color theme="0"/>
      <name val="Calibri"/>
      <family val="2"/>
      <scheme val="minor"/>
    </font>
    <font>
      <b/>
      <sz val="12"/>
      <color theme="0"/>
      <name val="Calibri"/>
      <family val="2"/>
      <scheme val="minor"/>
    </font>
    <font>
      <sz val="12"/>
      <color theme="0"/>
      <name val="Calibri"/>
      <family val="2"/>
      <scheme val="minor"/>
    </font>
  </fonts>
  <fills count="20">
    <fill>
      <patternFill patternType="none"/>
    </fill>
    <fill>
      <patternFill patternType="gray125"/>
    </fill>
    <fill>
      <patternFill patternType="solid">
        <fgColor rgb="FF003A8A"/>
      </patternFill>
    </fill>
    <fill>
      <patternFill patternType="solid">
        <fgColor rgb="FF003A8A"/>
      </patternFill>
    </fill>
    <fill>
      <patternFill patternType="solid">
        <fgColor indexed="43"/>
      </patternFill>
    </fill>
    <fill>
      <patternFill patternType="solid">
        <fgColor rgb="FFFFFF00"/>
        <bgColor indexed="64"/>
      </patternFill>
    </fill>
    <fill>
      <patternFill patternType="solid">
        <fgColor theme="3" tint="-0.249977111117893"/>
        <bgColor indexed="64"/>
      </patternFill>
    </fill>
    <fill>
      <patternFill patternType="solid">
        <fgColor theme="6" tint="-0.499984740745262"/>
        <bgColor indexed="64"/>
      </patternFill>
    </fill>
    <fill>
      <patternFill patternType="solid">
        <fgColor theme="3" tint="-0.499984740745262"/>
        <bgColor indexed="64"/>
      </patternFill>
    </fill>
    <fill>
      <patternFill patternType="solid">
        <fgColor rgb="FFF2F2F2"/>
        <bgColor rgb="FFF2F2F2"/>
      </patternFill>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rgb="FF92D050"/>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2" tint="-0.499984740745262"/>
        <bgColor indexed="64"/>
      </patternFill>
    </fill>
    <fill>
      <patternFill patternType="solid">
        <fgColor theme="4" tint="-0.499984740745262"/>
        <bgColor indexed="64"/>
      </patternFill>
    </fill>
    <fill>
      <patternFill patternType="solid">
        <fgColor theme="4" tint="-0.249977111117893"/>
        <bgColor indexed="64"/>
      </patternFill>
    </fill>
  </fills>
  <borders count="26">
    <border>
      <left/>
      <right/>
      <top/>
      <bottom/>
      <diagonal/>
    </border>
    <border>
      <left/>
      <right/>
      <top/>
      <bottom/>
      <diagonal/>
    </border>
    <border>
      <left/>
      <right/>
      <top style="thin">
        <color indexed="62"/>
      </top>
      <bottom style="double">
        <color indexed="62"/>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diagonal/>
    </border>
    <border>
      <left style="hair">
        <color auto="1"/>
      </left>
      <right style="hair">
        <color auto="1"/>
      </right>
      <top style="hair">
        <color auto="1"/>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thick">
        <color indexed="9"/>
      </right>
      <top style="hair">
        <color indexed="64"/>
      </top>
      <bottom style="hair">
        <color indexed="64"/>
      </bottom>
      <diagonal/>
    </border>
    <border>
      <left/>
      <right style="hair">
        <color indexed="64"/>
      </right>
      <top/>
      <bottom/>
      <diagonal/>
    </border>
    <border>
      <left style="thin">
        <color rgb="FF000000"/>
      </left>
      <right style="thin">
        <color rgb="FF000000"/>
      </right>
      <top/>
      <bottom/>
      <diagonal/>
    </border>
    <border>
      <left/>
      <right/>
      <top/>
      <bottom style="hair">
        <color auto="1"/>
      </bottom>
      <diagonal/>
    </border>
    <border>
      <left style="hair">
        <color indexed="64"/>
      </left>
      <right/>
      <top/>
      <bottom style="hair">
        <color indexed="64"/>
      </bottom>
      <diagonal/>
    </border>
    <border>
      <left style="hair">
        <color auto="1"/>
      </left>
      <right/>
      <top style="hair">
        <color auto="1"/>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top/>
      <bottom style="double">
        <color indexed="64"/>
      </bottom>
      <diagonal/>
    </border>
  </borders>
  <cellStyleXfs count="21">
    <xf numFmtId="0" fontId="0" fillId="0" borderId="0"/>
    <xf numFmtId="44" fontId="5" fillId="0" borderId="0" applyFont="0" applyFill="0" applyBorder="0" applyAlignment="0" applyProtection="0"/>
    <xf numFmtId="9" fontId="5" fillId="0" borderId="0" applyFont="0" applyFill="0" applyBorder="0" applyAlignment="0" applyProtection="0"/>
    <xf numFmtId="0" fontId="5" fillId="0" borderId="1"/>
    <xf numFmtId="0" fontId="14" fillId="0" borderId="1"/>
    <xf numFmtId="43" fontId="14" fillId="0" borderId="1" applyFont="0" applyFill="0" applyBorder="0" applyAlignment="0" applyProtection="0"/>
    <xf numFmtId="44" fontId="14" fillId="0" borderId="1" applyFont="0" applyFill="0" applyBorder="0" applyAlignment="0" applyProtection="0"/>
    <xf numFmtId="0" fontId="19" fillId="4" borderId="1" applyNumberFormat="0" applyBorder="0" applyAlignment="0" applyProtection="0"/>
    <xf numFmtId="0" fontId="14" fillId="0" borderId="1"/>
    <xf numFmtId="0" fontId="18" fillId="0" borderId="1"/>
    <xf numFmtId="9" fontId="14" fillId="0" borderId="1" applyFont="0" applyFill="0" applyBorder="0" applyAlignment="0" applyProtection="0"/>
    <xf numFmtId="0" fontId="20" fillId="0" borderId="2" applyNumberFormat="0" applyFill="0" applyAlignment="0" applyProtection="0"/>
    <xf numFmtId="0" fontId="5" fillId="0" borderId="1"/>
    <xf numFmtId="0" fontId="4" fillId="0" borderId="1"/>
    <xf numFmtId="0" fontId="3" fillId="0" borderId="1"/>
    <xf numFmtId="169" fontId="3" fillId="0" borderId="1" applyFont="0" applyFill="0" applyBorder="0" applyAlignment="0" applyProtection="0"/>
    <xf numFmtId="0" fontId="2" fillId="0" borderId="1"/>
    <xf numFmtId="0" fontId="1" fillId="0" borderId="1"/>
    <xf numFmtId="9" fontId="1" fillId="0" borderId="1" applyFont="0" applyFill="0" applyBorder="0" applyAlignment="0" applyProtection="0"/>
    <xf numFmtId="41" fontId="1" fillId="0" borderId="1" applyFont="0" applyFill="0" applyBorder="0" applyAlignment="0" applyProtection="0"/>
    <xf numFmtId="0" fontId="41" fillId="0" borderId="0" applyNumberFormat="0" applyFill="0" applyBorder="0" applyAlignment="0" applyProtection="0"/>
  </cellStyleXfs>
  <cellXfs count="350">
    <xf numFmtId="0" fontId="0" fillId="0" borderId="0" xfId="0"/>
    <xf numFmtId="0" fontId="6" fillId="0" borderId="0" xfId="0" applyFont="1"/>
    <xf numFmtId="0" fontId="7" fillId="0" borderId="0" xfId="0" applyFont="1"/>
    <xf numFmtId="0" fontId="8" fillId="2" borderId="0" xfId="0" applyFont="1" applyFill="1"/>
    <xf numFmtId="0" fontId="7" fillId="0" borderId="1" xfId="3" applyFont="1"/>
    <xf numFmtId="0" fontId="5" fillId="0" borderId="1" xfId="3"/>
    <xf numFmtId="0" fontId="15" fillId="0" borderId="1" xfId="8" applyFont="1" applyAlignment="1">
      <alignment vertical="center"/>
    </xf>
    <xf numFmtId="166" fontId="15" fillId="0" borderId="1" xfId="5" applyNumberFormat="1" applyFont="1" applyAlignment="1">
      <alignment horizontal="center" vertical="center"/>
    </xf>
    <xf numFmtId="0" fontId="14" fillId="0" borderId="1" xfId="4"/>
    <xf numFmtId="166" fontId="16" fillId="0" borderId="1" xfId="8" applyNumberFormat="1" applyFont="1" applyAlignment="1">
      <alignment vertical="center"/>
    </xf>
    <xf numFmtId="0" fontId="17" fillId="0" borderId="1" xfId="9" applyFont="1"/>
    <xf numFmtId="164" fontId="15" fillId="0" borderId="1" xfId="10" applyNumberFormat="1" applyFont="1" applyAlignment="1">
      <alignment vertical="center"/>
    </xf>
    <xf numFmtId="1" fontId="15" fillId="0" borderId="1" xfId="10" applyNumberFormat="1" applyFont="1" applyAlignment="1">
      <alignment vertical="center"/>
    </xf>
    <xf numFmtId="10" fontId="15" fillId="0" borderId="1" xfId="10" applyNumberFormat="1" applyFont="1" applyAlignment="1">
      <alignment vertical="center"/>
    </xf>
    <xf numFmtId="0" fontId="0" fillId="0" borderId="0" xfId="0" applyAlignment="1">
      <alignment wrapText="1"/>
    </xf>
    <xf numFmtId="0" fontId="0" fillId="0" borderId="1" xfId="0" applyBorder="1"/>
    <xf numFmtId="6" fontId="0" fillId="0" borderId="1" xfId="0" applyNumberFormat="1" applyBorder="1"/>
    <xf numFmtId="14" fontId="9" fillId="0" borderId="1" xfId="0" applyNumberFormat="1" applyFont="1" applyBorder="1" applyAlignment="1">
      <alignment horizontal="center" wrapText="1"/>
    </xf>
    <xf numFmtId="0" fontId="9" fillId="3" borderId="3" xfId="0" applyFont="1" applyFill="1" applyBorder="1" applyAlignment="1">
      <alignment horizontal="center" wrapText="1"/>
    </xf>
    <xf numFmtId="14" fontId="9" fillId="3" borderId="3" xfId="0" applyNumberFormat="1" applyFont="1" applyFill="1" applyBorder="1" applyAlignment="1">
      <alignment horizontal="center" wrapText="1"/>
    </xf>
    <xf numFmtId="0" fontId="10" fillId="0" borderId="3" xfId="0" applyFont="1" applyBorder="1" applyAlignment="1">
      <alignment wrapText="1"/>
    </xf>
    <xf numFmtId="0" fontId="11" fillId="0" borderId="3" xfId="0" applyFont="1" applyBorder="1"/>
    <xf numFmtId="0" fontId="0" fillId="0" borderId="3" xfId="0" applyBorder="1"/>
    <xf numFmtId="0" fontId="0" fillId="0" borderId="3" xfId="0" applyBorder="1" applyAlignment="1">
      <alignment wrapText="1"/>
    </xf>
    <xf numFmtId="6" fontId="0" fillId="0" borderId="3" xfId="0" applyNumberFormat="1" applyBorder="1" applyAlignment="1">
      <alignment wrapText="1"/>
    </xf>
    <xf numFmtId="6" fontId="0" fillId="0" borderId="3" xfId="0" applyNumberFormat="1" applyBorder="1"/>
    <xf numFmtId="6" fontId="11" fillId="0" borderId="3" xfId="0" applyNumberFormat="1" applyFont="1" applyBorder="1"/>
    <xf numFmtId="0" fontId="0" fillId="0" borderId="1" xfId="0" applyBorder="1" applyAlignment="1">
      <alignment horizontal="center" vertical="top"/>
    </xf>
    <xf numFmtId="0" fontId="0" fillId="0" borderId="0" xfId="0" applyAlignment="1">
      <alignment horizontal="center" vertical="top"/>
    </xf>
    <xf numFmtId="0" fontId="0" fillId="0" borderId="3" xfId="0" applyBorder="1" applyAlignment="1">
      <alignment horizontal="center" vertical="center"/>
    </xf>
    <xf numFmtId="10" fontId="0" fillId="0" borderId="3" xfId="2" applyNumberFormat="1" applyFont="1" applyBorder="1" applyAlignment="1">
      <alignment horizontal="center" vertical="center"/>
    </xf>
    <xf numFmtId="0" fontId="5" fillId="0" borderId="3" xfId="3" applyBorder="1"/>
    <xf numFmtId="10" fontId="5" fillId="0" borderId="3" xfId="2" applyNumberFormat="1" applyBorder="1"/>
    <xf numFmtId="0" fontId="8" fillId="3" borderId="1" xfId="3" applyFont="1" applyFill="1" applyAlignment="1">
      <alignment horizontal="center" vertical="center" wrapText="1"/>
    </xf>
    <xf numFmtId="14" fontId="8" fillId="0" borderId="1" xfId="3" applyNumberFormat="1" applyFont="1" applyAlignment="1">
      <alignment horizontal="center" vertical="center" wrapText="1"/>
    </xf>
    <xf numFmtId="0" fontId="5" fillId="0" borderId="1" xfId="3" applyAlignment="1">
      <alignment vertical="center" wrapText="1"/>
    </xf>
    <xf numFmtId="0" fontId="10" fillId="0" borderId="3" xfId="3" applyFont="1" applyBorder="1" applyAlignment="1">
      <alignment wrapText="1"/>
    </xf>
    <xf numFmtId="0" fontId="10" fillId="0" borderId="3" xfId="3" applyFont="1" applyBorder="1"/>
    <xf numFmtId="0" fontId="5" fillId="0" borderId="3" xfId="3" applyBorder="1" applyAlignment="1">
      <alignment wrapText="1"/>
    </xf>
    <xf numFmtId="6" fontId="5" fillId="0" borderId="3" xfId="3" applyNumberFormat="1" applyBorder="1" applyAlignment="1">
      <alignment wrapText="1"/>
    </xf>
    <xf numFmtId="0" fontId="5" fillId="0" borderId="1" xfId="3" applyAlignment="1">
      <alignment horizontal="center" vertical="center"/>
    </xf>
    <xf numFmtId="0" fontId="5" fillId="0" borderId="3" xfId="3" applyBorder="1" applyAlignment="1">
      <alignment horizontal="center" vertical="center"/>
    </xf>
    <xf numFmtId="10" fontId="5" fillId="0" borderId="3" xfId="2" applyNumberFormat="1" applyBorder="1" applyAlignment="1">
      <alignment horizontal="center" vertical="center"/>
    </xf>
    <xf numFmtId="0" fontId="0" fillId="0" borderId="0" xfId="0" applyAlignment="1">
      <alignment horizontal="center" vertical="center"/>
    </xf>
    <xf numFmtId="165" fontId="0" fillId="0" borderId="7" xfId="1" applyNumberFormat="1" applyFont="1" applyBorder="1" applyAlignment="1">
      <alignment horizontal="center" vertical="center"/>
    </xf>
    <xf numFmtId="10" fontId="0" fillId="0" borderId="7" xfId="2" applyNumberFormat="1" applyFont="1" applyBorder="1" applyAlignment="1">
      <alignment horizontal="center" vertical="center"/>
    </xf>
    <xf numFmtId="165" fontId="0" fillId="0" borderId="3" xfId="1" applyNumberFormat="1" applyFont="1" applyBorder="1" applyAlignment="1">
      <alignment horizontal="center" vertical="center"/>
    </xf>
    <xf numFmtId="44" fontId="5" fillId="0" borderId="3" xfId="1" applyBorder="1"/>
    <xf numFmtId="6" fontId="5" fillId="0" borderId="3" xfId="3" applyNumberFormat="1" applyBorder="1"/>
    <xf numFmtId="2" fontId="15" fillId="0" borderId="6" xfId="10" applyNumberFormat="1" applyFont="1" applyBorder="1" applyAlignment="1">
      <alignment vertical="center"/>
    </xf>
    <xf numFmtId="166" fontId="15" fillId="0" borderId="11" xfId="8" applyNumberFormat="1" applyFont="1" applyBorder="1" applyAlignment="1">
      <alignment vertical="center"/>
    </xf>
    <xf numFmtId="43" fontId="15" fillId="0" borderId="6" xfId="8" applyNumberFormat="1" applyFont="1" applyBorder="1" applyAlignment="1">
      <alignment vertical="center"/>
    </xf>
    <xf numFmtId="166" fontId="15" fillId="0" borderId="6" xfId="8" applyNumberFormat="1" applyFont="1" applyBorder="1" applyAlignment="1">
      <alignment vertical="center"/>
    </xf>
    <xf numFmtId="2" fontId="15" fillId="0" borderId="3" xfId="10" applyNumberFormat="1" applyFont="1" applyBorder="1" applyAlignment="1">
      <alignment vertical="center"/>
    </xf>
    <xf numFmtId="43" fontId="15" fillId="0" borderId="3" xfId="8" applyNumberFormat="1" applyFont="1" applyBorder="1" applyAlignment="1">
      <alignment vertical="center"/>
    </xf>
    <xf numFmtId="166" fontId="15" fillId="0" borderId="10" xfId="8" applyNumberFormat="1" applyFont="1" applyBorder="1" applyAlignment="1">
      <alignment vertical="center"/>
    </xf>
    <xf numFmtId="166" fontId="15" fillId="0" borderId="3" xfId="8" applyNumberFormat="1" applyFont="1" applyBorder="1" applyAlignment="1">
      <alignment vertical="center"/>
    </xf>
    <xf numFmtId="0" fontId="15" fillId="0" borderId="3" xfId="8" applyFont="1" applyBorder="1" applyAlignment="1">
      <alignment vertical="center"/>
    </xf>
    <xf numFmtId="0" fontId="15" fillId="0" borderId="10" xfId="8" applyFont="1" applyBorder="1" applyAlignment="1">
      <alignment vertical="center"/>
    </xf>
    <xf numFmtId="1" fontId="15" fillId="0" borderId="10" xfId="8" applyNumberFormat="1" applyFont="1" applyBorder="1" applyAlignment="1">
      <alignment vertical="center"/>
    </xf>
    <xf numFmtId="0" fontId="15" fillId="0" borderId="11" xfId="8" applyFont="1" applyBorder="1" applyAlignment="1">
      <alignment vertical="center"/>
    </xf>
    <xf numFmtId="1" fontId="15" fillId="0" borderId="6" xfId="10" applyNumberFormat="1" applyFont="1" applyBorder="1" applyAlignment="1">
      <alignment vertical="center"/>
    </xf>
    <xf numFmtId="1" fontId="15" fillId="0" borderId="10" xfId="10" applyNumberFormat="1" applyFont="1" applyBorder="1" applyAlignment="1">
      <alignment vertical="center"/>
    </xf>
    <xf numFmtId="1" fontId="15" fillId="0" borderId="11" xfId="8" applyNumberFormat="1" applyFont="1" applyBorder="1" applyAlignment="1">
      <alignment vertical="center"/>
    </xf>
    <xf numFmtId="0" fontId="15" fillId="0" borderId="8" xfId="8" applyFont="1" applyBorder="1" applyAlignment="1">
      <alignment vertical="center"/>
    </xf>
    <xf numFmtId="166" fontId="15" fillId="0" borderId="1" xfId="8" applyNumberFormat="1" applyFont="1" applyAlignment="1">
      <alignment vertical="center"/>
    </xf>
    <xf numFmtId="0" fontId="15" fillId="0" borderId="6" xfId="8" applyFont="1" applyBorder="1" applyAlignment="1">
      <alignment vertical="center"/>
    </xf>
    <xf numFmtId="10" fontId="15" fillId="0" borderId="6" xfId="10" applyNumberFormat="1" applyFont="1" applyBorder="1" applyAlignment="1">
      <alignment vertical="center"/>
    </xf>
    <xf numFmtId="10" fontId="15" fillId="0" borderId="13" xfId="10" applyNumberFormat="1" applyFont="1" applyBorder="1" applyAlignment="1">
      <alignment vertical="center"/>
    </xf>
    <xf numFmtId="10" fontId="15" fillId="0" borderId="3" xfId="2" applyNumberFormat="1" applyFont="1" applyBorder="1" applyAlignment="1">
      <alignment vertical="center"/>
    </xf>
    <xf numFmtId="10" fontId="15" fillId="0" borderId="9" xfId="10" applyNumberFormat="1" applyFont="1" applyBorder="1" applyAlignment="1">
      <alignment vertical="center"/>
    </xf>
    <xf numFmtId="10" fontId="15" fillId="0" borderId="3" xfId="10" applyNumberFormat="1" applyFont="1" applyBorder="1" applyAlignment="1">
      <alignment vertical="center"/>
    </xf>
    <xf numFmtId="10" fontId="15" fillId="0" borderId="10" xfId="10" applyNumberFormat="1" applyFont="1" applyBorder="1" applyAlignment="1">
      <alignment vertical="center"/>
    </xf>
    <xf numFmtId="167" fontId="15" fillId="0" borderId="10" xfId="8" applyNumberFormat="1" applyFont="1" applyBorder="1" applyAlignment="1">
      <alignment vertical="center"/>
    </xf>
    <xf numFmtId="0" fontId="21" fillId="6" borderId="3" xfId="8" applyFont="1" applyFill="1" applyBorder="1" applyAlignment="1">
      <alignment horizontal="centerContinuous" vertical="center" wrapText="1"/>
    </xf>
    <xf numFmtId="0" fontId="21" fillId="6" borderId="12" xfId="8" applyFont="1" applyFill="1" applyBorder="1" applyAlignment="1">
      <alignment horizontal="centerContinuous" vertical="center" wrapText="1"/>
    </xf>
    <xf numFmtId="0" fontId="21" fillId="7" borderId="6" xfId="8" applyFont="1" applyFill="1" applyBorder="1" applyAlignment="1">
      <alignment horizontal="centerContinuous" vertical="center" wrapText="1"/>
    </xf>
    <xf numFmtId="0" fontId="21" fillId="7" borderId="3" xfId="8" applyFont="1" applyFill="1" applyBorder="1" applyAlignment="1">
      <alignment horizontal="centerContinuous" vertical="center" wrapText="1"/>
    </xf>
    <xf numFmtId="14" fontId="22" fillId="7" borderId="1" xfId="3" applyNumberFormat="1" applyFont="1" applyFill="1" applyAlignment="1">
      <alignment horizontal="center" vertical="center" wrapText="1"/>
    </xf>
    <xf numFmtId="0" fontId="22" fillId="7" borderId="3" xfId="3" applyFont="1" applyFill="1" applyBorder="1" applyAlignment="1">
      <alignment horizontal="center" vertical="center" wrapText="1"/>
    </xf>
    <xf numFmtId="0" fontId="22" fillId="7" borderId="3" xfId="0" applyFont="1" applyFill="1" applyBorder="1" applyAlignment="1">
      <alignment horizontal="center" vertical="top" wrapText="1"/>
    </xf>
    <xf numFmtId="0" fontId="22" fillId="8" borderId="3" xfId="0" applyFont="1" applyFill="1" applyBorder="1" applyAlignment="1">
      <alignment horizontal="center" vertical="top" wrapText="1"/>
    </xf>
    <xf numFmtId="0" fontId="22" fillId="8" borderId="3" xfId="0" applyFont="1" applyFill="1" applyBorder="1" applyAlignment="1">
      <alignment horizontal="center" vertical="center" wrapText="1"/>
    </xf>
    <xf numFmtId="0" fontId="22" fillId="8" borderId="3" xfId="3" applyFont="1" applyFill="1" applyBorder="1" applyAlignment="1">
      <alignment horizontal="center" vertical="center" wrapText="1"/>
    </xf>
    <xf numFmtId="0" fontId="22" fillId="8" borderId="8" xfId="0" applyFont="1" applyFill="1" applyBorder="1" applyAlignment="1">
      <alignment horizontal="center" vertical="center" wrapText="1"/>
    </xf>
    <xf numFmtId="4" fontId="0" fillId="0" borderId="0" xfId="0" applyNumberFormat="1"/>
    <xf numFmtId="3" fontId="0" fillId="0" borderId="0" xfId="0" applyNumberFormat="1"/>
    <xf numFmtId="4" fontId="25" fillId="9" borderId="14" xfId="0" applyNumberFormat="1" applyFont="1" applyFill="1" applyBorder="1" applyAlignment="1">
      <alignment vertical="center" wrapText="1" shrinkToFit="1"/>
    </xf>
    <xf numFmtId="4" fontId="25" fillId="0" borderId="14" xfId="0" applyNumberFormat="1" applyFont="1" applyBorder="1" applyAlignment="1">
      <alignment vertical="center" wrapText="1" shrinkToFit="1"/>
    </xf>
    <xf numFmtId="6" fontId="15" fillId="0" borderId="3" xfId="10" applyNumberFormat="1" applyFont="1" applyBorder="1" applyAlignment="1">
      <alignment vertical="center"/>
    </xf>
    <xf numFmtId="0" fontId="10" fillId="10" borderId="3" xfId="3" applyFont="1" applyFill="1" applyBorder="1"/>
    <xf numFmtId="6" fontId="5" fillId="10" borderId="3" xfId="3" applyNumberFormat="1" applyFill="1" applyBorder="1" applyAlignment="1">
      <alignment wrapText="1"/>
    </xf>
    <xf numFmtId="0" fontId="5" fillId="10" borderId="3" xfId="3" applyFill="1" applyBorder="1" applyAlignment="1">
      <alignment wrapText="1"/>
    </xf>
    <xf numFmtId="10" fontId="5" fillId="0" borderId="3" xfId="3" applyNumberFormat="1" applyBorder="1"/>
    <xf numFmtId="0" fontId="12" fillId="10" borderId="3" xfId="3" applyFont="1" applyFill="1" applyBorder="1" applyAlignment="1">
      <alignment horizontal="center" vertical="center" wrapText="1"/>
    </xf>
    <xf numFmtId="0" fontId="12" fillId="0" borderId="1" xfId="3" applyFont="1"/>
    <xf numFmtId="0" fontId="22" fillId="0" borderId="1" xfId="3" applyFont="1"/>
    <xf numFmtId="0" fontId="12" fillId="0" borderId="3" xfId="3" applyFont="1" applyBorder="1"/>
    <xf numFmtId="10" fontId="12" fillId="0" borderId="3" xfId="3" applyNumberFormat="1" applyFont="1" applyBorder="1"/>
    <xf numFmtId="0" fontId="15" fillId="0" borderId="13" xfId="8" applyFont="1" applyBorder="1" applyAlignment="1">
      <alignment vertical="center"/>
    </xf>
    <xf numFmtId="0" fontId="15" fillId="0" borderId="9" xfId="8" applyFont="1" applyBorder="1" applyAlignment="1">
      <alignment vertical="center"/>
    </xf>
    <xf numFmtId="10" fontId="15" fillId="0" borderId="10" xfId="10" applyNumberFormat="1" applyFont="1" applyFill="1" applyBorder="1" applyAlignment="1">
      <alignment vertical="center"/>
    </xf>
    <xf numFmtId="0" fontId="11" fillId="10" borderId="3" xfId="0" applyFont="1" applyFill="1" applyBorder="1"/>
    <xf numFmtId="6" fontId="0" fillId="10" borderId="3" xfId="0" applyNumberFormat="1" applyFill="1" applyBorder="1" applyAlignment="1">
      <alignment wrapText="1"/>
    </xf>
    <xf numFmtId="0" fontId="0" fillId="10" borderId="3" xfId="0" applyFill="1" applyBorder="1" applyAlignment="1">
      <alignment wrapText="1"/>
    </xf>
    <xf numFmtId="6" fontId="11" fillId="10" borderId="3" xfId="0" applyNumberFormat="1" applyFont="1" applyFill="1" applyBorder="1"/>
    <xf numFmtId="1" fontId="0" fillId="0" borderId="3" xfId="0" applyNumberFormat="1" applyBorder="1"/>
    <xf numFmtId="0" fontId="12" fillId="0" borderId="3" xfId="0" applyFont="1" applyBorder="1"/>
    <xf numFmtId="6" fontId="13" fillId="0" borderId="3" xfId="3" applyNumberFormat="1" applyFont="1" applyBorder="1"/>
    <xf numFmtId="3" fontId="0" fillId="0" borderId="3" xfId="0" applyNumberFormat="1" applyBorder="1"/>
    <xf numFmtId="0" fontId="12" fillId="0" borderId="3" xfId="3" applyFont="1" applyBorder="1" applyAlignment="1">
      <alignment wrapText="1"/>
    </xf>
    <xf numFmtId="6" fontId="13" fillId="0" borderId="3" xfId="3" applyNumberFormat="1" applyFont="1" applyBorder="1" applyAlignment="1">
      <alignment vertical="center"/>
    </xf>
    <xf numFmtId="10" fontId="13" fillId="0" borderId="3" xfId="3" applyNumberFormat="1" applyFont="1" applyBorder="1"/>
    <xf numFmtId="10" fontId="13" fillId="0" borderId="3" xfId="3" applyNumberFormat="1" applyFont="1" applyBorder="1" applyAlignment="1">
      <alignment horizontal="center" vertical="center"/>
    </xf>
    <xf numFmtId="10" fontId="13" fillId="0" borderId="3" xfId="0" applyNumberFormat="1" applyFont="1" applyBorder="1" applyAlignment="1">
      <alignment horizontal="center" vertical="center"/>
    </xf>
    <xf numFmtId="6" fontId="13" fillId="0" borderId="3" xfId="3" applyNumberFormat="1" applyFont="1" applyBorder="1" applyAlignment="1">
      <alignment horizontal="center" vertical="center"/>
    </xf>
    <xf numFmtId="10" fontId="0" fillId="0" borderId="3" xfId="0" applyNumberFormat="1" applyBorder="1"/>
    <xf numFmtId="6" fontId="0" fillId="11" borderId="3" xfId="0" applyNumberFormat="1" applyFill="1" applyBorder="1"/>
    <xf numFmtId="0" fontId="0" fillId="12" borderId="3" xfId="0" applyFill="1" applyBorder="1"/>
    <xf numFmtId="170" fontId="28" fillId="0" borderId="1" xfId="15" applyNumberFormat="1" applyFont="1"/>
    <xf numFmtId="0" fontId="29" fillId="0" borderId="1" xfId="14" applyFont="1" applyAlignment="1">
      <alignment vertical="center" wrapText="1"/>
    </xf>
    <xf numFmtId="0" fontId="29" fillId="0" borderId="1" xfId="14" applyFont="1"/>
    <xf numFmtId="0" fontId="13" fillId="0" borderId="3" xfId="0" applyFont="1" applyBorder="1"/>
    <xf numFmtId="0" fontId="30" fillId="13" borderId="1" xfId="14" applyFont="1" applyFill="1"/>
    <xf numFmtId="0" fontId="13" fillId="13" borderId="3" xfId="0" applyFont="1" applyFill="1" applyBorder="1"/>
    <xf numFmtId="0" fontId="0" fillId="13" borderId="3" xfId="0" applyFill="1" applyBorder="1" applyAlignment="1">
      <alignment wrapText="1"/>
    </xf>
    <xf numFmtId="0" fontId="13" fillId="13" borderId="3" xfId="0" applyFont="1" applyFill="1" applyBorder="1" applyAlignment="1">
      <alignment wrapText="1"/>
    </xf>
    <xf numFmtId="0" fontId="30" fillId="14" borderId="1" xfId="14" applyFont="1" applyFill="1"/>
    <xf numFmtId="0" fontId="0" fillId="14" borderId="3" xfId="0" applyFill="1" applyBorder="1" applyAlignment="1">
      <alignment wrapText="1"/>
    </xf>
    <xf numFmtId="0" fontId="13" fillId="12" borderId="3" xfId="0" applyFont="1" applyFill="1" applyBorder="1"/>
    <xf numFmtId="0" fontId="29" fillId="0" borderId="8" xfId="14" applyFont="1" applyBorder="1"/>
    <xf numFmtId="0" fontId="29" fillId="0" borderId="3" xfId="14" applyFont="1" applyBorder="1"/>
    <xf numFmtId="170" fontId="28" fillId="0" borderId="6" xfId="15" applyNumberFormat="1" applyFont="1" applyBorder="1"/>
    <xf numFmtId="170" fontId="28" fillId="0" borderId="3" xfId="15" applyNumberFormat="1" applyFont="1" applyBorder="1"/>
    <xf numFmtId="170" fontId="28" fillId="0" borderId="9" xfId="15" applyNumberFormat="1" applyFont="1" applyBorder="1"/>
    <xf numFmtId="170" fontId="30" fillId="0" borderId="6" xfId="15" applyNumberFormat="1" applyFont="1" applyBorder="1"/>
    <xf numFmtId="170" fontId="28" fillId="0" borderId="8" xfId="15" applyNumberFormat="1" applyFont="1" applyBorder="1"/>
    <xf numFmtId="170" fontId="28" fillId="0" borderId="10" xfId="15" applyNumberFormat="1" applyFont="1" applyBorder="1"/>
    <xf numFmtId="0" fontId="29" fillId="0" borderId="4" xfId="14" applyFont="1" applyBorder="1"/>
    <xf numFmtId="0" fontId="30" fillId="0" borderId="3" xfId="14" applyFont="1" applyBorder="1"/>
    <xf numFmtId="0" fontId="30" fillId="15" borderId="3" xfId="14" applyFont="1" applyFill="1" applyBorder="1"/>
    <xf numFmtId="170" fontId="30" fillId="15" borderId="3" xfId="15" applyNumberFormat="1" applyFont="1" applyFill="1" applyBorder="1"/>
    <xf numFmtId="168" fontId="30" fillId="15" borderId="4" xfId="14" applyNumberFormat="1" applyFont="1" applyFill="1" applyBorder="1" applyAlignment="1">
      <alignment horizontal="center" vertical="center" wrapText="1"/>
    </xf>
    <xf numFmtId="168" fontId="30" fillId="15" borderId="5" xfId="14" applyNumberFormat="1" applyFont="1" applyFill="1" applyBorder="1" applyAlignment="1">
      <alignment horizontal="center" vertical="center" wrapText="1"/>
    </xf>
    <xf numFmtId="168" fontId="30" fillId="15" borderId="6" xfId="14" applyNumberFormat="1" applyFont="1" applyFill="1" applyBorder="1" applyAlignment="1">
      <alignment horizontal="center" vertical="center" wrapText="1"/>
    </xf>
    <xf numFmtId="168" fontId="30" fillId="15" borderId="3" xfId="14" applyNumberFormat="1" applyFont="1" applyFill="1" applyBorder="1" applyAlignment="1">
      <alignment horizontal="center" vertical="center" wrapText="1"/>
    </xf>
    <xf numFmtId="0" fontId="30" fillId="0" borderId="16" xfId="14" applyFont="1" applyBorder="1"/>
    <xf numFmtId="170" fontId="30" fillId="0" borderId="11" xfId="15" applyNumberFormat="1" applyFont="1" applyBorder="1"/>
    <xf numFmtId="170" fontId="30" fillId="0" borderId="10" xfId="15" applyNumberFormat="1" applyFont="1" applyBorder="1"/>
    <xf numFmtId="0" fontId="30" fillId="0" borderId="5" xfId="14" applyFont="1" applyBorder="1"/>
    <xf numFmtId="170" fontId="29" fillId="0" borderId="4" xfId="15" applyNumberFormat="1" applyFont="1" applyBorder="1"/>
    <xf numFmtId="170" fontId="29" fillId="0" borderId="6" xfId="15" applyNumberFormat="1" applyFont="1" applyBorder="1"/>
    <xf numFmtId="170" fontId="30" fillId="0" borderId="6" xfId="14" applyNumberFormat="1" applyFont="1" applyBorder="1"/>
    <xf numFmtId="170" fontId="29" fillId="0" borderId="3" xfId="15" applyNumberFormat="1" applyFont="1" applyBorder="1"/>
    <xf numFmtId="170" fontId="30" fillId="0" borderId="3" xfId="14" applyNumberFormat="1" applyFont="1" applyBorder="1"/>
    <xf numFmtId="9" fontId="0" fillId="0" borderId="3" xfId="0" applyNumberFormat="1" applyBorder="1"/>
    <xf numFmtId="170" fontId="29" fillId="0" borderId="1" xfId="14" applyNumberFormat="1" applyFont="1"/>
    <xf numFmtId="0" fontId="21" fillId="6" borderId="1" xfId="9" applyFont="1" applyFill="1" applyAlignment="1">
      <alignment horizontal="center" vertical="center"/>
    </xf>
    <xf numFmtId="6" fontId="0" fillId="0" borderId="0" xfId="0" applyNumberFormat="1"/>
    <xf numFmtId="6" fontId="12" fillId="12" borderId="3" xfId="0" applyNumberFormat="1" applyFont="1" applyFill="1" applyBorder="1"/>
    <xf numFmtId="9" fontId="5" fillId="0" borderId="3" xfId="3" applyNumberFormat="1" applyBorder="1"/>
    <xf numFmtId="9" fontId="15" fillId="0" borderId="3" xfId="8" applyNumberFormat="1" applyFont="1" applyBorder="1" applyAlignment="1">
      <alignment vertical="center"/>
    </xf>
    <xf numFmtId="10" fontId="15" fillId="0" borderId="3" xfId="8" applyNumberFormat="1" applyFont="1" applyBorder="1" applyAlignment="1">
      <alignment vertical="center"/>
    </xf>
    <xf numFmtId="0" fontId="29" fillId="0" borderId="17" xfId="14" applyFont="1" applyBorder="1"/>
    <xf numFmtId="0" fontId="30" fillId="16" borderId="8" xfId="14" applyFont="1" applyFill="1" applyBorder="1"/>
    <xf numFmtId="0" fontId="22" fillId="17" borderId="3" xfId="0" applyFont="1" applyFill="1" applyBorder="1" applyAlignment="1">
      <alignment horizontal="center" vertical="center" wrapText="1"/>
    </xf>
    <xf numFmtId="171" fontId="22" fillId="17" borderId="3" xfId="0" applyNumberFormat="1" applyFont="1" applyFill="1" applyBorder="1" applyAlignment="1">
      <alignment horizontal="center" vertical="center" wrapText="1"/>
    </xf>
    <xf numFmtId="171" fontId="0" fillId="0" borderId="3" xfId="2" applyNumberFormat="1" applyFont="1" applyBorder="1" applyAlignment="1">
      <alignment horizontal="center" vertical="center"/>
    </xf>
    <xf numFmtId="9" fontId="0" fillId="0" borderId="3" xfId="1" applyNumberFormat="1" applyFont="1" applyBorder="1" applyAlignment="1">
      <alignment horizontal="center" vertical="center"/>
    </xf>
    <xf numFmtId="9" fontId="13" fillId="0" borderId="3" xfId="1" applyNumberFormat="1" applyFont="1" applyBorder="1" applyAlignment="1">
      <alignment horizontal="center" vertical="center"/>
    </xf>
    <xf numFmtId="172" fontId="28" fillId="0" borderId="6" xfId="15" applyNumberFormat="1" applyFont="1" applyBorder="1"/>
    <xf numFmtId="170" fontId="28" fillId="12" borderId="6" xfId="15" applyNumberFormat="1" applyFont="1" applyFill="1" applyBorder="1"/>
    <xf numFmtId="167" fontId="15" fillId="0" borderId="6" xfId="8" applyNumberFormat="1" applyFont="1" applyBorder="1" applyAlignment="1">
      <alignment vertical="center"/>
    </xf>
    <xf numFmtId="9" fontId="15" fillId="0" borderId="6" xfId="8" applyNumberFormat="1" applyFont="1" applyBorder="1" applyAlignment="1">
      <alignment vertical="center"/>
    </xf>
    <xf numFmtId="167" fontId="15" fillId="0" borderId="3" xfId="8" applyNumberFormat="1" applyFont="1" applyBorder="1" applyAlignment="1">
      <alignment vertical="center"/>
    </xf>
    <xf numFmtId="6" fontId="23" fillId="11" borderId="3" xfId="3" applyNumberFormat="1" applyFont="1" applyFill="1" applyBorder="1" applyAlignment="1">
      <alignment wrapText="1"/>
    </xf>
    <xf numFmtId="6" fontId="23" fillId="11" borderId="3" xfId="3" applyNumberFormat="1" applyFont="1" applyFill="1" applyBorder="1"/>
    <xf numFmtId="3" fontId="23" fillId="11" borderId="3" xfId="3" applyNumberFormat="1" applyFont="1" applyFill="1" applyBorder="1"/>
    <xf numFmtId="0" fontId="31" fillId="10" borderId="3" xfId="3" applyFont="1" applyFill="1" applyBorder="1"/>
    <xf numFmtId="0" fontId="23" fillId="11" borderId="1" xfId="3" applyFont="1" applyFill="1"/>
    <xf numFmtId="6" fontId="29" fillId="0" borderId="1" xfId="14" applyNumberFormat="1" applyFont="1"/>
    <xf numFmtId="0" fontId="13" fillId="0" borderId="3" xfId="0" applyFont="1" applyBorder="1" applyAlignment="1">
      <alignment wrapText="1"/>
    </xf>
    <xf numFmtId="10" fontId="5" fillId="0" borderId="1" xfId="3" applyNumberFormat="1"/>
    <xf numFmtId="0" fontId="7" fillId="11" borderId="3" xfId="3" applyFont="1" applyFill="1" applyBorder="1"/>
    <xf numFmtId="10" fontId="5" fillId="11" borderId="3" xfId="3" applyNumberFormat="1" applyFill="1" applyBorder="1"/>
    <xf numFmtId="6" fontId="5" fillId="11" borderId="3" xfId="3" applyNumberFormat="1" applyFill="1" applyBorder="1"/>
    <xf numFmtId="0" fontId="7" fillId="0" borderId="3" xfId="3" applyFont="1" applyBorder="1"/>
    <xf numFmtId="0" fontId="12" fillId="11" borderId="3" xfId="3" applyFont="1" applyFill="1" applyBorder="1" applyAlignment="1">
      <alignment horizontal="center" vertical="center" wrapText="1"/>
    </xf>
    <xf numFmtId="0" fontId="22" fillId="11" borderId="3" xfId="3" applyFont="1" applyFill="1" applyBorder="1" applyAlignment="1">
      <alignment horizontal="center" vertical="center" wrapText="1"/>
    </xf>
    <xf numFmtId="6" fontId="7" fillId="11" borderId="3" xfId="3" applyNumberFormat="1" applyFont="1" applyFill="1" applyBorder="1" applyAlignment="1">
      <alignment horizontal="center" vertical="center" wrapText="1"/>
    </xf>
    <xf numFmtId="0" fontId="7" fillId="10" borderId="3" xfId="3" applyFont="1" applyFill="1" applyBorder="1" applyAlignment="1">
      <alignment horizontal="center" vertical="center" wrapText="1"/>
    </xf>
    <xf numFmtId="0" fontId="7" fillId="5" borderId="3" xfId="3" applyFont="1" applyFill="1" applyBorder="1" applyAlignment="1">
      <alignment horizontal="center" vertical="center" wrapText="1"/>
    </xf>
    <xf numFmtId="6" fontId="7" fillId="5" borderId="3" xfId="3" applyNumberFormat="1" applyFont="1" applyFill="1" applyBorder="1" applyAlignment="1">
      <alignment horizontal="center" vertical="center" wrapText="1"/>
    </xf>
    <xf numFmtId="1" fontId="12" fillId="0" borderId="3" xfId="3" applyNumberFormat="1" applyFont="1" applyBorder="1"/>
    <xf numFmtId="9" fontId="7" fillId="0" borderId="3" xfId="2" applyFont="1" applyBorder="1"/>
    <xf numFmtId="10" fontId="7" fillId="0" borderId="3" xfId="2" applyNumberFormat="1" applyFont="1" applyBorder="1"/>
    <xf numFmtId="9" fontId="32" fillId="0" borderId="3" xfId="2" applyFont="1" applyBorder="1"/>
    <xf numFmtId="6" fontId="12" fillId="0" borderId="3" xfId="3" applyNumberFormat="1" applyFont="1" applyBorder="1"/>
    <xf numFmtId="9" fontId="0" fillId="0" borderId="3" xfId="2" applyFont="1" applyBorder="1"/>
    <xf numFmtId="173" fontId="0" fillId="0" borderId="3" xfId="0" applyNumberFormat="1" applyBorder="1"/>
    <xf numFmtId="170" fontId="28" fillId="11" borderId="6" xfId="15" applyNumberFormat="1" applyFont="1" applyFill="1" applyBorder="1"/>
    <xf numFmtId="170" fontId="28" fillId="11" borderId="3" xfId="15" applyNumberFormat="1" applyFont="1" applyFill="1" applyBorder="1"/>
    <xf numFmtId="170" fontId="28" fillId="11" borderId="9" xfId="15" applyNumberFormat="1" applyFont="1" applyFill="1" applyBorder="1"/>
    <xf numFmtId="170" fontId="28" fillId="11" borderId="8" xfId="15" applyNumberFormat="1" applyFont="1" applyFill="1" applyBorder="1"/>
    <xf numFmtId="170" fontId="28" fillId="11" borderId="10" xfId="15" applyNumberFormat="1" applyFont="1" applyFill="1" applyBorder="1"/>
    <xf numFmtId="6" fontId="5" fillId="11" borderId="3" xfId="0" applyNumberFormat="1" applyFont="1" applyFill="1" applyBorder="1"/>
    <xf numFmtId="6" fontId="12" fillId="11" borderId="3" xfId="0" applyNumberFormat="1" applyFont="1" applyFill="1" applyBorder="1"/>
    <xf numFmtId="0" fontId="7" fillId="11" borderId="3" xfId="3" applyFont="1" applyFill="1" applyBorder="1" applyAlignment="1">
      <alignment horizontal="center" vertical="center" wrapText="1"/>
    </xf>
    <xf numFmtId="0" fontId="0" fillId="11" borderId="3" xfId="0" applyFill="1" applyBorder="1"/>
    <xf numFmtId="0" fontId="29" fillId="0" borderId="16" xfId="14" applyFont="1" applyBorder="1"/>
    <xf numFmtId="170" fontId="28" fillId="11" borderId="11" xfId="15" applyNumberFormat="1" applyFont="1" applyFill="1" applyBorder="1"/>
    <xf numFmtId="0" fontId="5" fillId="0" borderId="0" xfId="0" applyFont="1"/>
    <xf numFmtId="6" fontId="5" fillId="0" borderId="0" xfId="0" applyNumberFormat="1" applyFont="1"/>
    <xf numFmtId="6" fontId="0" fillId="5" borderId="0" xfId="0" applyNumberFormat="1" applyFill="1"/>
    <xf numFmtId="6" fontId="7" fillId="10" borderId="0" xfId="0" applyNumberFormat="1" applyFont="1" applyFill="1"/>
    <xf numFmtId="0" fontId="7" fillId="10" borderId="0" xfId="0" applyFont="1" applyFill="1"/>
    <xf numFmtId="0" fontId="33" fillId="10" borderId="0" xfId="0" applyFont="1" applyFill="1"/>
    <xf numFmtId="6" fontId="33" fillId="10" borderId="0" xfId="0" applyNumberFormat="1" applyFont="1" applyFill="1"/>
    <xf numFmtId="0" fontId="7" fillId="0" borderId="0" xfId="0" applyFont="1" applyAlignment="1">
      <alignment horizontal="center"/>
    </xf>
    <xf numFmtId="170" fontId="28" fillId="0" borderId="3" xfId="15" applyNumberFormat="1" applyFont="1" applyFill="1" applyBorder="1"/>
    <xf numFmtId="170" fontId="28" fillId="0" borderId="9" xfId="15" applyNumberFormat="1" applyFont="1" applyFill="1" applyBorder="1"/>
    <xf numFmtId="170" fontId="28" fillId="0" borderId="8" xfId="15" applyNumberFormat="1" applyFont="1" applyFill="1" applyBorder="1"/>
    <xf numFmtId="170" fontId="28" fillId="0" borderId="10" xfId="15" applyNumberFormat="1" applyFont="1" applyFill="1" applyBorder="1"/>
    <xf numFmtId="9" fontId="0" fillId="0" borderId="0" xfId="0" applyNumberFormat="1"/>
    <xf numFmtId="6" fontId="0" fillId="0" borderId="0" xfId="0" applyNumberFormat="1" applyAlignment="1">
      <alignment horizontal="center"/>
    </xf>
    <xf numFmtId="9" fontId="0" fillId="0" borderId="0" xfId="0" applyNumberFormat="1" applyAlignment="1">
      <alignment horizontal="center"/>
    </xf>
    <xf numFmtId="6" fontId="7" fillId="0" borderId="0" xfId="0" applyNumberFormat="1" applyFont="1" applyAlignment="1">
      <alignment horizontal="center"/>
    </xf>
    <xf numFmtId="9" fontId="7" fillId="0" borderId="0" xfId="0" applyNumberFormat="1" applyFont="1" applyAlignment="1">
      <alignment horizontal="center"/>
    </xf>
    <xf numFmtId="10" fontId="0" fillId="0" borderId="0" xfId="0" applyNumberFormat="1"/>
    <xf numFmtId="2" fontId="0" fillId="0" borderId="0" xfId="0" applyNumberFormat="1"/>
    <xf numFmtId="0" fontId="34" fillId="0" borderId="0" xfId="0" applyFont="1"/>
    <xf numFmtId="0" fontId="7" fillId="5" borderId="0" xfId="0" applyFont="1" applyFill="1"/>
    <xf numFmtId="6" fontId="7" fillId="5" borderId="0" xfId="0" applyNumberFormat="1" applyFont="1" applyFill="1"/>
    <xf numFmtId="0" fontId="0" fillId="0" borderId="0" xfId="0" applyAlignment="1">
      <alignment horizontal="left" vertical="center" indent="1"/>
    </xf>
    <xf numFmtId="0" fontId="7" fillId="0" borderId="0" xfId="0" applyFont="1" applyAlignment="1">
      <alignment horizontal="left" vertical="center" indent="1"/>
    </xf>
    <xf numFmtId="0" fontId="36" fillId="0" borderId="0" xfId="0" applyFont="1" applyAlignment="1">
      <alignment vertical="center"/>
    </xf>
    <xf numFmtId="0" fontId="5" fillId="0" borderId="0" xfId="0" applyFont="1" applyAlignment="1">
      <alignment horizontal="left" vertical="center" indent="1"/>
    </xf>
    <xf numFmtId="3" fontId="7" fillId="5" borderId="0" xfId="0" applyNumberFormat="1" applyFont="1" applyFill="1"/>
    <xf numFmtId="0" fontId="1" fillId="11" borderId="1" xfId="17" applyFill="1"/>
    <xf numFmtId="10" fontId="1" fillId="11" borderId="1" xfId="17" applyNumberFormat="1" applyFill="1"/>
    <xf numFmtId="9" fontId="1" fillId="11" borderId="1" xfId="17" applyNumberFormat="1" applyFill="1"/>
    <xf numFmtId="0" fontId="38" fillId="11" borderId="1" xfId="17" applyFont="1" applyFill="1"/>
    <xf numFmtId="41" fontId="1" fillId="11" borderId="1" xfId="17" applyNumberFormat="1" applyFill="1"/>
    <xf numFmtId="0" fontId="24" fillId="11" borderId="19" xfId="17" applyFont="1" applyFill="1" applyBorder="1"/>
    <xf numFmtId="41" fontId="24" fillId="11" borderId="19" xfId="17" applyNumberFormat="1" applyFont="1" applyFill="1" applyBorder="1"/>
    <xf numFmtId="0" fontId="1" fillId="11" borderId="1" xfId="17" applyFill="1" applyAlignment="1">
      <alignment horizontal="left" indent="2"/>
    </xf>
    <xf numFmtId="174" fontId="1" fillId="11" borderId="1" xfId="17" applyNumberFormat="1" applyFill="1"/>
    <xf numFmtId="9" fontId="0" fillId="11" borderId="1" xfId="18" applyFont="1" applyFill="1"/>
    <xf numFmtId="174" fontId="1" fillId="11" borderId="1" xfId="19" applyNumberFormat="1" applyFont="1" applyFill="1" applyBorder="1" applyAlignment="1">
      <alignment horizontal="right"/>
    </xf>
    <xf numFmtId="0" fontId="24" fillId="11" borderId="1" xfId="17" applyFont="1" applyFill="1" applyAlignment="1">
      <alignment horizontal="left" indent="1"/>
    </xf>
    <xf numFmtId="0" fontId="24" fillId="11" borderId="1" xfId="17" applyFont="1" applyFill="1"/>
    <xf numFmtId="174" fontId="24" fillId="11" borderId="1" xfId="17" applyNumberFormat="1" applyFont="1" applyFill="1"/>
    <xf numFmtId="9" fontId="24" fillId="11" borderId="19" xfId="17" applyNumberFormat="1" applyFont="1" applyFill="1" applyBorder="1"/>
    <xf numFmtId="0" fontId="39" fillId="11" borderId="1" xfId="17" applyFont="1" applyFill="1" applyAlignment="1">
      <alignment horizontal="left" indent="1"/>
    </xf>
    <xf numFmtId="10" fontId="39" fillId="11" borderId="1" xfId="17" applyNumberFormat="1" applyFont="1" applyFill="1"/>
    <xf numFmtId="10" fontId="0" fillId="11" borderId="1" xfId="18" applyNumberFormat="1" applyFont="1" applyFill="1"/>
    <xf numFmtId="10" fontId="38" fillId="11" borderId="1" xfId="18" applyNumberFormat="1" applyFont="1" applyFill="1" applyAlignment="1">
      <alignment horizontal="left"/>
    </xf>
    <xf numFmtId="0" fontId="1" fillId="11" borderId="20" xfId="17" applyFill="1" applyBorder="1"/>
    <xf numFmtId="10" fontId="0" fillId="11" borderId="20" xfId="18" applyNumberFormat="1" applyFont="1" applyFill="1" applyBorder="1"/>
    <xf numFmtId="2" fontId="39" fillId="11" borderId="1" xfId="17" applyNumberFormat="1" applyFont="1" applyFill="1"/>
    <xf numFmtId="0" fontId="1" fillId="11" borderId="18" xfId="17" applyFill="1" applyBorder="1"/>
    <xf numFmtId="41" fontId="1" fillId="11" borderId="18" xfId="17" applyNumberFormat="1" applyFill="1" applyBorder="1"/>
    <xf numFmtId="175" fontId="24" fillId="11" borderId="1" xfId="17" applyNumberFormat="1" applyFont="1" applyFill="1"/>
    <xf numFmtId="10" fontId="24" fillId="11" borderId="19" xfId="17" applyNumberFormat="1" applyFont="1" applyFill="1" applyBorder="1"/>
    <xf numFmtId="175" fontId="1" fillId="11" borderId="1" xfId="17" applyNumberFormat="1" applyFill="1"/>
    <xf numFmtId="6" fontId="1" fillId="11" borderId="1" xfId="17" applyNumberFormat="1" applyFill="1"/>
    <xf numFmtId="4" fontId="39" fillId="11" borderId="1" xfId="17" applyNumberFormat="1" applyFont="1" applyFill="1"/>
    <xf numFmtId="6" fontId="1" fillId="11" borderId="1" xfId="19" applyNumberFormat="1" applyFont="1" applyFill="1" applyBorder="1" applyAlignment="1">
      <alignment horizontal="right"/>
    </xf>
    <xf numFmtId="8" fontId="1" fillId="11" borderId="1" xfId="17" applyNumberFormat="1" applyFill="1"/>
    <xf numFmtId="0" fontId="41" fillId="0" borderId="0" xfId="20"/>
    <xf numFmtId="9" fontId="24" fillId="11" borderId="1" xfId="17" applyNumberFormat="1" applyFont="1" applyFill="1"/>
    <xf numFmtId="10" fontId="24" fillId="11" borderId="1" xfId="17" applyNumberFormat="1" applyFont="1" applyFill="1"/>
    <xf numFmtId="0" fontId="22" fillId="7" borderId="1" xfId="3" applyFont="1" applyFill="1" applyAlignment="1">
      <alignment horizontal="center" vertical="center" wrapText="1"/>
    </xf>
    <xf numFmtId="0" fontId="12" fillId="10" borderId="3" xfId="0" applyFont="1" applyFill="1" applyBorder="1" applyAlignment="1">
      <alignment horizontal="center" vertical="center" wrapText="1"/>
    </xf>
    <xf numFmtId="168" fontId="43" fillId="7" borderId="5" xfId="14" applyNumberFormat="1" applyFont="1" applyFill="1" applyBorder="1" applyAlignment="1">
      <alignment horizontal="center" vertical="center" wrapText="1"/>
    </xf>
    <xf numFmtId="168" fontId="43" fillId="7" borderId="6" xfId="14" applyNumberFormat="1" applyFont="1" applyFill="1" applyBorder="1" applyAlignment="1">
      <alignment horizontal="center" vertical="center" wrapText="1"/>
    </xf>
    <xf numFmtId="0" fontId="43" fillId="7" borderId="3" xfId="14" applyFont="1" applyFill="1" applyBorder="1" applyAlignment="1">
      <alignment horizontal="center" vertical="center" wrapText="1"/>
    </xf>
    <xf numFmtId="0" fontId="43" fillId="7" borderId="6" xfId="14" applyFont="1" applyFill="1" applyBorder="1" applyAlignment="1">
      <alignment horizontal="center" vertical="center" wrapText="1"/>
    </xf>
    <xf numFmtId="168" fontId="43" fillId="6" borderId="4" xfId="14" applyNumberFormat="1" applyFont="1" applyFill="1" applyBorder="1" applyAlignment="1">
      <alignment horizontal="center" vertical="center" wrapText="1"/>
    </xf>
    <xf numFmtId="0" fontId="43" fillId="6" borderId="3" xfId="14" applyFont="1" applyFill="1" applyBorder="1" applyAlignment="1">
      <alignment horizontal="center" vertical="center" wrapText="1"/>
    </xf>
    <xf numFmtId="0" fontId="43" fillId="6" borderId="1" xfId="14" applyFont="1" applyFill="1" applyAlignment="1">
      <alignment horizontal="center"/>
    </xf>
    <xf numFmtId="0" fontId="43" fillId="6" borderId="3" xfId="14" applyFont="1" applyFill="1" applyBorder="1"/>
    <xf numFmtId="170" fontId="43" fillId="6" borderId="3" xfId="15" applyNumberFormat="1" applyFont="1" applyFill="1" applyBorder="1"/>
    <xf numFmtId="0" fontId="29" fillId="11" borderId="16" xfId="14" applyFont="1" applyFill="1" applyBorder="1"/>
    <xf numFmtId="0" fontId="43" fillId="7" borderId="3" xfId="14" applyFont="1" applyFill="1" applyBorder="1"/>
    <xf numFmtId="170" fontId="43" fillId="7" borderId="4" xfId="15" applyNumberFormat="1" applyFont="1" applyFill="1" applyBorder="1"/>
    <xf numFmtId="170" fontId="44" fillId="7" borderId="3" xfId="15" applyNumberFormat="1" applyFont="1" applyFill="1" applyBorder="1"/>
    <xf numFmtId="170" fontId="44" fillId="7" borderId="6" xfId="15" applyNumberFormat="1" applyFont="1" applyFill="1" applyBorder="1"/>
    <xf numFmtId="0" fontId="43" fillId="6" borderId="15" xfId="14" applyFont="1" applyFill="1" applyBorder="1"/>
    <xf numFmtId="0" fontId="22" fillId="14" borderId="0" xfId="0" applyFont="1" applyFill="1" applyAlignment="1">
      <alignment horizontal="center"/>
    </xf>
    <xf numFmtId="6" fontId="13" fillId="0" borderId="3" xfId="0" applyNumberFormat="1" applyFont="1" applyBorder="1" applyAlignment="1">
      <alignment horizontal="center"/>
    </xf>
    <xf numFmtId="170" fontId="13" fillId="0" borderId="3" xfId="0" applyNumberFormat="1" applyFont="1" applyBorder="1" applyAlignment="1">
      <alignment horizontal="center"/>
    </xf>
    <xf numFmtId="0" fontId="29" fillId="0" borderId="5" xfId="14" applyFont="1" applyBorder="1"/>
    <xf numFmtId="170" fontId="29" fillId="0" borderId="3" xfId="14" applyNumberFormat="1" applyFont="1" applyBorder="1"/>
    <xf numFmtId="170" fontId="29" fillId="0" borderId="4" xfId="14" applyNumberFormat="1" applyFont="1" applyBorder="1"/>
    <xf numFmtId="0" fontId="5" fillId="0" borderId="4" xfId="0" applyFont="1" applyBorder="1"/>
    <xf numFmtId="6" fontId="0" fillId="0" borderId="3" xfId="0" applyNumberFormat="1" applyBorder="1" applyAlignment="1">
      <alignment horizontal="center"/>
    </xf>
    <xf numFmtId="6" fontId="0" fillId="0" borderId="6" xfId="0" applyNumberFormat="1" applyBorder="1" applyAlignment="1">
      <alignment horizontal="center"/>
    </xf>
    <xf numFmtId="6" fontId="0" fillId="0" borderId="5" xfId="0" applyNumberFormat="1" applyBorder="1" applyAlignment="1">
      <alignment horizontal="center"/>
    </xf>
    <xf numFmtId="0" fontId="43" fillId="18" borderId="3" xfId="14" applyFont="1" applyFill="1" applyBorder="1"/>
    <xf numFmtId="170" fontId="43" fillId="18" borderId="3" xfId="15" applyNumberFormat="1" applyFont="1" applyFill="1" applyBorder="1"/>
    <xf numFmtId="170" fontId="43" fillId="18" borderId="6" xfId="15" applyNumberFormat="1" applyFont="1" applyFill="1" applyBorder="1"/>
    <xf numFmtId="0" fontId="22" fillId="14" borderId="13" xfId="0" applyFont="1" applyFill="1" applyBorder="1" applyAlignment="1">
      <alignment horizontal="center" vertical="center"/>
    </xf>
    <xf numFmtId="0" fontId="37" fillId="19" borderId="19" xfId="17" applyFont="1" applyFill="1" applyBorder="1"/>
    <xf numFmtId="10" fontId="37" fillId="19" borderId="19" xfId="17" applyNumberFormat="1" applyFont="1" applyFill="1" applyBorder="1"/>
    <xf numFmtId="0" fontId="37" fillId="13" borderId="19" xfId="17" applyFont="1" applyFill="1" applyBorder="1" applyAlignment="1">
      <alignment horizontal="center"/>
    </xf>
    <xf numFmtId="0" fontId="42" fillId="13" borderId="19" xfId="17" applyFont="1" applyFill="1" applyBorder="1"/>
    <xf numFmtId="0" fontId="24" fillId="13" borderId="19" xfId="17" applyFont="1" applyFill="1" applyBorder="1"/>
    <xf numFmtId="6" fontId="24" fillId="13" borderId="19" xfId="0" applyNumberFormat="1" applyFont="1" applyFill="1" applyBorder="1"/>
    <xf numFmtId="41" fontId="24" fillId="13" borderId="19" xfId="17" applyNumberFormat="1" applyFont="1" applyFill="1" applyBorder="1"/>
    <xf numFmtId="0" fontId="37" fillId="13" borderId="19" xfId="17" applyFont="1" applyFill="1" applyBorder="1"/>
    <xf numFmtId="6" fontId="24" fillId="13" borderId="19" xfId="17" applyNumberFormat="1" applyFont="1" applyFill="1" applyBorder="1"/>
    <xf numFmtId="175" fontId="24" fillId="13" borderId="19" xfId="17" applyNumberFormat="1" applyFont="1" applyFill="1" applyBorder="1"/>
    <xf numFmtId="175" fontId="37" fillId="13" borderId="19" xfId="17" applyNumberFormat="1" applyFont="1" applyFill="1" applyBorder="1"/>
    <xf numFmtId="0" fontId="37" fillId="13" borderId="21" xfId="17" applyFont="1" applyFill="1" applyBorder="1"/>
    <xf numFmtId="0" fontId="1" fillId="11" borderId="17" xfId="17" applyFill="1" applyBorder="1"/>
    <xf numFmtId="0" fontId="1" fillId="11" borderId="22" xfId="17" applyFill="1" applyBorder="1"/>
    <xf numFmtId="0" fontId="1" fillId="11" borderId="23" xfId="17" applyFill="1" applyBorder="1"/>
    <xf numFmtId="0" fontId="1" fillId="11" borderId="24" xfId="17" applyFill="1" applyBorder="1" applyAlignment="1">
      <alignment horizontal="center"/>
    </xf>
    <xf numFmtId="0" fontId="40" fillId="11" borderId="1" xfId="17" applyFont="1" applyFill="1" applyAlignment="1">
      <alignment horizontal="center"/>
    </xf>
    <xf numFmtId="0" fontId="1" fillId="11" borderId="13" xfId="17" applyFill="1" applyBorder="1"/>
    <xf numFmtId="0" fontId="1" fillId="11" borderId="24" xfId="17" applyFill="1" applyBorder="1"/>
    <xf numFmtId="2" fontId="1" fillId="11" borderId="1" xfId="17" applyNumberFormat="1" applyFill="1" applyAlignment="1">
      <alignment horizontal="center"/>
    </xf>
    <xf numFmtId="0" fontId="1" fillId="11" borderId="16" xfId="17" applyFill="1" applyBorder="1"/>
    <xf numFmtId="0" fontId="1" fillId="11" borderId="15" xfId="17" applyFill="1" applyBorder="1"/>
    <xf numFmtId="0" fontId="1" fillId="11" borderId="11" xfId="17" applyFill="1" applyBorder="1"/>
    <xf numFmtId="10" fontId="24" fillId="13" borderId="19" xfId="17" applyNumberFormat="1" applyFont="1" applyFill="1" applyBorder="1"/>
    <xf numFmtId="0" fontId="12" fillId="0" borderId="4" xfId="0" applyFont="1" applyBorder="1" applyAlignment="1">
      <alignment horizontal="center" vertical="top"/>
    </xf>
    <xf numFmtId="0" fontId="12" fillId="0" borderId="5" xfId="0" applyFont="1" applyBorder="1" applyAlignment="1">
      <alignment horizontal="center" vertical="top"/>
    </xf>
    <xf numFmtId="0" fontId="12" fillId="0" borderId="6" xfId="0" applyFont="1" applyBorder="1" applyAlignment="1">
      <alignment horizontal="center" vertical="top"/>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7" fillId="0" borderId="4" xfId="0" applyFont="1" applyBorder="1" applyAlignment="1">
      <alignment horizontal="center" vertical="top"/>
    </xf>
    <xf numFmtId="0" fontId="21" fillId="6" borderId="8" xfId="9" applyFont="1" applyFill="1" applyBorder="1" applyAlignment="1">
      <alignment horizontal="center" vertical="center" wrapText="1"/>
    </xf>
    <xf numFmtId="0" fontId="21" fillId="6" borderId="9" xfId="9" applyFont="1" applyFill="1" applyBorder="1" applyAlignment="1">
      <alignment horizontal="center" vertical="center" wrapText="1"/>
    </xf>
    <xf numFmtId="0" fontId="21" fillId="6" borderId="10" xfId="9" applyFont="1" applyFill="1" applyBorder="1" applyAlignment="1">
      <alignment horizontal="center" vertical="center" wrapText="1"/>
    </xf>
    <xf numFmtId="0" fontId="21" fillId="6" borderId="8" xfId="9" applyFont="1" applyFill="1" applyBorder="1" applyAlignment="1">
      <alignment horizontal="center" vertical="center"/>
    </xf>
    <xf numFmtId="0" fontId="21" fillId="6" borderId="9" xfId="9" applyFont="1" applyFill="1" applyBorder="1" applyAlignment="1">
      <alignment horizontal="center" vertical="center"/>
    </xf>
    <xf numFmtId="0" fontId="21" fillId="6" borderId="10" xfId="9" applyFont="1" applyFill="1" applyBorder="1" applyAlignment="1">
      <alignment horizontal="center" vertical="center"/>
    </xf>
    <xf numFmtId="0" fontId="21" fillId="6" borderId="8" xfId="8" applyFont="1" applyFill="1" applyBorder="1" applyAlignment="1">
      <alignment horizontal="center" vertical="center"/>
    </xf>
    <xf numFmtId="0" fontId="21" fillId="6" borderId="9" xfId="8" applyFont="1" applyFill="1" applyBorder="1" applyAlignment="1">
      <alignment horizontal="center" vertical="center"/>
    </xf>
    <xf numFmtId="0" fontId="21" fillId="6" borderId="10" xfId="8" applyFont="1" applyFill="1" applyBorder="1" applyAlignment="1">
      <alignment horizontal="center" vertical="center"/>
    </xf>
    <xf numFmtId="166" fontId="21" fillId="6" borderId="8" xfId="5" applyNumberFormat="1" applyFont="1" applyFill="1" applyBorder="1" applyAlignment="1">
      <alignment horizontal="center" vertical="center"/>
    </xf>
    <xf numFmtId="166" fontId="21" fillId="6" borderId="9" xfId="5" applyNumberFormat="1" applyFont="1" applyFill="1" applyBorder="1" applyAlignment="1">
      <alignment horizontal="center" vertical="center"/>
    </xf>
    <xf numFmtId="166" fontId="21" fillId="6" borderId="10" xfId="5" applyNumberFormat="1" applyFont="1" applyFill="1" applyBorder="1" applyAlignment="1">
      <alignment horizontal="center" vertical="center"/>
    </xf>
    <xf numFmtId="166" fontId="21" fillId="6" borderId="8" xfId="8" applyNumberFormat="1" applyFont="1" applyFill="1" applyBorder="1" applyAlignment="1">
      <alignment horizontal="center" vertical="center"/>
    </xf>
    <xf numFmtId="166" fontId="21" fillId="6" borderId="9" xfId="8" applyNumberFormat="1" applyFont="1" applyFill="1" applyBorder="1" applyAlignment="1">
      <alignment horizontal="center" vertical="center"/>
    </xf>
    <xf numFmtId="166" fontId="21" fillId="6" borderId="10" xfId="8" applyNumberFormat="1" applyFont="1" applyFill="1" applyBorder="1" applyAlignment="1">
      <alignment horizontal="center" vertical="center"/>
    </xf>
    <xf numFmtId="0" fontId="24" fillId="11" borderId="25" xfId="17" applyFont="1" applyFill="1" applyBorder="1" applyAlignment="1">
      <alignment horizontal="center"/>
    </xf>
  </cellXfs>
  <cellStyles count="21">
    <cellStyle name="Hipervínculo" xfId="20" builtinId="8"/>
    <cellStyle name="Millares [0] 2" xfId="19" xr:uid="{FFAC3AA3-7DEA-478D-BFB0-C353CB03A4CA}"/>
    <cellStyle name="Millares 2" xfId="5" xr:uid="{5AE17185-311C-40C5-AE84-28BEC75825B7}"/>
    <cellStyle name="Moneda" xfId="1" builtinId="4"/>
    <cellStyle name="Moneda 2" xfId="6" xr:uid="{5C553979-D586-4056-90A1-A1E8DC723D69}"/>
    <cellStyle name="Moneda 2 2" xfId="15" xr:uid="{F60E8F4D-E9EE-46B7-ABEF-75ACF10BC1A5}"/>
    <cellStyle name="Neutral 2" xfId="7" xr:uid="{9796E5DA-E05C-41A8-B583-1AB344C3D143}"/>
    <cellStyle name="Normal" xfId="0" builtinId="0"/>
    <cellStyle name="Normal 2" xfId="3" xr:uid="{52B6940A-361F-4C6E-8779-28F1EEF434B7}"/>
    <cellStyle name="Normal 3" xfId="4" xr:uid="{AE0B78F4-399D-4C9C-AB8A-1951D27F1A1C}"/>
    <cellStyle name="Normal 4" xfId="12" xr:uid="{135F9E78-0F83-4CA2-9131-63378A074E23}"/>
    <cellStyle name="Normal 5" xfId="13" xr:uid="{F50E8D86-C247-47DE-BC88-494E3A08007E}"/>
    <cellStyle name="Normal 6" xfId="14" xr:uid="{84D5CEBA-1A2B-45BE-9C25-7CC23C00A73D}"/>
    <cellStyle name="Normal 7" xfId="16" xr:uid="{1371A665-0ADE-4D23-B92C-FEFCFEC3FF0C}"/>
    <cellStyle name="Normal 8" xfId="17" xr:uid="{5C30EEB2-E8C7-4AAC-84D5-B9ECE9DABE46}"/>
    <cellStyle name="Normal_Ceres exhibits v2" xfId="8" xr:uid="{A9C706D0-8EA8-4173-AEEF-19FC277DBFDD}"/>
    <cellStyle name="Normal_Ceres exhibits v3" xfId="9" xr:uid="{293A0D74-DFC2-4E38-9609-B191F1301B6A}"/>
    <cellStyle name="Porcentaje" xfId="2" builtinId="5"/>
    <cellStyle name="Porcentaje 2" xfId="10" xr:uid="{086E36A2-0F63-4ABD-986E-8CF408807F46}"/>
    <cellStyle name="Porcentaje 3" xfId="18" xr:uid="{A02EBA97-7175-42A5-A743-DE96F2B96EF0}"/>
    <cellStyle name="Total 2" xfId="11" xr:uid="{17AEF854-D7A7-4053-85E9-5C2EA6EEDBB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ARIO\Desktop\TESIS\Valoraci&#243;n%20Frisby-Resuelto.xlsx" TargetMode="External"/><Relationship Id="rId1" Type="http://schemas.openxmlformats.org/officeDocument/2006/relationships/externalLinkPath" Target="https://eafit-my.sharepoint.com/personal/vsepalvedh_eafit_edu_co/Documents/Datos%20adjuntos/Valoraci&#243;n%20Frisby-Resuel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stados Financieros"/>
      <sheetName val="Supuestos"/>
      <sheetName val="Valoración"/>
    </sheetNames>
    <sheetDataSet>
      <sheetData sheetId="0" refreshError="1">
        <row r="5">
          <cell r="G5">
            <v>355000000</v>
          </cell>
        </row>
        <row r="10">
          <cell r="G10">
            <v>24279164</v>
          </cell>
        </row>
        <row r="159">
          <cell r="G159">
            <v>64637621</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hyperlink" Target="https://datosmacro.expansion.com/bono/usa?dr=2025-01"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E5C6F-916D-4F6F-ADB5-A832ADA53020}">
  <dimension ref="B3:L8"/>
  <sheetViews>
    <sheetView showGridLines="0" zoomScale="84" zoomScaleNormal="84" workbookViewId="0">
      <selection activeCell="F4" sqref="F4"/>
    </sheetView>
  </sheetViews>
  <sheetFormatPr baseColWidth="10" defaultRowHeight="15.75" x14ac:dyDescent="0.25"/>
  <cols>
    <col min="1" max="1" width="3.75" customWidth="1"/>
    <col min="2" max="2" width="23.875" customWidth="1"/>
    <col min="3" max="3" width="10.875" customWidth="1"/>
    <col min="4" max="4" width="11.125" bestFit="1" customWidth="1"/>
    <col min="6" max="8" width="11.75" bestFit="1" customWidth="1"/>
    <col min="10" max="10" width="11.5" hidden="1" customWidth="1"/>
    <col min="11" max="11" width="0" hidden="1" customWidth="1"/>
    <col min="12" max="12" width="12.125" hidden="1" customWidth="1"/>
    <col min="13" max="13" width="0" hidden="1" customWidth="1"/>
  </cols>
  <sheetData>
    <row r="3" spans="2:12" x14ac:dyDescent="0.25">
      <c r="C3" s="19">
        <v>44561</v>
      </c>
      <c r="D3" s="19">
        <v>44926</v>
      </c>
      <c r="E3" s="19">
        <v>45291</v>
      </c>
      <c r="F3" s="78">
        <v>45657</v>
      </c>
      <c r="G3" s="78">
        <v>46022</v>
      </c>
      <c r="H3" s="78">
        <v>46387</v>
      </c>
    </row>
    <row r="4" spans="2:12" x14ac:dyDescent="0.25">
      <c r="B4" t="s">
        <v>134</v>
      </c>
      <c r="D4" s="86">
        <f>Consolidado!C45-Consolidado!B45</f>
        <v>-13857000</v>
      </c>
      <c r="E4" s="86">
        <f>Consolidado!D45-Consolidado!C45</f>
        <v>-5104000</v>
      </c>
      <c r="F4" s="86">
        <f>Supuestos!$M$55*Consolidado!E45</f>
        <v>0</v>
      </c>
      <c r="G4" s="86">
        <f>Supuestos!$M$55*Consolidado!F45</f>
        <v>0</v>
      </c>
      <c r="H4" s="86">
        <f>Supuestos!$M$55*Consolidado!G45</f>
        <v>0</v>
      </c>
      <c r="J4" s="86">
        <v>3814000</v>
      </c>
      <c r="K4" t="s">
        <v>135</v>
      </c>
      <c r="L4" s="85">
        <f>J4+J5-J6</f>
        <v>2444000</v>
      </c>
    </row>
    <row r="5" spans="2:12" x14ac:dyDescent="0.25">
      <c r="J5" s="87">
        <v>107000</v>
      </c>
      <c r="K5" t="s">
        <v>136</v>
      </c>
      <c r="L5" s="85"/>
    </row>
    <row r="6" spans="2:12" x14ac:dyDescent="0.25">
      <c r="J6" s="87">
        <v>1477000</v>
      </c>
      <c r="K6" t="s">
        <v>137</v>
      </c>
      <c r="L6" s="85">
        <f>J5-J6</f>
        <v>-1370000</v>
      </c>
    </row>
    <row r="7" spans="2:12" x14ac:dyDescent="0.25">
      <c r="J7" s="88">
        <v>-1370000</v>
      </c>
    </row>
    <row r="8" spans="2:12" x14ac:dyDescent="0.25">
      <c r="J8" s="87">
        <v>2444000</v>
      </c>
      <c r="K8" t="s">
        <v>138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1317-78B6-45E4-BA26-11BA4CF74131}">
  <dimension ref="B1:T60"/>
  <sheetViews>
    <sheetView showGridLines="0" zoomScale="89" zoomScaleNormal="89" workbookViewId="0">
      <selection activeCell="K1" sqref="K1:K1048576"/>
    </sheetView>
  </sheetViews>
  <sheetFormatPr baseColWidth="10" defaultRowHeight="15.75" x14ac:dyDescent="0.25"/>
  <cols>
    <col min="2" max="2" width="12.625" customWidth="1"/>
    <col min="3" max="4" width="12.375" bestFit="1" customWidth="1"/>
    <col min="6" max="6" width="19.75" customWidth="1"/>
    <col min="11" max="11" width="15.125" customWidth="1"/>
    <col min="16" max="16" width="21.125" customWidth="1"/>
  </cols>
  <sheetData>
    <row r="1" spans="2:20" x14ac:dyDescent="0.25">
      <c r="K1" s="269" t="s">
        <v>273</v>
      </c>
      <c r="P1" t="s">
        <v>276</v>
      </c>
    </row>
    <row r="2" spans="2:20" x14ac:dyDescent="0.25">
      <c r="K2" s="211" t="s">
        <v>274</v>
      </c>
      <c r="P2" s="211" t="s">
        <v>277</v>
      </c>
    </row>
    <row r="3" spans="2:20" x14ac:dyDescent="0.25">
      <c r="B3" s="2" t="s">
        <v>260</v>
      </c>
      <c r="C3" s="2"/>
    </row>
    <row r="4" spans="2:20" x14ac:dyDescent="0.25">
      <c r="K4" s="211" t="s">
        <v>271</v>
      </c>
      <c r="L4" s="211" t="s">
        <v>272</v>
      </c>
      <c r="P4" s="211" t="s">
        <v>280</v>
      </c>
      <c r="T4" s="211" t="s">
        <v>279</v>
      </c>
    </row>
    <row r="5" spans="2:20" x14ac:dyDescent="0.25">
      <c r="C5" s="79">
        <v>2024</v>
      </c>
    </row>
    <row r="6" spans="2:20" x14ac:dyDescent="0.25">
      <c r="B6" s="211" t="s">
        <v>261</v>
      </c>
      <c r="C6" s="158">
        <f>Consolidado!E14*(1-Supuestos!$E$27)</f>
        <v>19640830.964059643</v>
      </c>
      <c r="P6" t="s">
        <v>281</v>
      </c>
      <c r="Q6" s="85">
        <f>L8</f>
        <v>0.99</v>
      </c>
      <c r="T6" s="211" t="s">
        <v>290</v>
      </c>
    </row>
    <row r="7" spans="2:20" x14ac:dyDescent="0.25">
      <c r="B7" s="211" t="s">
        <v>262</v>
      </c>
      <c r="C7" s="158">
        <f>Consolidado!E33+Consolidado!E34-Consolidado!E64+Consolidado!E45</f>
        <v>114493931.53786869</v>
      </c>
      <c r="K7" s="211" t="s">
        <v>275</v>
      </c>
      <c r="L7" s="228"/>
      <c r="P7" s="211" t="s">
        <v>282</v>
      </c>
      <c r="Q7" s="228">
        <f>Supuestos!E27</f>
        <v>0.1822389706020556</v>
      </c>
    </row>
    <row r="8" spans="2:20" x14ac:dyDescent="0.25">
      <c r="K8" s="211" t="s">
        <v>278</v>
      </c>
      <c r="L8" s="85">
        <v>0.99</v>
      </c>
      <c r="P8" s="211" t="s">
        <v>284</v>
      </c>
      <c r="Q8" s="228">
        <v>0.45889999999999997</v>
      </c>
      <c r="T8" s="211" t="s">
        <v>283</v>
      </c>
    </row>
    <row r="9" spans="2:20" x14ac:dyDescent="0.25">
      <c r="K9" s="211" t="s">
        <v>285</v>
      </c>
      <c r="L9" s="229"/>
      <c r="Q9" s="229">
        <f>Q6*(1+(1-Q7)*Q8)</f>
        <v>1.3615178310268095</v>
      </c>
    </row>
    <row r="10" spans="2:20" x14ac:dyDescent="0.25">
      <c r="K10" s="211" t="s">
        <v>286</v>
      </c>
      <c r="L10" s="228"/>
      <c r="M10" t="s">
        <v>331</v>
      </c>
    </row>
    <row r="11" spans="2:20" ht="18" x14ac:dyDescent="0.25">
      <c r="K11" t="str">
        <f>K4</f>
        <v>CAPM</v>
      </c>
      <c r="L11" s="228"/>
      <c r="T11" s="230" t="s">
        <v>287</v>
      </c>
    </row>
    <row r="12" spans="2:20" x14ac:dyDescent="0.25">
      <c r="B12" s="2" t="s">
        <v>263</v>
      </c>
      <c r="C12" s="2" t="s">
        <v>264</v>
      </c>
      <c r="D12" s="2" t="s">
        <v>265</v>
      </c>
      <c r="E12" s="2" t="s">
        <v>266</v>
      </c>
      <c r="F12" s="2" t="s">
        <v>267</v>
      </c>
      <c r="H12" s="2" t="s">
        <v>268</v>
      </c>
      <c r="T12" t="s">
        <v>288</v>
      </c>
    </row>
    <row r="13" spans="2:20" x14ac:dyDescent="0.25">
      <c r="B13" s="211" t="s">
        <v>269</v>
      </c>
      <c r="C13" s="224">
        <f>Consolidado!E82</f>
        <v>200254255.45622706</v>
      </c>
      <c r="D13" s="225">
        <f>C13/$C$15</f>
        <v>0.7088626684500231</v>
      </c>
      <c r="E13" s="228">
        <f>Consolidado!E18/(Consolidado!E66+Consolidado!E79)</f>
        <v>0.12</v>
      </c>
      <c r="F13" s="228">
        <f>E13*(1-Supuestos!$E$27)</f>
        <v>9.813132352775332E-2</v>
      </c>
      <c r="H13" s="223">
        <f>D13*F13</f>
        <v>6.9561631854415759E-2</v>
      </c>
      <c r="T13" s="211" t="s">
        <v>289</v>
      </c>
    </row>
    <row r="14" spans="2:20" x14ac:dyDescent="0.25">
      <c r="B14" s="211" t="s">
        <v>58</v>
      </c>
      <c r="C14" s="224">
        <f>Consolidado!E92</f>
        <v>82246522.718615666</v>
      </c>
      <c r="D14" s="225">
        <f>C14/$C$15</f>
        <v>0.2911373315499769</v>
      </c>
      <c r="E14" s="228">
        <f>L11</f>
        <v>0</v>
      </c>
      <c r="F14" s="228">
        <f>E14</f>
        <v>0</v>
      </c>
      <c r="H14" s="223">
        <f>D14*F14</f>
        <v>0</v>
      </c>
    </row>
    <row r="15" spans="2:20" x14ac:dyDescent="0.25">
      <c r="B15" s="2" t="s">
        <v>270</v>
      </c>
      <c r="C15" s="226">
        <f>C13+C14</f>
        <v>282500778.17484272</v>
      </c>
      <c r="D15" s="227">
        <f>D13+D14</f>
        <v>1</v>
      </c>
      <c r="E15" s="2"/>
      <c r="F15" s="2"/>
      <c r="G15" s="2"/>
      <c r="H15" s="227">
        <f>H13+H14</f>
        <v>6.9561631854415759E-2</v>
      </c>
      <c r="I15" s="2"/>
    </row>
    <row r="19" spans="2:9" x14ac:dyDescent="0.25">
      <c r="B19" s="231" t="s">
        <v>291</v>
      </c>
      <c r="C19" s="232">
        <f>C6-(C7*H15)</f>
        <v>11676446.24885774</v>
      </c>
    </row>
    <row r="23" spans="2:9" x14ac:dyDescent="0.25">
      <c r="C23" s="79">
        <v>2025</v>
      </c>
    </row>
    <row r="24" spans="2:9" x14ac:dyDescent="0.25">
      <c r="B24" s="211" t="s">
        <v>261</v>
      </c>
      <c r="C24" s="158">
        <f>Consolidado!F14*(1-Supuestos!$E$27)</f>
        <v>17893384.74001142</v>
      </c>
    </row>
    <row r="25" spans="2:9" x14ac:dyDescent="0.25">
      <c r="B25" s="211" t="s">
        <v>262</v>
      </c>
      <c r="C25" s="158">
        <f>Consolidado!F33+Consolidado!F34-Consolidado!F64+Consolidado!F45</f>
        <v>104307397.74465013</v>
      </c>
    </row>
    <row r="29" spans="2:9" x14ac:dyDescent="0.25">
      <c r="B29" s="2" t="s">
        <v>263</v>
      </c>
      <c r="C29" s="2" t="s">
        <v>264</v>
      </c>
      <c r="D29" s="2" t="s">
        <v>265</v>
      </c>
      <c r="E29" s="2" t="s">
        <v>266</v>
      </c>
      <c r="F29" s="2" t="s">
        <v>267</v>
      </c>
      <c r="H29" s="2" t="s">
        <v>268</v>
      </c>
    </row>
    <row r="30" spans="2:9" x14ac:dyDescent="0.25">
      <c r="B30" s="211" t="s">
        <v>269</v>
      </c>
      <c r="C30" s="224">
        <f>Consolidado!F82</f>
        <v>181182454.58640105</v>
      </c>
      <c r="D30" s="225">
        <f>C30/$C$32</f>
        <v>0.65124754522415107</v>
      </c>
      <c r="E30" s="228">
        <f>Consolidado!F18/(Consolidado!F66+Consolidado!F79)</f>
        <v>0.1</v>
      </c>
      <c r="F30" s="228">
        <f>E30*(1-Supuestos!$E$27)</f>
        <v>8.177610293979444E-2</v>
      </c>
      <c r="H30" s="223">
        <f>D30*F30</f>
        <v>5.3256486297538611E-2</v>
      </c>
    </row>
    <row r="31" spans="2:9" x14ac:dyDescent="0.25">
      <c r="B31" s="211" t="s">
        <v>58</v>
      </c>
      <c r="C31" s="224">
        <f>Consolidado!F92</f>
        <v>97025818.005306542</v>
      </c>
      <c r="D31" s="225">
        <f>C31/$C$32</f>
        <v>0.34875245477584887</v>
      </c>
      <c r="E31" s="228">
        <f>E14</f>
        <v>0</v>
      </c>
      <c r="F31" s="228">
        <f>E31</f>
        <v>0</v>
      </c>
      <c r="H31" s="223">
        <f>D31*F31</f>
        <v>0</v>
      </c>
    </row>
    <row r="32" spans="2:9" x14ac:dyDescent="0.25">
      <c r="B32" s="2" t="s">
        <v>270</v>
      </c>
      <c r="C32" s="226">
        <f>C30+C31</f>
        <v>278208272.59170759</v>
      </c>
      <c r="D32" s="227">
        <f>D30+D31</f>
        <v>1</v>
      </c>
      <c r="E32" s="2"/>
      <c r="F32" s="2"/>
      <c r="G32" s="2"/>
      <c r="H32" s="227">
        <f>H30+H31</f>
        <v>5.3256486297538611E-2</v>
      </c>
      <c r="I32" s="2"/>
    </row>
    <row r="35" spans="2:13" x14ac:dyDescent="0.25">
      <c r="B35" s="231" t="s">
        <v>291</v>
      </c>
      <c r="C35" s="232">
        <f>C24-(C25*H32)</f>
        <v>12338339.241291551</v>
      </c>
    </row>
    <row r="40" spans="2:13" x14ac:dyDescent="0.25">
      <c r="C40" s="79">
        <v>2026</v>
      </c>
    </row>
    <row r="41" spans="2:13" x14ac:dyDescent="0.25">
      <c r="B41" s="211" t="s">
        <v>261</v>
      </c>
      <c r="C41" s="158">
        <f>Consolidado!G14*(1-Supuestos!$E$27)</f>
        <v>16301408.939364728</v>
      </c>
    </row>
    <row r="42" spans="2:13" x14ac:dyDescent="0.25">
      <c r="B42" s="211" t="s">
        <v>262</v>
      </c>
      <c r="C42" s="158">
        <f>Consolidado!G33+Consolidado!G34-Consolidado!G64+Consolidado!G45</f>
        <v>95027160.637435928</v>
      </c>
    </row>
    <row r="45" spans="2:13" x14ac:dyDescent="0.25">
      <c r="M45" s="211" t="s">
        <v>301</v>
      </c>
    </row>
    <row r="46" spans="2:13" x14ac:dyDescent="0.25">
      <c r="B46" s="2" t="s">
        <v>263</v>
      </c>
      <c r="C46" s="2" t="s">
        <v>264</v>
      </c>
      <c r="D46" s="2" t="s">
        <v>265</v>
      </c>
      <c r="E46" s="2" t="s">
        <v>266</v>
      </c>
      <c r="F46" s="2" t="s">
        <v>267</v>
      </c>
      <c r="H46" s="2" t="s">
        <v>268</v>
      </c>
    </row>
    <row r="47" spans="2:13" x14ac:dyDescent="0.25">
      <c r="B47" s="211" t="s">
        <v>269</v>
      </c>
      <c r="C47" s="224">
        <f>Consolidado!G82</f>
        <v>163932989.74365363</v>
      </c>
      <c r="D47" s="225">
        <f>C47/$C$49</f>
        <v>0.58978494109596991</v>
      </c>
      <c r="E47" s="228">
        <f>Consolidado!G18/(Consolidado!G66+Consolidado!G79)</f>
        <v>0.08</v>
      </c>
      <c r="F47" s="228">
        <f>E47*(1-Supuestos!$E$27)</f>
        <v>6.5420882351835546E-2</v>
      </c>
      <c r="H47" s="223">
        <f>D47*F47</f>
        <v>3.8584251244323707E-2</v>
      </c>
      <c r="M47" s="211" t="s">
        <v>295</v>
      </c>
    </row>
    <row r="48" spans="2:13" x14ac:dyDescent="0.25">
      <c r="B48" s="211" t="s">
        <v>58</v>
      </c>
      <c r="C48" s="224">
        <f>Consolidado!G92</f>
        <v>114020851.25985618</v>
      </c>
      <c r="D48" s="225">
        <f>C48/$C$49</f>
        <v>0.41021505890403004</v>
      </c>
      <c r="E48" s="228">
        <f>E31</f>
        <v>0</v>
      </c>
      <c r="F48" s="228">
        <f>E48</f>
        <v>0</v>
      </c>
      <c r="H48" s="223">
        <f>D48*F48</f>
        <v>0</v>
      </c>
    </row>
    <row r="49" spans="2:13" x14ac:dyDescent="0.25">
      <c r="B49" s="2" t="s">
        <v>270</v>
      </c>
      <c r="C49" s="226">
        <f>C47+C48</f>
        <v>277953841.00350982</v>
      </c>
      <c r="D49" s="227">
        <f>D47+D48</f>
        <v>1</v>
      </c>
      <c r="E49" s="2"/>
      <c r="F49" s="2"/>
      <c r="G49" s="2"/>
      <c r="H49" s="227">
        <f>H47+H48</f>
        <v>3.8584251244323707E-2</v>
      </c>
      <c r="I49" s="2"/>
      <c r="M49" s="211" t="s">
        <v>296</v>
      </c>
    </row>
    <row r="50" spans="2:13" x14ac:dyDescent="0.25">
      <c r="M50" s="233"/>
    </row>
    <row r="51" spans="2:13" x14ac:dyDescent="0.25">
      <c r="M51" s="234" t="s">
        <v>297</v>
      </c>
    </row>
    <row r="52" spans="2:13" x14ac:dyDescent="0.25">
      <c r="B52" s="231" t="s">
        <v>291</v>
      </c>
      <c r="C52" s="232">
        <f>C41-(C42*H49)</f>
        <v>12634857.098295191</v>
      </c>
      <c r="M52" s="233"/>
    </row>
    <row r="53" spans="2:13" x14ac:dyDescent="0.25">
      <c r="M53" s="234" t="s">
        <v>298</v>
      </c>
    </row>
    <row r="54" spans="2:13" x14ac:dyDescent="0.25">
      <c r="M54" s="233"/>
    </row>
    <row r="55" spans="2:13" x14ac:dyDescent="0.25">
      <c r="M55" s="234" t="s">
        <v>299</v>
      </c>
    </row>
    <row r="57" spans="2:13" x14ac:dyDescent="0.25">
      <c r="B57" s="218" t="s">
        <v>292</v>
      </c>
      <c r="C57" s="218" t="s">
        <v>291</v>
      </c>
      <c r="D57" s="218" t="s">
        <v>293</v>
      </c>
      <c r="E57" s="218" t="s">
        <v>294</v>
      </c>
      <c r="M57" s="211" t="s">
        <v>300</v>
      </c>
    </row>
    <row r="58" spans="2:13" x14ac:dyDescent="0.25">
      <c r="B58">
        <v>2024</v>
      </c>
      <c r="C58" s="158">
        <f>C19</f>
        <v>11676446.24885774</v>
      </c>
    </row>
    <row r="59" spans="2:13" x14ac:dyDescent="0.25">
      <c r="B59">
        <v>2025</v>
      </c>
      <c r="C59" s="158">
        <f>C35</f>
        <v>12338339.241291551</v>
      </c>
      <c r="D59" s="223">
        <f>C59/C58-1</f>
        <v>5.6686167891070616E-2</v>
      </c>
      <c r="E59" s="158">
        <f>C59-C58</f>
        <v>661892.99243381061</v>
      </c>
    </row>
    <row r="60" spans="2:13" x14ac:dyDescent="0.25">
      <c r="B60">
        <v>2026</v>
      </c>
      <c r="C60" s="158">
        <f>C52</f>
        <v>12634857.098295191</v>
      </c>
      <c r="D60" s="223">
        <f>C60/C59-1</f>
        <v>2.4032234096085903E-2</v>
      </c>
      <c r="E60" s="158">
        <f>C60-C59</f>
        <v>296517.85700364038</v>
      </c>
    </row>
  </sheetData>
  <hyperlinks>
    <hyperlink ref="K1" r:id="rId1" xr:uid="{0DA82F55-0F1E-4036-BD0A-0C9E5739D6EB}"/>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24AAC-FB2D-4C7C-AEAA-FE3A52B75D1D}">
  <dimension ref="C2:C49"/>
  <sheetViews>
    <sheetView showGridLines="0" topLeftCell="A4" workbookViewId="0">
      <selection activeCell="C20" sqref="C20:F20"/>
    </sheetView>
  </sheetViews>
  <sheetFormatPr baseColWidth="10" defaultRowHeight="15.75" x14ac:dyDescent="0.25"/>
  <sheetData>
    <row r="2" spans="3:3" x14ac:dyDescent="0.25">
      <c r="C2" s="211" t="s">
        <v>302</v>
      </c>
    </row>
    <row r="4" spans="3:3" ht="18" x14ac:dyDescent="0.25">
      <c r="C4" s="235" t="s">
        <v>303</v>
      </c>
    </row>
    <row r="6" spans="3:3" x14ac:dyDescent="0.25">
      <c r="C6" s="211" t="s">
        <v>295</v>
      </c>
    </row>
    <row r="8" spans="3:3" x14ac:dyDescent="0.25">
      <c r="C8" s="211" t="s">
        <v>304</v>
      </c>
    </row>
    <row r="12" spans="3:3" ht="18" x14ac:dyDescent="0.25">
      <c r="C12" s="235" t="s">
        <v>305</v>
      </c>
    </row>
    <row r="14" spans="3:3" x14ac:dyDescent="0.25">
      <c r="C14" s="211" t="s">
        <v>306</v>
      </c>
    </row>
    <row r="16" spans="3:3" x14ac:dyDescent="0.25">
      <c r="C16" s="211" t="s">
        <v>296</v>
      </c>
    </row>
    <row r="17" spans="3:3" x14ac:dyDescent="0.25">
      <c r="C17" s="233"/>
    </row>
    <row r="18" spans="3:3" x14ac:dyDescent="0.25">
      <c r="C18" s="234" t="s">
        <v>307</v>
      </c>
    </row>
    <row r="19" spans="3:3" x14ac:dyDescent="0.25">
      <c r="C19" s="233"/>
    </row>
    <row r="20" spans="3:3" x14ac:dyDescent="0.25">
      <c r="C20" s="236" t="s">
        <v>308</v>
      </c>
    </row>
    <row r="21" spans="3:3" x14ac:dyDescent="0.25">
      <c r="C21" s="233"/>
    </row>
    <row r="22" spans="3:3" x14ac:dyDescent="0.25">
      <c r="C22" s="236" t="s">
        <v>309</v>
      </c>
    </row>
    <row r="26" spans="3:3" ht="18" x14ac:dyDescent="0.25">
      <c r="C26" s="235" t="s">
        <v>310</v>
      </c>
    </row>
    <row r="28" spans="3:3" x14ac:dyDescent="0.25">
      <c r="C28" s="211" t="s">
        <v>311</v>
      </c>
    </row>
    <row r="30" spans="3:3" x14ac:dyDescent="0.25">
      <c r="C30" s="211" t="s">
        <v>296</v>
      </c>
    </row>
    <row r="31" spans="3:3" x14ac:dyDescent="0.25">
      <c r="C31" s="233"/>
    </row>
    <row r="32" spans="3:3" x14ac:dyDescent="0.25">
      <c r="C32" s="234" t="s">
        <v>312</v>
      </c>
    </row>
    <row r="33" spans="3:3" x14ac:dyDescent="0.25">
      <c r="C33" s="233"/>
    </row>
    <row r="34" spans="3:3" x14ac:dyDescent="0.25">
      <c r="C34" s="234" t="s">
        <v>313</v>
      </c>
    </row>
    <row r="36" spans="3:3" x14ac:dyDescent="0.25">
      <c r="C36" s="211" t="s">
        <v>314</v>
      </c>
    </row>
    <row r="40" spans="3:3" ht="18" x14ac:dyDescent="0.25">
      <c r="C40" s="235" t="s">
        <v>315</v>
      </c>
    </row>
    <row r="42" spans="3:3" x14ac:dyDescent="0.25">
      <c r="C42" s="211" t="s">
        <v>316</v>
      </c>
    </row>
    <row r="44" spans="3:3" x14ac:dyDescent="0.25">
      <c r="C44" s="211" t="s">
        <v>296</v>
      </c>
    </row>
    <row r="45" spans="3:3" x14ac:dyDescent="0.25">
      <c r="C45" s="233"/>
    </row>
    <row r="46" spans="3:3" x14ac:dyDescent="0.25">
      <c r="C46" s="234" t="s">
        <v>317</v>
      </c>
    </row>
    <row r="47" spans="3:3" x14ac:dyDescent="0.25">
      <c r="C47" s="233"/>
    </row>
    <row r="48" spans="3:3" x14ac:dyDescent="0.25">
      <c r="C48" s="234" t="s">
        <v>318</v>
      </c>
    </row>
    <row r="49" spans="3:3" x14ac:dyDescent="0.25">
      <c r="C49" s="236" t="s">
        <v>319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3937C-2899-4559-BBF5-45208F3C426B}">
  <sheetPr>
    <tabColor theme="4" tint="-0.249977111117893"/>
  </sheetPr>
  <dimension ref="B1:AA71"/>
  <sheetViews>
    <sheetView showGridLines="0" zoomScale="80" zoomScaleNormal="80" workbookViewId="0">
      <pane xSplit="2" ySplit="5" topLeftCell="C6" activePane="bottomRight" state="frozen"/>
      <selection pane="topRight" activeCell="B1" sqref="B1"/>
      <selection pane="bottomLeft" activeCell="A6" sqref="A6"/>
      <selection pane="bottomRight" activeCell="G10" sqref="G10"/>
    </sheetView>
  </sheetViews>
  <sheetFormatPr baseColWidth="10" defaultRowHeight="15.75" x14ac:dyDescent="0.25"/>
  <cols>
    <col min="1" max="1" width="1.75" customWidth="1"/>
    <col min="2" max="2" width="63.125" customWidth="1"/>
    <col min="3" max="3" width="15.75" customWidth="1"/>
    <col min="4" max="5" width="13.375" bestFit="1" customWidth="1"/>
    <col min="6" max="8" width="14.5" style="15" customWidth="1"/>
    <col min="9" max="9" width="4.75" style="15" customWidth="1"/>
    <col min="10" max="10" width="22.25" style="95" customWidth="1"/>
    <col min="11" max="11" width="13.375" style="95" bestFit="1" customWidth="1"/>
    <col min="12" max="13" width="12.75" style="95" customWidth="1"/>
    <col min="14" max="14" width="11.25" style="15" customWidth="1"/>
    <col min="15" max="15" width="12.75" style="15" customWidth="1"/>
    <col min="16" max="16" width="10.75" style="15" customWidth="1"/>
    <col min="17" max="17" width="3.25" style="15" customWidth="1"/>
    <col min="18" max="18" width="9.25" style="27" customWidth="1"/>
    <col min="19" max="19" width="9.5" style="28" customWidth="1"/>
    <col min="20" max="20" width="9.625" style="28" customWidth="1"/>
    <col min="21" max="21" width="9.875" style="28" customWidth="1"/>
    <col min="22" max="22" width="10.875" style="28" customWidth="1"/>
    <col min="23" max="23" width="3.375" customWidth="1"/>
    <col min="24" max="24" width="14.25" style="43" customWidth="1"/>
    <col min="25" max="25" width="14.5" style="43" customWidth="1"/>
    <col min="26" max="26" width="16.625" style="43" customWidth="1"/>
    <col min="27" max="27" width="13.25" style="43" customWidth="1"/>
  </cols>
  <sheetData>
    <row r="1" spans="2:27" ht="23.25" x14ac:dyDescent="0.35">
      <c r="B1" s="1" t="s">
        <v>0</v>
      </c>
      <c r="C1" s="1"/>
      <c r="D1" s="2" t="s">
        <v>1</v>
      </c>
      <c r="E1" s="2" t="s">
        <v>1</v>
      </c>
      <c r="F1" s="16">
        <f>E40-D40</f>
        <v>-34115000</v>
      </c>
    </row>
    <row r="2" spans="2:27" x14ac:dyDescent="0.25">
      <c r="F2" s="109" t="e">
        <f>Consolidado!E158/360*#REF!</f>
        <v>#REF!</v>
      </c>
    </row>
    <row r="3" spans="2:27" x14ac:dyDescent="0.25">
      <c r="B3" s="3" t="s">
        <v>2</v>
      </c>
      <c r="C3" s="3"/>
      <c r="D3" s="3" t="s">
        <v>1</v>
      </c>
      <c r="E3" s="3" t="s">
        <v>1</v>
      </c>
      <c r="F3" s="327" t="s">
        <v>159</v>
      </c>
      <c r="G3" s="328"/>
      <c r="H3" s="329"/>
      <c r="I3" s="5"/>
      <c r="J3" s="327" t="s">
        <v>111</v>
      </c>
      <c r="K3" s="328"/>
      <c r="L3" s="328"/>
      <c r="M3" s="328"/>
      <c r="N3" s="328"/>
      <c r="O3" s="328"/>
      <c r="P3" s="329"/>
      <c r="R3" s="327" t="s">
        <v>103</v>
      </c>
      <c r="S3" s="328"/>
      <c r="T3" s="328"/>
      <c r="U3" s="328"/>
      <c r="V3" s="328"/>
      <c r="X3" s="330" t="s">
        <v>110</v>
      </c>
      <c r="Y3" s="331"/>
      <c r="Z3" s="331"/>
      <c r="AA3" s="332"/>
    </row>
    <row r="4" spans="2:27" ht="8.25" customHeight="1" x14ac:dyDescent="0.25">
      <c r="F4" s="5"/>
      <c r="G4" s="5"/>
      <c r="H4" s="5"/>
      <c r="I4" s="5"/>
      <c r="J4" s="96"/>
      <c r="K4" s="96"/>
      <c r="L4" s="96"/>
      <c r="M4" s="96"/>
      <c r="N4" s="5"/>
      <c r="O4" s="5"/>
      <c r="P4" s="5"/>
    </row>
    <row r="5" spans="2:27" s="14" customFormat="1" ht="30" customHeight="1" x14ac:dyDescent="0.25">
      <c r="B5" s="18" t="s">
        <v>3</v>
      </c>
      <c r="C5" s="19">
        <v>44561</v>
      </c>
      <c r="D5" s="19">
        <v>44926</v>
      </c>
      <c r="E5" s="19">
        <v>45291</v>
      </c>
      <c r="F5" s="78">
        <v>45657</v>
      </c>
      <c r="G5" s="78">
        <v>46022</v>
      </c>
      <c r="H5" s="78">
        <v>46387</v>
      </c>
      <c r="I5" s="34"/>
      <c r="J5" s="94" t="s">
        <v>210</v>
      </c>
      <c r="K5" s="79">
        <v>2022</v>
      </c>
      <c r="L5" s="79">
        <v>2023</v>
      </c>
      <c r="M5" s="94" t="s">
        <v>141</v>
      </c>
      <c r="N5" s="79">
        <v>2024</v>
      </c>
      <c r="O5" s="79">
        <v>2025</v>
      </c>
      <c r="P5" s="79">
        <v>2026</v>
      </c>
      <c r="Q5" s="17"/>
      <c r="R5" s="81" t="s">
        <v>100</v>
      </c>
      <c r="S5" s="81" t="s">
        <v>101</v>
      </c>
      <c r="T5" s="80" t="s">
        <v>102</v>
      </c>
      <c r="U5" s="80" t="s">
        <v>112</v>
      </c>
      <c r="V5" s="80" t="s">
        <v>113</v>
      </c>
      <c r="X5" s="82" t="s">
        <v>106</v>
      </c>
      <c r="Y5" s="82" t="s">
        <v>107</v>
      </c>
      <c r="Z5" s="82" t="s">
        <v>108</v>
      </c>
      <c r="AA5" s="82" t="s">
        <v>109</v>
      </c>
    </row>
    <row r="6" spans="2:27" x14ac:dyDescent="0.25">
      <c r="B6" s="20" t="s">
        <v>4</v>
      </c>
      <c r="C6" s="102" t="s">
        <v>1</v>
      </c>
      <c r="D6" s="21" t="s">
        <v>1</v>
      </c>
      <c r="E6" s="21" t="s">
        <v>1</v>
      </c>
      <c r="F6" s="22"/>
      <c r="G6" s="22"/>
      <c r="H6" s="22"/>
      <c r="J6" s="107" t="s">
        <v>155</v>
      </c>
      <c r="K6" s="25">
        <f>D9</f>
        <v>91393000</v>
      </c>
      <c r="L6" s="25">
        <f>E9</f>
        <v>83645000</v>
      </c>
      <c r="M6" s="22"/>
      <c r="N6" s="22"/>
      <c r="O6" s="22"/>
      <c r="P6" s="22"/>
      <c r="R6" s="29"/>
      <c r="S6" s="29"/>
      <c r="T6" s="29"/>
      <c r="U6" s="29"/>
      <c r="V6" s="29"/>
      <c r="X6" s="44">
        <f>IFERROR(E6-D6,)</f>
        <v>0</v>
      </c>
      <c r="Y6" s="45">
        <f>IFERROR(E6/D6-1,)</f>
        <v>0</v>
      </c>
      <c r="Z6" s="44">
        <f>IFERROR(F6-E6,)</f>
        <v>0</v>
      </c>
      <c r="AA6" s="45">
        <f>IFERROR(F6/E6-1,)</f>
        <v>0</v>
      </c>
    </row>
    <row r="7" spans="2:27" x14ac:dyDescent="0.25">
      <c r="B7" s="20" t="s">
        <v>5</v>
      </c>
      <c r="C7" s="102" t="s">
        <v>1</v>
      </c>
      <c r="D7" s="21" t="s">
        <v>1</v>
      </c>
      <c r="E7" s="21" t="s">
        <v>1</v>
      </c>
      <c r="F7" s="22"/>
      <c r="G7" s="22"/>
      <c r="H7" s="22"/>
      <c r="J7" s="107" t="s">
        <v>156</v>
      </c>
      <c r="K7" s="106">
        <f>K6/(Consolidado!C6/360)</f>
        <v>61.204540465728854</v>
      </c>
      <c r="L7" s="106">
        <f>L6/(Consolidado!D6/360)</f>
        <v>65.382419037899922</v>
      </c>
      <c r="M7" s="106">
        <f>AVERAGE(K7:L7)</f>
        <v>63.293479751814388</v>
      </c>
      <c r="N7" s="22"/>
      <c r="O7" s="22"/>
      <c r="P7" s="22"/>
      <c r="R7" s="29"/>
      <c r="S7" s="29"/>
      <c r="T7" s="29"/>
      <c r="U7" s="29"/>
      <c r="V7" s="29"/>
      <c r="X7" s="46">
        <f t="shared" ref="X7:X68" si="0">IFERROR(E7-D7,)</f>
        <v>0</v>
      </c>
      <c r="Y7" s="30">
        <f t="shared" ref="Y7:Y68" si="1">IFERROR(E7/D7-1,)</f>
        <v>0</v>
      </c>
      <c r="Z7" s="46">
        <f t="shared" ref="Z7:Z68" si="2">IFERROR(F7-E7,)</f>
        <v>0</v>
      </c>
      <c r="AA7" s="30">
        <f t="shared" ref="AA7:AA68" si="3">IFERROR(F7/E7-1,)</f>
        <v>0</v>
      </c>
    </row>
    <row r="8" spans="2:27" x14ac:dyDescent="0.25">
      <c r="B8" s="23" t="s">
        <v>6</v>
      </c>
      <c r="C8" s="103">
        <v>34755000</v>
      </c>
      <c r="D8" s="24">
        <v>45062000</v>
      </c>
      <c r="E8" s="24">
        <v>38144000</v>
      </c>
      <c r="F8" s="129" t="s">
        <v>207</v>
      </c>
      <c r="G8" s="118"/>
      <c r="H8" s="118"/>
      <c r="J8" s="97"/>
      <c r="K8" s="97"/>
      <c r="L8" s="97"/>
      <c r="M8" s="97"/>
      <c r="N8" s="22"/>
      <c r="O8" s="22"/>
      <c r="P8" s="22"/>
      <c r="R8" s="30">
        <f>IFERROR(D8/$D$33,)</f>
        <v>0.14221153421320054</v>
      </c>
      <c r="S8" s="30">
        <f>IFERROR(E8/$E$33,)</f>
        <v>0.12954321616573272</v>
      </c>
      <c r="T8" s="30">
        <f>IFERROR(F8/$F$33,)</f>
        <v>0</v>
      </c>
      <c r="U8" s="30">
        <f>IFERROR(G8/$G$33,)</f>
        <v>0</v>
      </c>
      <c r="V8" s="30">
        <f>IFERROR(H8/$H$33,)</f>
        <v>0</v>
      </c>
      <c r="X8" s="46">
        <f t="shared" si="0"/>
        <v>-6918000</v>
      </c>
      <c r="Y8" s="30">
        <f t="shared" si="1"/>
        <v>-0.15352181438906398</v>
      </c>
      <c r="Z8" s="46">
        <f t="shared" si="2"/>
        <v>0</v>
      </c>
      <c r="AA8" s="30">
        <f t="shared" si="3"/>
        <v>0</v>
      </c>
    </row>
    <row r="9" spans="2:27" x14ac:dyDescent="0.25">
      <c r="B9" s="125" t="s">
        <v>7</v>
      </c>
      <c r="C9" s="103">
        <v>89115000</v>
      </c>
      <c r="D9" s="24">
        <v>91393000</v>
      </c>
      <c r="E9" s="24">
        <v>83645000</v>
      </c>
      <c r="F9" s="25">
        <f>$M$7*Consolidado!E6/360</f>
        <v>68392121.176266104</v>
      </c>
      <c r="G9" s="25">
        <f>$M$7*Consolidado!F6/360</f>
        <v>62307268.955766454</v>
      </c>
      <c r="H9" s="25">
        <f>$M$7*Consolidado!G6/360</f>
        <v>56763786.499919884</v>
      </c>
      <c r="J9" s="97" t="s">
        <v>157</v>
      </c>
      <c r="K9" s="108">
        <f>D10</f>
        <v>108507000</v>
      </c>
      <c r="L9" s="108">
        <f>E10</f>
        <v>96467000</v>
      </c>
      <c r="M9" s="97"/>
      <c r="N9" s="22"/>
      <c r="O9" s="22"/>
      <c r="P9" s="22"/>
      <c r="R9" s="30">
        <f t="shared" ref="R9:R69" si="4">IFERROR(D9/$D$33,)</f>
        <v>0.28842791590135891</v>
      </c>
      <c r="S9" s="30">
        <f t="shared" ref="S9:S69" si="5">IFERROR(E9/$E$33,)</f>
        <v>0.28407199864153504</v>
      </c>
      <c r="T9" s="30">
        <f t="shared" ref="T9:T69" si="6">IFERROR(F9/$F$33,)</f>
        <v>0.33093749838017616</v>
      </c>
      <c r="U9" s="30">
        <f t="shared" ref="U9:U69" si="7">IFERROR(G9/$G$33,)</f>
        <v>0.44380488543533775</v>
      </c>
      <c r="V9" s="30">
        <f t="shared" ref="V9:V69" si="8">IFERROR(H9/$H$33,)</f>
        <v>0.44380488543533769</v>
      </c>
      <c r="X9" s="46">
        <f t="shared" si="0"/>
        <v>-7748000</v>
      </c>
      <c r="Y9" s="30">
        <f t="shared" si="1"/>
        <v>-8.4776733447857078E-2</v>
      </c>
      <c r="Z9" s="46">
        <f t="shared" si="2"/>
        <v>-15252878.823733896</v>
      </c>
      <c r="AA9" s="30">
        <f t="shared" si="3"/>
        <v>-0.18235254735768902</v>
      </c>
    </row>
    <row r="10" spans="2:27" x14ac:dyDescent="0.25">
      <c r="B10" s="125" t="s">
        <v>8</v>
      </c>
      <c r="C10" s="103">
        <v>102928000</v>
      </c>
      <c r="D10" s="24">
        <v>108507000</v>
      </c>
      <c r="E10" s="24">
        <v>96467000</v>
      </c>
      <c r="F10" s="25">
        <f>Consolidado!E166/360*Consolidado!E7</f>
        <v>80075616.86831899</v>
      </c>
      <c r="G10" s="25">
        <f>$M$10*'B. General Análisis (2)'!G9/360</f>
        <v>25069630.873070557</v>
      </c>
      <c r="H10" s="25">
        <f>$M$10*'B. General Análisis (2)'!H9/360</f>
        <v>22839183.908398155</v>
      </c>
      <c r="J10" s="97" t="s">
        <v>158</v>
      </c>
      <c r="K10" s="106">
        <f>K9/(Consolidado!C7/360)</f>
        <v>138.83811439721632</v>
      </c>
      <c r="L10" s="106">
        <f>L9/(Consolidado!D7/360)</f>
        <v>150.85736626050692</v>
      </c>
      <c r="M10" s="106">
        <f>AVERAGE(K10:L10)</f>
        <v>144.84774032886162</v>
      </c>
      <c r="N10" s="22"/>
      <c r="O10" s="22"/>
      <c r="P10" s="22"/>
      <c r="R10" s="30">
        <f t="shared" si="4"/>
        <v>0.34243812842021548</v>
      </c>
      <c r="S10" s="30">
        <f t="shared" si="5"/>
        <v>0.32761759212090336</v>
      </c>
      <c r="T10" s="30">
        <f t="shared" si="6"/>
        <v>0.38747188816315203</v>
      </c>
      <c r="U10" s="30">
        <f t="shared" si="7"/>
        <v>0.17856704111727217</v>
      </c>
      <c r="V10" s="30">
        <f t="shared" si="8"/>
        <v>0.17856704111727215</v>
      </c>
      <c r="X10" s="46">
        <f t="shared" si="0"/>
        <v>-12040000</v>
      </c>
      <c r="Y10" s="30">
        <f t="shared" si="1"/>
        <v>-0.11096058318818136</v>
      </c>
      <c r="Z10" s="46">
        <f t="shared" si="2"/>
        <v>-16391383.13168101</v>
      </c>
      <c r="AA10" s="30">
        <f t="shared" si="3"/>
        <v>-0.16991699888750567</v>
      </c>
    </row>
    <row r="11" spans="2:27" x14ac:dyDescent="0.25">
      <c r="B11" s="126" t="s">
        <v>9</v>
      </c>
      <c r="C11" s="103">
        <v>3040000</v>
      </c>
      <c r="D11" s="24">
        <v>4421000</v>
      </c>
      <c r="E11" s="24">
        <v>5180000</v>
      </c>
      <c r="F11" s="117">
        <f>Consolidado!E6*'B. General Análisis (2)'!$M$32</f>
        <v>3787188.4454537868</v>
      </c>
      <c r="G11" s="117">
        <f>Consolidado!F6*'B. General Análisis (2)'!$M$32</f>
        <v>3450242.0015442926</v>
      </c>
      <c r="H11" s="117">
        <f>Consolidado!G6*'B. General Análisis (2)'!$M$32</f>
        <v>3143273.708365465</v>
      </c>
      <c r="J11" s="97"/>
      <c r="K11" s="97"/>
      <c r="L11" s="97"/>
      <c r="M11" s="97"/>
      <c r="N11" s="22"/>
      <c r="O11" s="22"/>
      <c r="P11" s="22"/>
      <c r="R11" s="30">
        <f t="shared" si="4"/>
        <v>1.3952270044750779E-2</v>
      </c>
      <c r="S11" s="30">
        <f t="shared" si="5"/>
        <v>1.7592120903379183E-2</v>
      </c>
      <c r="T11" s="30">
        <f t="shared" si="6"/>
        <v>1.8325541721430347E-2</v>
      </c>
      <c r="U11" s="30">
        <f t="shared" si="7"/>
        <v>2.4575531585353517E-2</v>
      </c>
      <c r="V11" s="30">
        <f t="shared" si="8"/>
        <v>2.457553158535351E-2</v>
      </c>
      <c r="X11" s="46">
        <f t="shared" si="0"/>
        <v>759000</v>
      </c>
      <c r="Y11" s="30">
        <f t="shared" si="1"/>
        <v>0.17168061524541955</v>
      </c>
      <c r="Z11" s="46">
        <f t="shared" si="2"/>
        <v>-1392811.5545462132</v>
      </c>
      <c r="AA11" s="30">
        <f t="shared" si="3"/>
        <v>-0.26888253948768592</v>
      </c>
    </row>
    <row r="12" spans="2:27" x14ac:dyDescent="0.25">
      <c r="B12" s="23" t="s">
        <v>10</v>
      </c>
      <c r="C12" s="104" t="s">
        <v>11</v>
      </c>
      <c r="D12" s="23" t="s">
        <v>11</v>
      </c>
      <c r="E12" s="23" t="s">
        <v>11</v>
      </c>
      <c r="F12" s="23" t="s">
        <v>11</v>
      </c>
      <c r="G12" s="23" t="s">
        <v>11</v>
      </c>
      <c r="H12" s="23" t="s">
        <v>11</v>
      </c>
      <c r="J12" s="107" t="s">
        <v>160</v>
      </c>
      <c r="K12" s="108">
        <f>D40</f>
        <v>90631000</v>
      </c>
      <c r="L12" s="108">
        <f>E40</f>
        <v>56516000</v>
      </c>
      <c r="M12" s="97"/>
      <c r="N12" s="22"/>
      <c r="O12" s="22"/>
      <c r="P12" s="22"/>
      <c r="R12" s="30">
        <f t="shared" si="4"/>
        <v>0</v>
      </c>
      <c r="S12" s="30">
        <f t="shared" si="5"/>
        <v>0</v>
      </c>
      <c r="T12" s="30">
        <f t="shared" si="6"/>
        <v>0</v>
      </c>
      <c r="U12" s="30">
        <f t="shared" si="7"/>
        <v>0</v>
      </c>
      <c r="V12" s="30">
        <f t="shared" si="8"/>
        <v>0</v>
      </c>
      <c r="X12" s="46">
        <f t="shared" si="0"/>
        <v>0</v>
      </c>
      <c r="Y12" s="30">
        <f t="shared" si="1"/>
        <v>0</v>
      </c>
      <c r="Z12" s="46">
        <f t="shared" si="2"/>
        <v>0</v>
      </c>
      <c r="AA12" s="30">
        <f t="shared" si="3"/>
        <v>0</v>
      </c>
    </row>
    <row r="13" spans="2:27" x14ac:dyDescent="0.25">
      <c r="B13" s="126" t="s">
        <v>12</v>
      </c>
      <c r="C13" s="103">
        <v>3822000</v>
      </c>
      <c r="D13" s="24">
        <v>2567000</v>
      </c>
      <c r="E13" s="24">
        <v>2232000</v>
      </c>
      <c r="F13" s="25">
        <f>$M$19*Consolidado!E6</f>
        <v>1871392.3141638925</v>
      </c>
      <c r="G13" s="25">
        <f>$M$19*Consolidado!F6</f>
        <v>1704894.3977018751</v>
      </c>
      <c r="H13" s="25">
        <f>$M$19*Consolidado!G6</f>
        <v>1553209.8135253321</v>
      </c>
      <c r="J13" s="107" t="s">
        <v>161</v>
      </c>
      <c r="K13" s="106">
        <f>K12/(Consolidado!C7/360)</f>
        <v>115.96521096274076</v>
      </c>
      <c r="L13" s="106">
        <f>L12/(Consolidado!D7/360)</f>
        <v>88.381051671336408</v>
      </c>
      <c r="M13" s="106">
        <f>AVERAGE(K13:L13)</f>
        <v>102.17313131703858</v>
      </c>
      <c r="N13" s="22"/>
      <c r="O13" s="22"/>
      <c r="P13" s="22"/>
      <c r="R13" s="30">
        <f t="shared" si="4"/>
        <v>8.1012162870109129E-3</v>
      </c>
      <c r="S13" s="30">
        <f t="shared" si="5"/>
        <v>7.5802343352012226E-3</v>
      </c>
      <c r="T13" s="30">
        <f t="shared" si="6"/>
        <v>9.0553397129054941E-3</v>
      </c>
      <c r="U13" s="30">
        <f t="shared" si="7"/>
        <v>1.2143694877536495E-2</v>
      </c>
      <c r="V13" s="30">
        <f t="shared" si="8"/>
        <v>1.2143694877536495E-2</v>
      </c>
      <c r="X13" s="46">
        <f t="shared" si="0"/>
        <v>-335000</v>
      </c>
      <c r="Y13" s="30">
        <f t="shared" si="1"/>
        <v>-0.13050253213868324</v>
      </c>
      <c r="Z13" s="46">
        <f t="shared" si="2"/>
        <v>-360607.68583610747</v>
      </c>
      <c r="AA13" s="30">
        <f t="shared" si="3"/>
        <v>-0.1615625832599048</v>
      </c>
    </row>
    <row r="14" spans="2:27" x14ac:dyDescent="0.25">
      <c r="B14" s="23" t="s">
        <v>13</v>
      </c>
      <c r="C14" s="104" t="s">
        <v>11</v>
      </c>
      <c r="D14" s="23" t="s">
        <v>11</v>
      </c>
      <c r="E14" s="23" t="s">
        <v>11</v>
      </c>
      <c r="F14" s="23" t="s">
        <v>11</v>
      </c>
      <c r="G14" s="23" t="s">
        <v>11</v>
      </c>
      <c r="H14" s="23" t="s">
        <v>11</v>
      </c>
      <c r="J14" s="97"/>
      <c r="K14" s="97"/>
      <c r="L14" s="97"/>
      <c r="M14" s="97"/>
      <c r="N14" s="22"/>
      <c r="O14" s="22"/>
      <c r="P14" s="22"/>
      <c r="R14" s="30">
        <f t="shared" si="4"/>
        <v>0</v>
      </c>
      <c r="S14" s="30">
        <f t="shared" si="5"/>
        <v>0</v>
      </c>
      <c r="T14" s="30">
        <f t="shared" si="6"/>
        <v>0</v>
      </c>
      <c r="U14" s="30">
        <f t="shared" si="7"/>
        <v>0</v>
      </c>
      <c r="V14" s="30">
        <f t="shared" si="8"/>
        <v>0</v>
      </c>
      <c r="X14" s="46">
        <f t="shared" si="0"/>
        <v>0</v>
      </c>
      <c r="Y14" s="30">
        <f t="shared" si="1"/>
        <v>0</v>
      </c>
      <c r="Z14" s="46">
        <f t="shared" si="2"/>
        <v>0</v>
      </c>
      <c r="AA14" s="30">
        <f t="shared" si="3"/>
        <v>0</v>
      </c>
    </row>
    <row r="15" spans="2:27" ht="47.25" x14ac:dyDescent="0.25">
      <c r="B15" s="23" t="s">
        <v>14</v>
      </c>
      <c r="C15" s="104" t="s">
        <v>11</v>
      </c>
      <c r="D15" s="23" t="s">
        <v>11</v>
      </c>
      <c r="E15" s="23" t="s">
        <v>11</v>
      </c>
      <c r="F15" s="23" t="s">
        <v>11</v>
      </c>
      <c r="G15" s="23" t="s">
        <v>11</v>
      </c>
      <c r="H15" s="23" t="s">
        <v>11</v>
      </c>
      <c r="J15" s="110" t="s">
        <v>162</v>
      </c>
      <c r="K15" s="111">
        <f>D21</f>
        <v>31456000</v>
      </c>
      <c r="L15" s="111">
        <f>E21</f>
        <v>26352000</v>
      </c>
      <c r="M15" s="97"/>
      <c r="N15" s="22"/>
      <c r="O15" s="22"/>
      <c r="P15" s="22"/>
      <c r="R15" s="30">
        <f t="shared" si="4"/>
        <v>0</v>
      </c>
      <c r="S15" s="30">
        <f t="shared" si="5"/>
        <v>0</v>
      </c>
      <c r="T15" s="30">
        <f t="shared" si="6"/>
        <v>0</v>
      </c>
      <c r="U15" s="30">
        <f t="shared" si="7"/>
        <v>0</v>
      </c>
      <c r="V15" s="30">
        <f t="shared" si="8"/>
        <v>0</v>
      </c>
      <c r="X15" s="46">
        <f t="shared" si="0"/>
        <v>0</v>
      </c>
      <c r="Y15" s="30">
        <f t="shared" si="1"/>
        <v>0</v>
      </c>
      <c r="Z15" s="46">
        <f t="shared" si="2"/>
        <v>0</v>
      </c>
      <c r="AA15" s="30">
        <f t="shared" si="3"/>
        <v>0</v>
      </c>
    </row>
    <row r="16" spans="2:27" ht="47.25" x14ac:dyDescent="0.25">
      <c r="B16" s="23" t="s">
        <v>15</v>
      </c>
      <c r="C16" s="103">
        <v>233660000</v>
      </c>
      <c r="D16" s="24">
        <v>251950000</v>
      </c>
      <c r="E16" s="24">
        <v>225668000</v>
      </c>
      <c r="F16" s="25">
        <f>SUM(F8:F15)</f>
        <v>154126318.8042028</v>
      </c>
      <c r="G16" s="25">
        <f t="shared" ref="G16:H16" si="9">SUM(G8:G15)</f>
        <v>92532036.228083178</v>
      </c>
      <c r="H16" s="25">
        <f t="shared" si="9"/>
        <v>84299453.930208847</v>
      </c>
      <c r="J16" s="97" t="s">
        <v>163</v>
      </c>
      <c r="K16" s="113">
        <f>K15/Consolidado!C6</f>
        <v>5.8515605525647087E-2</v>
      </c>
      <c r="L16" s="113">
        <f>L15/Consolidado!D6</f>
        <v>5.7217921855153023E-2</v>
      </c>
      <c r="M16" s="114">
        <f>AVERAGE(K16:L16)</f>
        <v>5.7866763690400058E-2</v>
      </c>
      <c r="N16" s="22"/>
      <c r="O16" s="22"/>
      <c r="P16" s="22"/>
      <c r="R16" s="30">
        <f t="shared" si="4"/>
        <v>0.79513106486653662</v>
      </c>
      <c r="S16" s="30">
        <f t="shared" si="5"/>
        <v>0.76640516216675159</v>
      </c>
      <c r="T16" s="30">
        <f t="shared" si="6"/>
        <v>0.74579026797766412</v>
      </c>
      <c r="U16" s="30">
        <f t="shared" si="7"/>
        <v>0.65909115301549992</v>
      </c>
      <c r="V16" s="30">
        <f t="shared" si="8"/>
        <v>0.65909115301549992</v>
      </c>
      <c r="X16" s="46">
        <f t="shared" si="0"/>
        <v>-26282000</v>
      </c>
      <c r="Y16" s="30">
        <f t="shared" si="1"/>
        <v>-0.10431434808493745</v>
      </c>
      <c r="Z16" s="46">
        <f t="shared" si="2"/>
        <v>-71541681.195797205</v>
      </c>
      <c r="AA16" s="30">
        <f t="shared" si="3"/>
        <v>-0.31702182496320797</v>
      </c>
    </row>
    <row r="17" spans="2:27" ht="47.25" x14ac:dyDescent="0.25">
      <c r="B17" s="23" t="s">
        <v>16</v>
      </c>
      <c r="C17" s="104" t="s">
        <v>11</v>
      </c>
      <c r="D17" s="23" t="s">
        <v>11</v>
      </c>
      <c r="E17" s="23" t="s">
        <v>11</v>
      </c>
      <c r="F17" s="23" t="s">
        <v>11</v>
      </c>
      <c r="G17" s="23" t="s">
        <v>11</v>
      </c>
      <c r="H17" s="23" t="s">
        <v>11</v>
      </c>
      <c r="J17" s="97"/>
      <c r="K17" s="97"/>
      <c r="L17" s="97"/>
      <c r="M17" s="97"/>
      <c r="N17" s="22"/>
      <c r="O17" s="22"/>
      <c r="P17" s="22"/>
      <c r="R17" s="30">
        <f t="shared" si="4"/>
        <v>0</v>
      </c>
      <c r="S17" s="30">
        <f t="shared" si="5"/>
        <v>0</v>
      </c>
      <c r="T17" s="30">
        <f t="shared" si="6"/>
        <v>0</v>
      </c>
      <c r="U17" s="30">
        <f t="shared" si="7"/>
        <v>0</v>
      </c>
      <c r="V17" s="30">
        <f t="shared" si="8"/>
        <v>0</v>
      </c>
      <c r="X17" s="46">
        <f t="shared" si="0"/>
        <v>0</v>
      </c>
      <c r="Y17" s="30">
        <f t="shared" si="1"/>
        <v>0</v>
      </c>
      <c r="Z17" s="46">
        <f t="shared" si="2"/>
        <v>0</v>
      </c>
      <c r="AA17" s="30">
        <f t="shared" si="3"/>
        <v>0</v>
      </c>
    </row>
    <row r="18" spans="2:27" x14ac:dyDescent="0.25">
      <c r="B18" s="23" t="s">
        <v>17</v>
      </c>
      <c r="C18" s="103">
        <v>233660000</v>
      </c>
      <c r="D18" s="24">
        <v>251950000</v>
      </c>
      <c r="E18" s="24">
        <v>225668000</v>
      </c>
      <c r="F18" s="25">
        <f>F16</f>
        <v>154126318.8042028</v>
      </c>
      <c r="G18" s="25">
        <f t="shared" ref="G18:H18" si="10">G16</f>
        <v>92532036.228083178</v>
      </c>
      <c r="H18" s="25">
        <f t="shared" si="10"/>
        <v>84299453.930208847</v>
      </c>
      <c r="J18" s="110" t="s">
        <v>164</v>
      </c>
      <c r="K18" s="115">
        <f>D13</f>
        <v>2567000</v>
      </c>
      <c r="L18" s="115">
        <f>E13</f>
        <v>2232000</v>
      </c>
      <c r="M18" s="97"/>
      <c r="N18" s="22"/>
      <c r="O18" s="22"/>
      <c r="P18" s="22"/>
      <c r="R18" s="30">
        <f t="shared" si="4"/>
        <v>0.79513106486653662</v>
      </c>
      <c r="S18" s="30">
        <f t="shared" si="5"/>
        <v>0.76640516216675159</v>
      </c>
      <c r="T18" s="30">
        <f t="shared" si="6"/>
        <v>0.74579026797766412</v>
      </c>
      <c r="U18" s="30">
        <f t="shared" si="7"/>
        <v>0.65909115301549992</v>
      </c>
      <c r="V18" s="30">
        <f t="shared" si="8"/>
        <v>0.65909115301549992</v>
      </c>
      <c r="X18" s="46">
        <f t="shared" si="0"/>
        <v>-26282000</v>
      </c>
      <c r="Y18" s="30">
        <f t="shared" si="1"/>
        <v>-0.10431434808493745</v>
      </c>
      <c r="Z18" s="46">
        <f t="shared" si="2"/>
        <v>-71541681.195797205</v>
      </c>
      <c r="AA18" s="30">
        <f t="shared" si="3"/>
        <v>-0.31702182496320797</v>
      </c>
    </row>
    <row r="19" spans="2:27" x14ac:dyDescent="0.25">
      <c r="B19" s="20" t="s">
        <v>18</v>
      </c>
      <c r="C19" s="102" t="s">
        <v>1</v>
      </c>
      <c r="D19" s="21" t="s">
        <v>1</v>
      </c>
      <c r="E19" s="21" t="s">
        <v>1</v>
      </c>
      <c r="F19" s="22"/>
      <c r="G19" s="22"/>
      <c r="H19" s="22"/>
      <c r="J19" s="97" t="s">
        <v>163</v>
      </c>
      <c r="K19" s="112">
        <f>K18/Consolidado!C6</f>
        <v>4.7752275999598187E-3</v>
      </c>
      <c r="L19" s="112">
        <f>L18/Consolidado!D6</f>
        <v>4.8463267145074963E-3</v>
      </c>
      <c r="M19" s="114">
        <f>AVERAGE(K19:L19)</f>
        <v>4.8107771572336571E-3</v>
      </c>
      <c r="N19" s="22"/>
      <c r="O19" s="22"/>
      <c r="P19" s="22"/>
      <c r="R19" s="30">
        <f t="shared" si="4"/>
        <v>0</v>
      </c>
      <c r="S19" s="30">
        <f t="shared" si="5"/>
        <v>0</v>
      </c>
      <c r="T19" s="30">
        <f t="shared" si="6"/>
        <v>0</v>
      </c>
      <c r="U19" s="30">
        <f t="shared" si="7"/>
        <v>0</v>
      </c>
      <c r="V19" s="30">
        <f t="shared" si="8"/>
        <v>0</v>
      </c>
      <c r="X19" s="46">
        <f t="shared" si="0"/>
        <v>0</v>
      </c>
      <c r="Y19" s="30">
        <f t="shared" si="1"/>
        <v>0</v>
      </c>
      <c r="Z19" s="46">
        <f t="shared" si="2"/>
        <v>0</v>
      </c>
      <c r="AA19" s="30">
        <f t="shared" si="3"/>
        <v>0</v>
      </c>
    </row>
    <row r="20" spans="2:27" x14ac:dyDescent="0.25">
      <c r="B20" s="23" t="s">
        <v>19</v>
      </c>
      <c r="C20" s="104" t="s">
        <v>11</v>
      </c>
      <c r="D20" s="23" t="s">
        <v>11</v>
      </c>
      <c r="E20" s="23" t="s">
        <v>11</v>
      </c>
      <c r="F20" s="23" t="s">
        <v>11</v>
      </c>
      <c r="G20" s="23" t="s">
        <v>11</v>
      </c>
      <c r="H20" s="23" t="s">
        <v>11</v>
      </c>
      <c r="J20" s="97"/>
      <c r="K20" s="97"/>
      <c r="L20" s="97"/>
      <c r="M20" s="97"/>
      <c r="N20" s="22"/>
      <c r="O20" s="22"/>
      <c r="P20" s="22"/>
      <c r="R20" s="30">
        <f t="shared" si="4"/>
        <v>0</v>
      </c>
      <c r="S20" s="30">
        <f t="shared" si="5"/>
        <v>0</v>
      </c>
      <c r="T20" s="30">
        <f t="shared" si="6"/>
        <v>0</v>
      </c>
      <c r="U20" s="30">
        <f t="shared" si="7"/>
        <v>0</v>
      </c>
      <c r="V20" s="30">
        <f t="shared" si="8"/>
        <v>0</v>
      </c>
      <c r="X20" s="46">
        <f t="shared" si="0"/>
        <v>0</v>
      </c>
      <c r="Y20" s="30">
        <f t="shared" si="1"/>
        <v>0</v>
      </c>
      <c r="Z20" s="46">
        <f t="shared" si="2"/>
        <v>0</v>
      </c>
      <c r="AA20" s="30">
        <f t="shared" si="3"/>
        <v>0</v>
      </c>
    </row>
    <row r="21" spans="2:27" ht="31.5" x14ac:dyDescent="0.25">
      <c r="B21" s="128" t="s">
        <v>20</v>
      </c>
      <c r="C21" s="103">
        <v>45313000</v>
      </c>
      <c r="D21" s="24">
        <v>31456000</v>
      </c>
      <c r="E21" s="24">
        <v>26352000</v>
      </c>
      <c r="F21" s="109">
        <f>$M$16*Consolidado!E6</f>
        <v>22510171.075565621</v>
      </c>
      <c r="G21" s="109">
        <f>$M$16*Consolidado!F6</f>
        <v>20507439.443657778</v>
      </c>
      <c r="H21" s="109">
        <f>$M$16*Consolidado!G6</f>
        <v>18682890.997296583</v>
      </c>
      <c r="I21" s="16"/>
      <c r="J21" s="110" t="s">
        <v>165</v>
      </c>
      <c r="K21" s="108">
        <f>D30</f>
        <v>16372000</v>
      </c>
      <c r="L21" s="108">
        <f>E30</f>
        <v>24987000</v>
      </c>
      <c r="M21" s="97"/>
      <c r="N21" s="25"/>
      <c r="O21" s="25"/>
      <c r="P21" s="25"/>
      <c r="Q21" s="16"/>
      <c r="R21" s="30">
        <f t="shared" si="4"/>
        <v>9.9272247574684572E-2</v>
      </c>
      <c r="S21" s="30">
        <f t="shared" si="5"/>
        <v>8.9495669893020893E-2</v>
      </c>
      <c r="T21" s="30">
        <f t="shared" si="6"/>
        <v>0.10892277612881889</v>
      </c>
      <c r="U21" s="30">
        <f t="shared" si="7"/>
        <v>0.14607126849558943</v>
      </c>
      <c r="V21" s="30">
        <f t="shared" si="8"/>
        <v>0.14607126849558943</v>
      </c>
      <c r="X21" s="46">
        <f t="shared" si="0"/>
        <v>-5104000</v>
      </c>
      <c r="Y21" s="30">
        <f t="shared" si="1"/>
        <v>-0.16225839267548325</v>
      </c>
      <c r="Z21" s="46">
        <f t="shared" si="2"/>
        <v>-3841828.9244343787</v>
      </c>
      <c r="AA21" s="30">
        <f t="shared" si="3"/>
        <v>-0.14578889361089775</v>
      </c>
    </row>
    <row r="22" spans="2:27" x14ac:dyDescent="0.25">
      <c r="B22" s="23" t="s">
        <v>21</v>
      </c>
      <c r="C22" s="104" t="s">
        <v>11</v>
      </c>
      <c r="D22" s="23" t="s">
        <v>11</v>
      </c>
      <c r="E22" s="23" t="s">
        <v>11</v>
      </c>
      <c r="F22" s="22"/>
      <c r="G22" s="22"/>
      <c r="H22" s="22"/>
      <c r="J22" s="97" t="s">
        <v>163</v>
      </c>
      <c r="K22" s="112">
        <f>K21/Consolidado!C6</f>
        <v>3.045579519538066E-2</v>
      </c>
      <c r="L22" s="112">
        <f>L21/Consolidado!D6</f>
        <v>5.4254106458512009E-2</v>
      </c>
      <c r="M22" s="114">
        <f>AVERAGE(K22:L22)</f>
        <v>4.2354950826946333E-2</v>
      </c>
      <c r="N22" s="22"/>
      <c r="O22" s="22"/>
      <c r="P22" s="22"/>
      <c r="R22" s="30">
        <f t="shared" si="4"/>
        <v>0</v>
      </c>
      <c r="S22" s="30">
        <f t="shared" si="5"/>
        <v>0</v>
      </c>
      <c r="T22" s="30">
        <f t="shared" si="6"/>
        <v>0</v>
      </c>
      <c r="U22" s="30">
        <f t="shared" si="7"/>
        <v>0</v>
      </c>
      <c r="V22" s="30">
        <f t="shared" si="8"/>
        <v>0</v>
      </c>
      <c r="X22" s="46">
        <f t="shared" si="0"/>
        <v>0</v>
      </c>
      <c r="Y22" s="30">
        <f t="shared" si="1"/>
        <v>0</v>
      </c>
      <c r="Z22" s="46">
        <f t="shared" si="2"/>
        <v>0</v>
      </c>
      <c r="AA22" s="30">
        <f t="shared" si="3"/>
        <v>0</v>
      </c>
    </row>
    <row r="23" spans="2:27" x14ac:dyDescent="0.25">
      <c r="B23" s="126" t="s">
        <v>22</v>
      </c>
      <c r="C23" s="103">
        <v>12687000</v>
      </c>
      <c r="D23" s="24">
        <v>10954000</v>
      </c>
      <c r="E23" s="24">
        <v>11587000</v>
      </c>
      <c r="F23" s="117">
        <f>Consolidado!E6*'B. General Análisis (2)'!$M$33</f>
        <v>8856714.7724024486</v>
      </c>
      <c r="G23" s="117">
        <f>Consolidado!F6*'B. General Análisis (2)'!$M$33</f>
        <v>8068732.1857783189</v>
      </c>
      <c r="H23" s="117">
        <f>Consolidado!G6*'B. General Análisis (2)'!$M$33</f>
        <v>7350856.4697917802</v>
      </c>
      <c r="J23" s="97"/>
      <c r="K23" s="97"/>
      <c r="L23" s="97"/>
      <c r="M23" s="97"/>
      <c r="N23" s="22"/>
      <c r="O23" s="22"/>
      <c r="P23" s="22"/>
      <c r="R23" s="30">
        <f t="shared" si="4"/>
        <v>3.4569818156570918E-2</v>
      </c>
      <c r="S23" s="30">
        <f t="shared" si="5"/>
        <v>3.9351332993717097E-2</v>
      </c>
      <c r="T23" s="30">
        <f t="shared" si="6"/>
        <v>4.2856091904088504E-2</v>
      </c>
      <c r="U23" s="30">
        <f t="shared" si="7"/>
        <v>5.747231139050523E-2</v>
      </c>
      <c r="V23" s="30">
        <f t="shared" si="8"/>
        <v>5.7472311390505224E-2</v>
      </c>
      <c r="X23" s="46">
        <f t="shared" si="0"/>
        <v>633000</v>
      </c>
      <c r="Y23" s="30">
        <f t="shared" si="1"/>
        <v>5.7787109731604946E-2</v>
      </c>
      <c r="Z23" s="46">
        <f t="shared" si="2"/>
        <v>-2730285.2275975514</v>
      </c>
      <c r="AA23" s="30">
        <f t="shared" si="3"/>
        <v>-0.23563348818482366</v>
      </c>
    </row>
    <row r="24" spans="2:27" x14ac:dyDescent="0.25">
      <c r="B24" s="23" t="s">
        <v>23</v>
      </c>
      <c r="C24" s="104" t="s">
        <v>11</v>
      </c>
      <c r="D24" s="23" t="s">
        <v>11</v>
      </c>
      <c r="E24" s="23" t="s">
        <v>11</v>
      </c>
      <c r="F24" s="23" t="s">
        <v>11</v>
      </c>
      <c r="G24" s="23" t="s">
        <v>11</v>
      </c>
      <c r="H24" s="23" t="s">
        <v>11</v>
      </c>
      <c r="J24" s="110" t="s">
        <v>166</v>
      </c>
      <c r="K24" s="108">
        <f>D43</f>
        <v>4000</v>
      </c>
      <c r="L24" s="108">
        <f>E43</f>
        <v>0</v>
      </c>
      <c r="M24" s="97"/>
      <c r="N24" s="22"/>
      <c r="O24" s="22"/>
      <c r="P24" s="22"/>
      <c r="R24" s="30">
        <f t="shared" si="4"/>
        <v>0</v>
      </c>
      <c r="S24" s="30">
        <f t="shared" si="5"/>
        <v>0</v>
      </c>
      <c r="T24" s="30">
        <f t="shared" si="6"/>
        <v>0</v>
      </c>
      <c r="U24" s="30">
        <f t="shared" si="7"/>
        <v>0</v>
      </c>
      <c r="V24" s="30">
        <f t="shared" si="8"/>
        <v>0</v>
      </c>
      <c r="X24" s="46">
        <f t="shared" si="0"/>
        <v>0</v>
      </c>
      <c r="Y24" s="30">
        <f t="shared" si="1"/>
        <v>0</v>
      </c>
      <c r="Z24" s="46">
        <f t="shared" si="2"/>
        <v>0</v>
      </c>
      <c r="AA24" s="30">
        <f t="shared" si="3"/>
        <v>0</v>
      </c>
    </row>
    <row r="25" spans="2:27" x14ac:dyDescent="0.25">
      <c r="B25" s="23" t="s">
        <v>24</v>
      </c>
      <c r="C25" s="104" t="s">
        <v>11</v>
      </c>
      <c r="D25" s="23" t="s">
        <v>11</v>
      </c>
      <c r="E25" s="23" t="s">
        <v>11</v>
      </c>
      <c r="F25" s="23" t="s">
        <v>11</v>
      </c>
      <c r="G25" s="23" t="s">
        <v>11</v>
      </c>
      <c r="H25" s="23" t="s">
        <v>11</v>
      </c>
      <c r="J25" s="97" t="s">
        <v>163</v>
      </c>
      <c r="K25" s="98">
        <f>K24/Consolidado!C6</f>
        <v>7.4409467860690597E-6</v>
      </c>
      <c r="L25" s="97"/>
      <c r="M25" s="114">
        <f>AVERAGE(K25:L25)</f>
        <v>7.4409467860690597E-6</v>
      </c>
      <c r="N25" s="22"/>
      <c r="O25" s="22"/>
      <c r="P25" s="22"/>
      <c r="R25" s="30">
        <f t="shared" si="4"/>
        <v>0</v>
      </c>
      <c r="S25" s="30">
        <f t="shared" si="5"/>
        <v>0</v>
      </c>
      <c r="T25" s="30">
        <f t="shared" si="6"/>
        <v>0</v>
      </c>
      <c r="U25" s="30">
        <f t="shared" si="7"/>
        <v>0</v>
      </c>
      <c r="V25" s="30">
        <f t="shared" si="8"/>
        <v>0</v>
      </c>
      <c r="X25" s="46">
        <f t="shared" si="0"/>
        <v>0</v>
      </c>
      <c r="Y25" s="30">
        <f t="shared" si="1"/>
        <v>0</v>
      </c>
      <c r="Z25" s="46">
        <f t="shared" si="2"/>
        <v>0</v>
      </c>
      <c r="AA25" s="30">
        <f t="shared" si="3"/>
        <v>0</v>
      </c>
    </row>
    <row r="26" spans="2:27" x14ac:dyDescent="0.25">
      <c r="B26" s="23" t="s">
        <v>25</v>
      </c>
      <c r="C26" s="104" t="s">
        <v>11</v>
      </c>
      <c r="D26" s="23" t="s">
        <v>11</v>
      </c>
      <c r="E26" s="23" t="s">
        <v>11</v>
      </c>
      <c r="F26" s="23" t="s">
        <v>11</v>
      </c>
      <c r="G26" s="23" t="s">
        <v>11</v>
      </c>
      <c r="H26" s="23" t="s">
        <v>11</v>
      </c>
      <c r="J26" s="97"/>
      <c r="K26" s="97"/>
      <c r="L26" s="97"/>
      <c r="M26" s="97"/>
      <c r="N26" s="22"/>
      <c r="O26" s="22"/>
      <c r="P26" s="22"/>
      <c r="R26" s="30">
        <f t="shared" si="4"/>
        <v>0</v>
      </c>
      <c r="S26" s="30">
        <f t="shared" si="5"/>
        <v>0</v>
      </c>
      <c r="T26" s="30">
        <f t="shared" si="6"/>
        <v>0</v>
      </c>
      <c r="U26" s="30">
        <f t="shared" si="7"/>
        <v>0</v>
      </c>
      <c r="V26" s="30">
        <f t="shared" si="8"/>
        <v>0</v>
      </c>
      <c r="X26" s="46">
        <f t="shared" si="0"/>
        <v>0</v>
      </c>
      <c r="Y26" s="30">
        <f t="shared" si="1"/>
        <v>0</v>
      </c>
      <c r="Z26" s="46">
        <f t="shared" si="2"/>
        <v>0</v>
      </c>
      <c r="AA26" s="30">
        <f t="shared" si="3"/>
        <v>0</v>
      </c>
    </row>
    <row r="27" spans="2:27" ht="31.5" x14ac:dyDescent="0.25">
      <c r="B27" s="126" t="s">
        <v>26</v>
      </c>
      <c r="C27" s="103">
        <v>8765000</v>
      </c>
      <c r="D27" s="24">
        <v>6134000</v>
      </c>
      <c r="E27" s="24">
        <v>5856000</v>
      </c>
      <c r="F27" s="117">
        <f>Consolidado!E6*'B. General Análisis (2)'!$M$34</f>
        <v>4692465.3073741468</v>
      </c>
      <c r="G27" s="117">
        <f>Consolidado!F6*'B. General Análisis (2)'!$M$34</f>
        <v>4274976.3122367691</v>
      </c>
      <c r="H27" s="117">
        <f>Consolidado!G6*'B. General Análisis (2)'!$M$34</f>
        <v>3894631.3447359749</v>
      </c>
      <c r="J27" s="110" t="s">
        <v>167</v>
      </c>
      <c r="K27" s="115">
        <f>D56</f>
        <v>9028000</v>
      </c>
      <c r="L27" s="115">
        <f>E56</f>
        <v>5308000</v>
      </c>
      <c r="M27" s="97"/>
      <c r="N27" s="22"/>
      <c r="O27" s="22"/>
      <c r="P27" s="22"/>
      <c r="R27" s="30">
        <f t="shared" si="4"/>
        <v>1.9358340749717547E-2</v>
      </c>
      <c r="S27" s="30">
        <f t="shared" si="5"/>
        <v>1.988792664289353E-2</v>
      </c>
      <c r="T27" s="30">
        <f t="shared" si="6"/>
        <v>2.2706017935251097E-2</v>
      </c>
      <c r="U27" s="30">
        <f t="shared" si="7"/>
        <v>3.0449984476737902E-2</v>
      </c>
      <c r="V27" s="30">
        <f t="shared" si="8"/>
        <v>3.0449984476737895E-2</v>
      </c>
      <c r="X27" s="46">
        <f t="shared" si="0"/>
        <v>-278000</v>
      </c>
      <c r="Y27" s="30">
        <f t="shared" si="1"/>
        <v>-4.5321160743397426E-2</v>
      </c>
      <c r="Z27" s="46">
        <f t="shared" si="2"/>
        <v>-1163534.6926258532</v>
      </c>
      <c r="AA27" s="30">
        <f t="shared" si="3"/>
        <v>-0.19869103357681916</v>
      </c>
    </row>
    <row r="28" spans="2:27" x14ac:dyDescent="0.25">
      <c r="B28" s="23" t="s">
        <v>27</v>
      </c>
      <c r="C28" s="104" t="s">
        <v>11</v>
      </c>
      <c r="D28" s="23" t="s">
        <v>11</v>
      </c>
      <c r="E28" s="23" t="s">
        <v>11</v>
      </c>
      <c r="F28" s="23" t="s">
        <v>11</v>
      </c>
      <c r="G28" s="23" t="s">
        <v>11</v>
      </c>
      <c r="H28" s="23" t="s">
        <v>11</v>
      </c>
      <c r="J28" s="97" t="s">
        <v>163</v>
      </c>
      <c r="K28" s="112">
        <f>K27/Consolidado!C6</f>
        <v>1.6794216896157867E-2</v>
      </c>
      <c r="L28" s="112">
        <f>L27/Consolidado!D6</f>
        <v>1.1525225000271411E-2</v>
      </c>
      <c r="M28" s="114">
        <f>AVERAGE(K28:L28)</f>
        <v>1.4159720948214639E-2</v>
      </c>
      <c r="N28" s="22"/>
      <c r="O28" s="22"/>
      <c r="P28" s="22"/>
      <c r="R28" s="30">
        <f t="shared" si="4"/>
        <v>0</v>
      </c>
      <c r="S28" s="30">
        <f t="shared" si="5"/>
        <v>0</v>
      </c>
      <c r="T28" s="30">
        <f t="shared" si="6"/>
        <v>0</v>
      </c>
      <c r="U28" s="30">
        <f t="shared" si="7"/>
        <v>0</v>
      </c>
      <c r="V28" s="30">
        <f t="shared" si="8"/>
        <v>0</v>
      </c>
      <c r="X28" s="46">
        <f t="shared" si="0"/>
        <v>0</v>
      </c>
      <c r="Y28" s="30">
        <f t="shared" si="1"/>
        <v>0</v>
      </c>
      <c r="Z28" s="46">
        <f t="shared" si="2"/>
        <v>0</v>
      </c>
      <c r="AA28" s="30">
        <f t="shared" si="3"/>
        <v>0</v>
      </c>
    </row>
    <row r="29" spans="2:27" x14ac:dyDescent="0.25">
      <c r="B29" s="23" t="s">
        <v>28</v>
      </c>
      <c r="C29" s="104" t="s">
        <v>11</v>
      </c>
      <c r="D29" s="23" t="s">
        <v>11</v>
      </c>
      <c r="E29" s="23" t="s">
        <v>11</v>
      </c>
      <c r="F29" s="23" t="s">
        <v>11</v>
      </c>
      <c r="G29" s="23" t="s">
        <v>11</v>
      </c>
      <c r="H29" s="23" t="s">
        <v>11</v>
      </c>
      <c r="J29" s="97"/>
      <c r="K29" s="97"/>
      <c r="L29" s="97"/>
      <c r="M29" s="97"/>
      <c r="N29" s="22"/>
      <c r="O29" s="22"/>
      <c r="P29" s="22"/>
      <c r="R29" s="30">
        <f t="shared" si="4"/>
        <v>0</v>
      </c>
      <c r="S29" s="30">
        <f t="shared" si="5"/>
        <v>0</v>
      </c>
      <c r="T29" s="30">
        <f t="shared" si="6"/>
        <v>0</v>
      </c>
      <c r="U29" s="30">
        <f t="shared" si="7"/>
        <v>0</v>
      </c>
      <c r="V29" s="30">
        <f t="shared" si="8"/>
        <v>0</v>
      </c>
      <c r="X29" s="46">
        <f t="shared" si="0"/>
        <v>0</v>
      </c>
      <c r="Y29" s="30">
        <f t="shared" si="1"/>
        <v>0</v>
      </c>
      <c r="Z29" s="46">
        <f t="shared" si="2"/>
        <v>0</v>
      </c>
      <c r="AA29" s="30">
        <f t="shared" si="3"/>
        <v>0</v>
      </c>
    </row>
    <row r="30" spans="2:27" x14ac:dyDescent="0.25">
      <c r="B30" s="126" t="s">
        <v>29</v>
      </c>
      <c r="C30" s="103" t="s">
        <v>11</v>
      </c>
      <c r="D30" s="24">
        <v>16372000</v>
      </c>
      <c r="E30" s="24">
        <v>24987000</v>
      </c>
      <c r="F30" s="25">
        <f>$M$22*Consolidado!E6</f>
        <v>16476075.871682124</v>
      </c>
      <c r="G30" s="25">
        <f>$M$22*Consolidado!F6</f>
        <v>15010198.148800258</v>
      </c>
      <c r="H30" s="25">
        <f>$M$22*Consolidado!G6</f>
        <v>13674739.678365178</v>
      </c>
      <c r="J30" s="97"/>
      <c r="K30" s="97"/>
      <c r="L30" s="97"/>
      <c r="M30" s="97"/>
      <c r="N30" s="22"/>
      <c r="O30" s="22"/>
      <c r="P30" s="22"/>
      <c r="R30" s="30">
        <f t="shared" si="4"/>
        <v>5.1668528652490324E-2</v>
      </c>
      <c r="S30" s="30">
        <f t="shared" si="5"/>
        <v>8.4859908303616907E-2</v>
      </c>
      <c r="T30" s="30">
        <f t="shared" si="6"/>
        <v>7.9724846054177415E-2</v>
      </c>
      <c r="U30" s="30">
        <f t="shared" si="7"/>
        <v>0.10691528262166745</v>
      </c>
      <c r="V30" s="30">
        <f t="shared" si="8"/>
        <v>0.10691528262166744</v>
      </c>
      <c r="X30" s="46">
        <f t="shared" si="0"/>
        <v>8615000</v>
      </c>
      <c r="Y30" s="30">
        <f t="shared" si="1"/>
        <v>0.52620327388223798</v>
      </c>
      <c r="Z30" s="46">
        <f t="shared" si="2"/>
        <v>-8510924.1283178758</v>
      </c>
      <c r="AA30" s="30">
        <f t="shared" si="3"/>
        <v>-0.34061408445663244</v>
      </c>
    </row>
    <row r="31" spans="2:27" ht="47.25" x14ac:dyDescent="0.25">
      <c r="B31" s="23" t="s">
        <v>30</v>
      </c>
      <c r="C31" s="104" t="s">
        <v>11</v>
      </c>
      <c r="D31" s="23" t="s">
        <v>11</v>
      </c>
      <c r="E31" s="23" t="s">
        <v>11</v>
      </c>
      <c r="F31" s="23" t="s">
        <v>11</v>
      </c>
      <c r="G31" s="23" t="s">
        <v>11</v>
      </c>
      <c r="H31" s="23" t="s">
        <v>11</v>
      </c>
      <c r="J31" s="97"/>
      <c r="K31" s="97"/>
      <c r="L31" s="97"/>
      <c r="M31" s="97"/>
      <c r="N31" s="22"/>
      <c r="O31" s="22"/>
      <c r="P31" s="22"/>
      <c r="R31" s="30">
        <f t="shared" si="4"/>
        <v>0</v>
      </c>
      <c r="S31" s="30">
        <f t="shared" si="5"/>
        <v>0</v>
      </c>
      <c r="T31" s="30">
        <f t="shared" si="6"/>
        <v>0</v>
      </c>
      <c r="U31" s="30">
        <f t="shared" si="7"/>
        <v>0</v>
      </c>
      <c r="V31" s="30">
        <f t="shared" si="8"/>
        <v>0</v>
      </c>
      <c r="X31" s="46">
        <f t="shared" si="0"/>
        <v>0</v>
      </c>
      <c r="Y31" s="30">
        <f t="shared" si="1"/>
        <v>0</v>
      </c>
      <c r="Z31" s="46">
        <f t="shared" si="2"/>
        <v>0</v>
      </c>
      <c r="AA31" s="30">
        <f t="shared" si="3"/>
        <v>0</v>
      </c>
    </row>
    <row r="32" spans="2:27" x14ac:dyDescent="0.25">
      <c r="B32" s="23" t="s">
        <v>31</v>
      </c>
      <c r="C32" s="103">
        <v>66765000</v>
      </c>
      <c r="D32" s="24">
        <v>64916000</v>
      </c>
      <c r="E32" s="24">
        <v>68782000</v>
      </c>
      <c r="F32" s="25">
        <f>SUM(F20:F31)</f>
        <v>52535427.027024344</v>
      </c>
      <c r="G32" s="25">
        <f t="shared" ref="G32:H32" si="11">SUM(G20:G31)</f>
        <v>47861346.09047313</v>
      </c>
      <c r="H32" s="25">
        <f t="shared" si="11"/>
        <v>43603118.490189523</v>
      </c>
      <c r="J32" s="97" t="str">
        <f>B11</f>
        <v>Activos por impuestos corrientes, corriente</v>
      </c>
      <c r="K32" s="98">
        <f>D11/Consolidado!C6</f>
        <v>8.2241064353028286E-3</v>
      </c>
      <c r="L32" s="98">
        <f>E11/Consolidado!D6</f>
        <v>1.1247299453919727E-2</v>
      </c>
      <c r="M32" s="114">
        <f>AVERAGE(K32:L32)</f>
        <v>9.7357029446112769E-3</v>
      </c>
      <c r="N32" s="22"/>
      <c r="O32" s="22"/>
      <c r="P32" s="22"/>
      <c r="R32" s="30">
        <f t="shared" si="4"/>
        <v>0.20486893513346335</v>
      </c>
      <c r="S32" s="30">
        <f t="shared" si="5"/>
        <v>0.23359483783324844</v>
      </c>
      <c r="T32" s="30">
        <f t="shared" si="6"/>
        <v>0.25420973202233593</v>
      </c>
      <c r="U32" s="30">
        <f t="shared" si="7"/>
        <v>0.34090884698450008</v>
      </c>
      <c r="V32" s="30">
        <f t="shared" si="8"/>
        <v>0.34090884698450002</v>
      </c>
      <c r="X32" s="46">
        <f t="shared" si="0"/>
        <v>3866000</v>
      </c>
      <c r="Y32" s="30">
        <f t="shared" si="1"/>
        <v>5.9553885020642072E-2</v>
      </c>
      <c r="Z32" s="46">
        <f t="shared" si="2"/>
        <v>-16246572.972975656</v>
      </c>
      <c r="AA32" s="30">
        <f t="shared" si="3"/>
        <v>-0.23620384654380011</v>
      </c>
    </row>
    <row r="33" spans="2:27" x14ac:dyDescent="0.25">
      <c r="B33" s="20" t="s">
        <v>32</v>
      </c>
      <c r="C33" s="105">
        <v>300425000</v>
      </c>
      <c r="D33" s="26">
        <v>316866000</v>
      </c>
      <c r="E33" s="26">
        <v>294450000</v>
      </c>
      <c r="F33" s="26">
        <f>F18+F32</f>
        <v>206661745.83122712</v>
      </c>
      <c r="G33" s="26">
        <f t="shared" ref="G33:H33" si="12">G18+G32</f>
        <v>140393382.31855631</v>
      </c>
      <c r="H33" s="26">
        <f t="shared" si="12"/>
        <v>127902572.42039837</v>
      </c>
      <c r="J33" s="97" t="str">
        <f>B23</f>
        <v>Activos intangibles distintos de la plusvalía</v>
      </c>
      <c r="K33" s="98">
        <f>D23/Consolidado!C6</f>
        <v>2.0377032773650119E-2</v>
      </c>
      <c r="L33" s="98">
        <f>E23/Consolidado!D6</f>
        <v>2.5158775824820054E-2</v>
      </c>
      <c r="M33" s="114">
        <f>AVERAGE(K33:L33)</f>
        <v>2.2767904299235087E-2</v>
      </c>
      <c r="N33" s="22"/>
      <c r="O33" s="22"/>
      <c r="P33" s="22"/>
      <c r="R33" s="30">
        <f t="shared" si="4"/>
        <v>1</v>
      </c>
      <c r="S33" s="30">
        <f t="shared" si="5"/>
        <v>1</v>
      </c>
      <c r="T33" s="30">
        <f t="shared" si="6"/>
        <v>1</v>
      </c>
      <c r="U33" s="30">
        <f t="shared" si="7"/>
        <v>1</v>
      </c>
      <c r="V33" s="30">
        <f t="shared" si="8"/>
        <v>1</v>
      </c>
      <c r="X33" s="46">
        <f t="shared" si="0"/>
        <v>-22416000</v>
      </c>
      <c r="Y33" s="30">
        <f t="shared" si="1"/>
        <v>-7.074283766639522E-2</v>
      </c>
      <c r="Z33" s="46">
        <f t="shared" si="2"/>
        <v>-87788254.168772876</v>
      </c>
      <c r="AA33" s="30">
        <f t="shared" si="3"/>
        <v>-0.29814316240031546</v>
      </c>
    </row>
    <row r="34" spans="2:27" x14ac:dyDescent="0.25">
      <c r="B34" s="20" t="s">
        <v>33</v>
      </c>
      <c r="C34" s="102" t="s">
        <v>1</v>
      </c>
      <c r="D34" s="21" t="s">
        <v>1</v>
      </c>
      <c r="E34" s="21" t="s">
        <v>1</v>
      </c>
      <c r="F34" s="22"/>
      <c r="G34" s="22"/>
      <c r="H34" s="22"/>
      <c r="J34" s="97" t="str">
        <f>B27</f>
        <v>Activos por impuestos diferidos</v>
      </c>
      <c r="K34" s="98">
        <f>D27/Consolidado!C6</f>
        <v>1.1410691896436903E-2</v>
      </c>
      <c r="L34" s="98">
        <f>E27/Consolidado!D6</f>
        <v>1.2715093745589561E-2</v>
      </c>
      <c r="M34" s="114">
        <f>AVERAGE(K34:L34)</f>
        <v>1.2062892821013232E-2</v>
      </c>
      <c r="N34" s="22"/>
      <c r="O34" s="22"/>
      <c r="P34" s="22"/>
      <c r="R34" s="30">
        <f t="shared" si="4"/>
        <v>0</v>
      </c>
      <c r="S34" s="30">
        <f t="shared" si="5"/>
        <v>0</v>
      </c>
      <c r="T34" s="30">
        <f t="shared" si="6"/>
        <v>0</v>
      </c>
      <c r="U34" s="30">
        <f t="shared" si="7"/>
        <v>0</v>
      </c>
      <c r="V34" s="30">
        <f t="shared" si="8"/>
        <v>0</v>
      </c>
      <c r="X34" s="46">
        <f t="shared" si="0"/>
        <v>0</v>
      </c>
      <c r="Y34" s="30">
        <f t="shared" si="1"/>
        <v>0</v>
      </c>
      <c r="Z34" s="46">
        <f t="shared" si="2"/>
        <v>0</v>
      </c>
      <c r="AA34" s="30">
        <f t="shared" si="3"/>
        <v>0</v>
      </c>
    </row>
    <row r="35" spans="2:27" x14ac:dyDescent="0.25">
      <c r="B35" s="20" t="s">
        <v>34</v>
      </c>
      <c r="C35" s="102" t="s">
        <v>1</v>
      </c>
      <c r="D35" s="21" t="s">
        <v>1</v>
      </c>
      <c r="E35" s="21" t="s">
        <v>1</v>
      </c>
      <c r="F35" s="22"/>
      <c r="G35" s="22"/>
      <c r="H35" s="22"/>
      <c r="J35" s="97"/>
      <c r="K35" s="97"/>
      <c r="L35" s="97"/>
      <c r="M35" s="97"/>
      <c r="N35" s="22"/>
      <c r="O35" s="22"/>
      <c r="P35" s="22"/>
      <c r="R35" s="30">
        <f t="shared" si="4"/>
        <v>0</v>
      </c>
      <c r="S35" s="30">
        <f t="shared" si="5"/>
        <v>0</v>
      </c>
      <c r="T35" s="30">
        <f t="shared" si="6"/>
        <v>0</v>
      </c>
      <c r="U35" s="30">
        <f t="shared" si="7"/>
        <v>0</v>
      </c>
      <c r="V35" s="30">
        <f t="shared" si="8"/>
        <v>0</v>
      </c>
      <c r="X35" s="46">
        <f t="shared" si="0"/>
        <v>0</v>
      </c>
      <c r="Y35" s="30">
        <f t="shared" si="1"/>
        <v>0</v>
      </c>
      <c r="Z35" s="46">
        <f t="shared" si="2"/>
        <v>0</v>
      </c>
      <c r="AA35" s="30">
        <f t="shared" si="3"/>
        <v>0</v>
      </c>
    </row>
    <row r="36" spans="2:27" x14ac:dyDescent="0.25">
      <c r="B36" s="20" t="s">
        <v>35</v>
      </c>
      <c r="C36" s="102" t="s">
        <v>1</v>
      </c>
      <c r="D36" s="21" t="s">
        <v>1</v>
      </c>
      <c r="E36" s="21" t="s">
        <v>1</v>
      </c>
      <c r="F36" s="22"/>
      <c r="G36" s="22"/>
      <c r="H36" s="22"/>
      <c r="J36" s="97" t="str">
        <f>B37</f>
        <v>Provisiones corrientes por beneficios a los empleados</v>
      </c>
      <c r="K36" s="98">
        <f>D37/Consolidado!C6</f>
        <v>1.9525044366645213E-2</v>
      </c>
      <c r="L36" s="98">
        <f>E37/Consolidado!D6</f>
        <v>1.849724788570312E-2</v>
      </c>
      <c r="M36" s="114">
        <f>AVERAGE(K36:L36)</f>
        <v>1.9011146126174168E-2</v>
      </c>
      <c r="N36" s="22"/>
      <c r="O36" s="22"/>
      <c r="P36" s="22"/>
      <c r="R36" s="30">
        <f t="shared" si="4"/>
        <v>0</v>
      </c>
      <c r="S36" s="30">
        <f t="shared" si="5"/>
        <v>0</v>
      </c>
      <c r="T36" s="30">
        <f t="shared" si="6"/>
        <v>0</v>
      </c>
      <c r="U36" s="30">
        <f t="shared" si="7"/>
        <v>0</v>
      </c>
      <c r="V36" s="30">
        <f t="shared" si="8"/>
        <v>0</v>
      </c>
      <c r="X36" s="46">
        <f t="shared" si="0"/>
        <v>0</v>
      </c>
      <c r="Y36" s="30">
        <f t="shared" si="1"/>
        <v>0</v>
      </c>
      <c r="Z36" s="46">
        <f t="shared" si="2"/>
        <v>0</v>
      </c>
      <c r="AA36" s="30">
        <f t="shared" si="3"/>
        <v>0</v>
      </c>
    </row>
    <row r="37" spans="2:27" x14ac:dyDescent="0.25">
      <c r="B37" s="126" t="s">
        <v>36</v>
      </c>
      <c r="C37" s="103">
        <v>8832000</v>
      </c>
      <c r="D37" s="24">
        <v>10496000</v>
      </c>
      <c r="E37" s="24">
        <v>8519000</v>
      </c>
      <c r="F37" s="117">
        <f>Consolidado!E6*'B. General Análisis (2)'!$M$36</f>
        <v>7395335.8430817509</v>
      </c>
      <c r="G37" s="117">
        <f>Consolidado!F6*'B. General Análisis (2)'!$M$36</f>
        <v>6737372.2508992553</v>
      </c>
      <c r="H37" s="117">
        <f>Consolidado!G6*'B. General Análisis (2)'!$M$36</f>
        <v>6137947.7295343038</v>
      </c>
      <c r="J37" s="22" t="str">
        <f>B41</f>
        <v>Pasivos por impuestos corrientes, corriente</v>
      </c>
      <c r="K37" s="116">
        <f>D41/Consolidado!C6</f>
        <v>2.1504336211739583E-2</v>
      </c>
      <c r="L37" s="116">
        <f>E41/Consolidado!D6</f>
        <v>2.5933927543941551E-2</v>
      </c>
      <c r="M37" s="114">
        <f>AVERAGE(K37:L37)</f>
        <v>2.3719131877840569E-2</v>
      </c>
      <c r="N37" s="22"/>
      <c r="O37" s="22"/>
      <c r="P37" s="22"/>
      <c r="R37" s="30">
        <f t="shared" si="4"/>
        <v>3.3124412212102279E-2</v>
      </c>
      <c r="S37" s="30">
        <f t="shared" si="5"/>
        <v>2.8931906945151978E-2</v>
      </c>
      <c r="T37" s="30">
        <f t="shared" si="6"/>
        <v>3.5784735163910029E-2</v>
      </c>
      <c r="U37" s="30">
        <f t="shared" si="7"/>
        <v>4.7989243792217917E-2</v>
      </c>
      <c r="V37" s="30">
        <f t="shared" si="8"/>
        <v>4.798924379221791E-2</v>
      </c>
      <c r="X37" s="46">
        <f t="shared" si="0"/>
        <v>-1977000</v>
      </c>
      <c r="Y37" s="30">
        <f t="shared" si="1"/>
        <v>-0.18835746951219512</v>
      </c>
      <c r="Z37" s="46">
        <f t="shared" si="2"/>
        <v>-1123664.1569182491</v>
      </c>
      <c r="AA37" s="30">
        <f t="shared" si="3"/>
        <v>-0.13190094575868638</v>
      </c>
    </row>
    <row r="38" spans="2:27" x14ac:dyDescent="0.25">
      <c r="B38" s="23" t="s">
        <v>37</v>
      </c>
      <c r="C38" s="104" t="s">
        <v>11</v>
      </c>
      <c r="D38" s="23" t="s">
        <v>11</v>
      </c>
      <c r="E38" s="23" t="s">
        <v>11</v>
      </c>
      <c r="F38" s="23" t="s">
        <v>11</v>
      </c>
      <c r="G38" s="23" t="s">
        <v>11</v>
      </c>
      <c r="H38" s="23" t="s">
        <v>11</v>
      </c>
      <c r="J38" s="22" t="str">
        <f>B53</f>
        <v>Pasivo por impuestos diferidos</v>
      </c>
      <c r="K38" s="116">
        <f>D53/Consolidado!C6</f>
        <v>2.1584326389689823E-2</v>
      </c>
      <c r="L38" s="116">
        <f>E53/Consolidado!D6</f>
        <v>1.8736090152099098E-2</v>
      </c>
      <c r="M38" s="114">
        <f>AVERAGE(K38:L38)</f>
        <v>2.0160208270894459E-2</v>
      </c>
      <c r="N38" s="22"/>
      <c r="O38" s="22"/>
      <c r="P38" s="22"/>
      <c r="R38" s="30">
        <f t="shared" si="4"/>
        <v>0</v>
      </c>
      <c r="S38" s="30">
        <f t="shared" si="5"/>
        <v>0</v>
      </c>
      <c r="T38" s="30">
        <f t="shared" si="6"/>
        <v>0</v>
      </c>
      <c r="U38" s="30">
        <f t="shared" si="7"/>
        <v>0</v>
      </c>
      <c r="V38" s="30">
        <f t="shared" si="8"/>
        <v>0</v>
      </c>
      <c r="X38" s="46">
        <f t="shared" si="0"/>
        <v>0</v>
      </c>
      <c r="Y38" s="30">
        <f t="shared" si="1"/>
        <v>0</v>
      </c>
      <c r="Z38" s="46">
        <f t="shared" si="2"/>
        <v>0</v>
      </c>
      <c r="AA38" s="30">
        <f t="shared" si="3"/>
        <v>0</v>
      </c>
    </row>
    <row r="39" spans="2:27" x14ac:dyDescent="0.25">
      <c r="B39" s="23" t="s">
        <v>38</v>
      </c>
      <c r="C39" s="103">
        <v>8832000</v>
      </c>
      <c r="D39" s="24">
        <v>10496000</v>
      </c>
      <c r="E39" s="24">
        <v>8519000</v>
      </c>
      <c r="F39" s="117">
        <f>F37</f>
        <v>7395335.8430817509</v>
      </c>
      <c r="G39" s="117">
        <f t="shared" ref="G39" si="13">G37</f>
        <v>6737372.2508992553</v>
      </c>
      <c r="H39" s="117">
        <f>H37</f>
        <v>6137947.7295343038</v>
      </c>
      <c r="J39" s="22"/>
      <c r="K39" s="22"/>
      <c r="L39" s="22"/>
      <c r="M39" s="22"/>
      <c r="N39" s="22"/>
      <c r="O39" s="22"/>
      <c r="P39" s="22"/>
      <c r="R39" s="30">
        <f t="shared" si="4"/>
        <v>3.3124412212102279E-2</v>
      </c>
      <c r="S39" s="30">
        <f t="shared" si="5"/>
        <v>2.8931906945151978E-2</v>
      </c>
      <c r="T39" s="30">
        <f t="shared" si="6"/>
        <v>3.5784735163910029E-2</v>
      </c>
      <c r="U39" s="30">
        <f t="shared" si="7"/>
        <v>4.7989243792217917E-2</v>
      </c>
      <c r="V39" s="30">
        <f t="shared" si="8"/>
        <v>4.798924379221791E-2</v>
      </c>
      <c r="X39" s="46">
        <f t="shared" si="0"/>
        <v>-1977000</v>
      </c>
      <c r="Y39" s="30">
        <f t="shared" si="1"/>
        <v>-0.18835746951219512</v>
      </c>
      <c r="Z39" s="46">
        <f t="shared" si="2"/>
        <v>-1123664.1569182491</v>
      </c>
      <c r="AA39" s="30">
        <f t="shared" si="3"/>
        <v>-0.13190094575868638</v>
      </c>
    </row>
    <row r="40" spans="2:27" x14ac:dyDescent="0.25">
      <c r="B40" s="125" t="s">
        <v>39</v>
      </c>
      <c r="C40" s="103">
        <v>124701000</v>
      </c>
      <c r="D40" s="24">
        <v>90631000</v>
      </c>
      <c r="E40" s="24">
        <v>56516000</v>
      </c>
      <c r="F40" s="25">
        <f>$M$13*'B. General Análisis (2)'!F9/360</f>
        <v>19410658.82775959</v>
      </c>
      <c r="G40" s="25">
        <f>$M$13*'B. General Análisis (2)'!G9/360</f>
        <v>17683691.036176577</v>
      </c>
      <c r="H40" s="25">
        <f>$M$13*'B. General Análisis (2)'!H9/360</f>
        <v>16110371.700301822</v>
      </c>
      <c r="J40" s="22"/>
      <c r="K40" s="22"/>
      <c r="L40" s="22"/>
      <c r="M40" s="22"/>
      <c r="N40" s="22"/>
      <c r="O40" s="22"/>
      <c r="P40" s="22"/>
      <c r="R40" s="30">
        <f t="shared" si="4"/>
        <v>0.28602311387147877</v>
      </c>
      <c r="S40" s="30">
        <f t="shared" si="5"/>
        <v>0.19193751061300729</v>
      </c>
      <c r="T40" s="30">
        <f t="shared" si="6"/>
        <v>9.3924779110361067E-2</v>
      </c>
      <c r="U40" s="30">
        <f t="shared" si="7"/>
        <v>0.12595815232980009</v>
      </c>
      <c r="V40" s="30">
        <f t="shared" si="8"/>
        <v>0.12595815232980007</v>
      </c>
      <c r="X40" s="46">
        <f t="shared" si="0"/>
        <v>-34115000</v>
      </c>
      <c r="Y40" s="30">
        <f t="shared" si="1"/>
        <v>-0.37641645794485334</v>
      </c>
      <c r="Z40" s="46">
        <f t="shared" si="2"/>
        <v>-37105341.172240406</v>
      </c>
      <c r="AA40" s="30">
        <f t="shared" si="3"/>
        <v>-0.65654577769552713</v>
      </c>
    </row>
    <row r="41" spans="2:27" x14ac:dyDescent="0.25">
      <c r="B41" s="126" t="s">
        <v>40</v>
      </c>
      <c r="C41" s="103">
        <v>9880000</v>
      </c>
      <c r="D41" s="24">
        <v>11560000</v>
      </c>
      <c r="E41" s="24">
        <v>11944000</v>
      </c>
      <c r="F41" s="25">
        <f>$M$37*Consolidado!C6</f>
        <v>12750598.847043242</v>
      </c>
      <c r="G41" s="25">
        <f>$M$37*Consolidado!D6</f>
        <v>10923964.781998863</v>
      </c>
      <c r="H41" s="25">
        <f>$M$37*Consolidado!E6</f>
        <v>9226742.300479982</v>
      </c>
      <c r="J41" s="124" t="s">
        <v>188</v>
      </c>
      <c r="K41" s="109">
        <f>'Datos '!D4*-1</f>
        <v>13857000</v>
      </c>
      <c r="L41" s="109">
        <f>'Datos '!E4*-1</f>
        <v>5104000</v>
      </c>
      <c r="N41" s="109">
        <f>'Datos '!F4</f>
        <v>0</v>
      </c>
      <c r="O41" s="109">
        <f>'Datos '!G4</f>
        <v>0</v>
      </c>
      <c r="P41" s="109">
        <f>'Datos '!H4</f>
        <v>0</v>
      </c>
      <c r="R41" s="30">
        <f t="shared" si="4"/>
        <v>3.6482298511042524E-2</v>
      </c>
      <c r="S41" s="30">
        <f t="shared" si="5"/>
        <v>4.0563762947868912E-2</v>
      </c>
      <c r="T41" s="30">
        <f>IFERROR(F41/$F$33,)</f>
        <v>6.1697915091921157E-2</v>
      </c>
      <c r="U41" s="30">
        <f t="shared" si="7"/>
        <v>7.7809684485071362E-2</v>
      </c>
      <c r="V41" s="30">
        <f t="shared" si="8"/>
        <v>7.2138832909106276E-2</v>
      </c>
      <c r="X41" s="46">
        <f t="shared" si="0"/>
        <v>384000</v>
      </c>
      <c r="Y41" s="30">
        <f t="shared" si="1"/>
        <v>3.321799307958484E-2</v>
      </c>
      <c r="Z41" s="46">
        <f>IFERROR(F41-E41,)</f>
        <v>806598.84704324231</v>
      </c>
      <c r="AA41" s="30">
        <f>IFERROR(F41/E41-1,)</f>
        <v>6.7531718607103386E-2</v>
      </c>
    </row>
    <row r="42" spans="2:27" x14ac:dyDescent="0.25">
      <c r="B42" s="23" t="s">
        <v>41</v>
      </c>
      <c r="C42" s="103">
        <v>20158000</v>
      </c>
      <c r="D42" s="24">
        <v>59253000</v>
      </c>
      <c r="E42" s="24">
        <v>58076000</v>
      </c>
      <c r="F42" s="159">
        <f t="shared" ref="F42:H42" si="14">E42*(1-N45)</f>
        <v>49364600</v>
      </c>
      <c r="G42" s="159">
        <f t="shared" si="14"/>
        <v>44428140</v>
      </c>
      <c r="H42" s="159">
        <f t="shared" si="14"/>
        <v>39985326</v>
      </c>
      <c r="J42" s="122" t="s">
        <v>189</v>
      </c>
      <c r="K42" s="116">
        <f>K41/D21</f>
        <v>0.44052009155645983</v>
      </c>
      <c r="L42" s="116">
        <f>L41/E21</f>
        <v>0.19368548876745598</v>
      </c>
      <c r="M42" s="114">
        <f>AVERAGE(K42:L42)</f>
        <v>0.31710279016195791</v>
      </c>
      <c r="N42" s="22"/>
      <c r="O42" s="22"/>
      <c r="P42" s="22"/>
      <c r="R42" s="30">
        <f t="shared" si="4"/>
        <v>0.18699702713449851</v>
      </c>
      <c r="S42" s="30">
        <f t="shared" si="5"/>
        <v>0.19723552385804041</v>
      </c>
      <c r="T42" s="30">
        <f>IFERROR(F42/$F$33,)</f>
        <v>0.23886665527501258</v>
      </c>
      <c r="U42" s="30">
        <f t="shared" si="7"/>
        <v>0.31645465951658158</v>
      </c>
      <c r="V42" s="30">
        <f t="shared" si="8"/>
        <v>0.31262331353722633</v>
      </c>
      <c r="X42" s="46">
        <f t="shared" si="0"/>
        <v>-1177000</v>
      </c>
      <c r="Y42" s="30">
        <f t="shared" si="1"/>
        <v>-1.9863973132162038E-2</v>
      </c>
      <c r="Z42" s="46">
        <f>IFERROR(F42-E42,)</f>
        <v>-8711400</v>
      </c>
      <c r="AA42" s="30">
        <f>IFERROR(F42/E42-1,)</f>
        <v>-0.15000000000000002</v>
      </c>
    </row>
    <row r="43" spans="2:27" x14ac:dyDescent="0.25">
      <c r="B43" s="126" t="s">
        <v>42</v>
      </c>
      <c r="C43" s="103">
        <v>12000</v>
      </c>
      <c r="D43" s="24">
        <v>4000</v>
      </c>
      <c r="E43" s="23">
        <v>0</v>
      </c>
      <c r="F43" s="25">
        <f>$M$25*Consolidado!E6</f>
        <v>2894.528299780864</v>
      </c>
      <c r="G43" s="25">
        <f>$M$25*Consolidado!F6</f>
        <v>2637.0018968955451</v>
      </c>
      <c r="H43" s="25">
        <f>$M$25*Consolidado!G6</f>
        <v>2402.387637653138</v>
      </c>
      <c r="J43" s="22"/>
      <c r="K43" s="116"/>
      <c r="L43" s="116"/>
      <c r="M43" s="114"/>
      <c r="N43" s="22"/>
      <c r="O43" s="22"/>
      <c r="P43" s="22"/>
      <c r="R43" s="30">
        <f t="shared" si="4"/>
        <v>1.262363270278288E-5</v>
      </c>
      <c r="S43" s="30">
        <f t="shared" si="5"/>
        <v>0</v>
      </c>
      <c r="T43" s="30">
        <f t="shared" si="6"/>
        <v>1.4006115588245909E-5</v>
      </c>
      <c r="U43" s="30">
        <f t="shared" si="7"/>
        <v>1.8782950117350387E-5</v>
      </c>
      <c r="V43" s="30">
        <f t="shared" si="8"/>
        <v>1.8782950117350387E-5</v>
      </c>
      <c r="X43" s="46">
        <f t="shared" si="0"/>
        <v>-4000</v>
      </c>
      <c r="Y43" s="30">
        <f t="shared" si="1"/>
        <v>-1</v>
      </c>
      <c r="Z43" s="46">
        <f t="shared" si="2"/>
        <v>2894.528299780864</v>
      </c>
      <c r="AA43" s="30">
        <f t="shared" si="3"/>
        <v>0</v>
      </c>
    </row>
    <row r="44" spans="2:27" ht="31.5" x14ac:dyDescent="0.25">
      <c r="B44" s="23" t="s">
        <v>43</v>
      </c>
      <c r="C44" s="103">
        <v>163583000</v>
      </c>
      <c r="D44" s="24">
        <v>171944000</v>
      </c>
      <c r="E44" s="24">
        <v>135055000</v>
      </c>
      <c r="F44" s="25">
        <f>SUM(F39:F43)</f>
        <v>88924088.046184361</v>
      </c>
      <c r="G44" s="25">
        <f t="shared" ref="G44:H44" si="15">SUM(G39:G43)</f>
        <v>79775805.070971593</v>
      </c>
      <c r="H44" s="25">
        <f t="shared" si="15"/>
        <v>71462790.117953762</v>
      </c>
      <c r="J44" s="22"/>
      <c r="K44" s="22"/>
      <c r="L44" s="22"/>
      <c r="M44" s="22"/>
      <c r="N44" s="22"/>
      <c r="O44" s="22"/>
      <c r="P44" s="22"/>
      <c r="R44" s="30">
        <f t="shared" si="4"/>
        <v>0.54263947536182489</v>
      </c>
      <c r="S44" s="30">
        <f t="shared" si="5"/>
        <v>0.45866870436406859</v>
      </c>
      <c r="T44" s="30">
        <f t="shared" si="6"/>
        <v>0.43028809075679308</v>
      </c>
      <c r="U44" s="30">
        <f t="shared" si="7"/>
        <v>0.5682305230737883</v>
      </c>
      <c r="V44" s="30">
        <f t="shared" si="8"/>
        <v>0.55872832551846796</v>
      </c>
      <c r="X44" s="46">
        <f t="shared" si="0"/>
        <v>-36889000</v>
      </c>
      <c r="Y44" s="30">
        <f t="shared" si="1"/>
        <v>-0.21454078071930394</v>
      </c>
      <c r="Z44" s="46">
        <f t="shared" si="2"/>
        <v>-46130911.953815639</v>
      </c>
      <c r="AA44" s="30">
        <f t="shared" si="3"/>
        <v>-0.34157130023927762</v>
      </c>
    </row>
    <row r="45" spans="2:27" ht="31.5" x14ac:dyDescent="0.25">
      <c r="B45" s="23" t="s">
        <v>44</v>
      </c>
      <c r="C45" s="104" t="s">
        <v>11</v>
      </c>
      <c r="D45" s="23" t="s">
        <v>11</v>
      </c>
      <c r="E45" s="23" t="s">
        <v>11</v>
      </c>
      <c r="F45" s="23" t="s">
        <v>11</v>
      </c>
      <c r="G45" s="23" t="s">
        <v>11</v>
      </c>
      <c r="H45" s="23" t="s">
        <v>11</v>
      </c>
      <c r="J45" s="23" t="s">
        <v>212</v>
      </c>
      <c r="K45" s="155">
        <v>0</v>
      </c>
      <c r="L45" s="155"/>
      <c r="M45" s="22"/>
      <c r="N45" s="155">
        <v>0.15</v>
      </c>
      <c r="O45" s="155">
        <v>0.1</v>
      </c>
      <c r="P45" s="155">
        <v>0.1</v>
      </c>
      <c r="R45" s="30">
        <f t="shared" si="4"/>
        <v>0</v>
      </c>
      <c r="S45" s="30">
        <f t="shared" si="5"/>
        <v>0</v>
      </c>
      <c r="T45" s="30">
        <f t="shared" si="6"/>
        <v>0</v>
      </c>
      <c r="U45" s="30">
        <f t="shared" si="7"/>
        <v>0</v>
      </c>
      <c r="V45" s="30">
        <f t="shared" si="8"/>
        <v>0</v>
      </c>
      <c r="X45" s="46">
        <f t="shared" si="0"/>
        <v>0</v>
      </c>
      <c r="Y45" s="30">
        <f t="shared" si="1"/>
        <v>0</v>
      </c>
      <c r="Z45" s="46">
        <f t="shared" si="2"/>
        <v>0</v>
      </c>
      <c r="AA45" s="30">
        <f t="shared" si="3"/>
        <v>0</v>
      </c>
    </row>
    <row r="46" spans="2:27" x14ac:dyDescent="0.25">
      <c r="B46" s="23" t="s">
        <v>45</v>
      </c>
      <c r="C46" s="103">
        <v>163583000</v>
      </c>
      <c r="D46" s="24">
        <v>171944000</v>
      </c>
      <c r="E46" s="24">
        <v>135055000</v>
      </c>
      <c r="F46" s="25">
        <f>F44</f>
        <v>88924088.046184361</v>
      </c>
      <c r="G46" s="25">
        <f t="shared" ref="G46:H46" si="16">G44</f>
        <v>79775805.070971593</v>
      </c>
      <c r="H46" s="25">
        <f t="shared" si="16"/>
        <v>71462790.117953762</v>
      </c>
      <c r="J46" s="22"/>
      <c r="K46" s="22"/>
      <c r="L46" s="22"/>
      <c r="M46" s="22"/>
      <c r="N46" s="22"/>
      <c r="O46" s="22"/>
      <c r="P46" s="22"/>
      <c r="R46" s="30">
        <f t="shared" si="4"/>
        <v>0.54263947536182489</v>
      </c>
      <c r="S46" s="30">
        <f t="shared" si="5"/>
        <v>0.45866870436406859</v>
      </c>
      <c r="T46" s="30">
        <f t="shared" si="6"/>
        <v>0.43028809075679308</v>
      </c>
      <c r="U46" s="30">
        <f t="shared" si="7"/>
        <v>0.5682305230737883</v>
      </c>
      <c r="V46" s="30">
        <f t="shared" si="8"/>
        <v>0.55872832551846796</v>
      </c>
      <c r="X46" s="46">
        <f t="shared" si="0"/>
        <v>-36889000</v>
      </c>
      <c r="Y46" s="30">
        <f t="shared" si="1"/>
        <v>-0.21454078071930394</v>
      </c>
      <c r="Z46" s="46">
        <f t="shared" si="2"/>
        <v>-46130911.953815639</v>
      </c>
      <c r="AA46" s="30">
        <f t="shared" si="3"/>
        <v>-0.34157130023927762</v>
      </c>
    </row>
    <row r="47" spans="2:27" x14ac:dyDescent="0.25">
      <c r="B47" s="20" t="s">
        <v>46</v>
      </c>
      <c r="C47" s="102" t="s">
        <v>1</v>
      </c>
      <c r="D47" s="21" t="s">
        <v>1</v>
      </c>
      <c r="E47" s="21" t="s">
        <v>1</v>
      </c>
      <c r="F47" s="21" t="s">
        <v>1</v>
      </c>
      <c r="G47" s="21" t="s">
        <v>1</v>
      </c>
      <c r="H47" s="21" t="s">
        <v>1</v>
      </c>
      <c r="J47" s="22"/>
      <c r="K47" s="22"/>
      <c r="L47" s="22"/>
      <c r="M47" s="22"/>
      <c r="N47" s="22"/>
      <c r="O47" s="22"/>
      <c r="P47" s="22"/>
      <c r="R47" s="30">
        <f t="shared" si="4"/>
        <v>0</v>
      </c>
      <c r="S47" s="30">
        <f t="shared" si="5"/>
        <v>0</v>
      </c>
      <c r="T47" s="30">
        <f t="shared" si="6"/>
        <v>0</v>
      </c>
      <c r="U47" s="30">
        <f t="shared" si="7"/>
        <v>0</v>
      </c>
      <c r="V47" s="30">
        <f t="shared" si="8"/>
        <v>0</v>
      </c>
      <c r="X47" s="46">
        <f t="shared" si="0"/>
        <v>0</v>
      </c>
      <c r="Y47" s="30">
        <f t="shared" si="1"/>
        <v>0</v>
      </c>
      <c r="Z47" s="46">
        <f t="shared" si="2"/>
        <v>0</v>
      </c>
      <c r="AA47" s="30">
        <f t="shared" si="3"/>
        <v>0</v>
      </c>
    </row>
    <row r="48" spans="2:27" x14ac:dyDescent="0.25">
      <c r="B48" s="20" t="s">
        <v>47</v>
      </c>
      <c r="C48" s="102" t="s">
        <v>1</v>
      </c>
      <c r="D48" s="21" t="s">
        <v>1</v>
      </c>
      <c r="E48" s="21" t="s">
        <v>1</v>
      </c>
      <c r="F48" s="21" t="s">
        <v>1</v>
      </c>
      <c r="G48" s="21" t="s">
        <v>1</v>
      </c>
      <c r="H48" s="21" t="s">
        <v>1</v>
      </c>
      <c r="J48" s="22"/>
      <c r="K48" s="22"/>
      <c r="L48" s="22"/>
      <c r="M48" s="22"/>
      <c r="N48" s="22"/>
      <c r="O48" s="22"/>
      <c r="P48" s="22"/>
      <c r="R48" s="30">
        <f t="shared" si="4"/>
        <v>0</v>
      </c>
      <c r="S48" s="30">
        <f t="shared" si="5"/>
        <v>0</v>
      </c>
      <c r="T48" s="30">
        <f t="shared" si="6"/>
        <v>0</v>
      </c>
      <c r="U48" s="30">
        <f t="shared" si="7"/>
        <v>0</v>
      </c>
      <c r="V48" s="30">
        <f t="shared" si="8"/>
        <v>0</v>
      </c>
      <c r="X48" s="46">
        <f t="shared" si="0"/>
        <v>0</v>
      </c>
      <c r="Y48" s="30">
        <f t="shared" si="1"/>
        <v>0</v>
      </c>
      <c r="Z48" s="46">
        <f t="shared" si="2"/>
        <v>0</v>
      </c>
      <c r="AA48" s="30">
        <f t="shared" si="3"/>
        <v>0</v>
      </c>
    </row>
    <row r="49" spans="2:27" x14ac:dyDescent="0.25">
      <c r="B49" s="23" t="s">
        <v>48</v>
      </c>
      <c r="C49" s="104" t="s">
        <v>11</v>
      </c>
      <c r="D49" s="23" t="s">
        <v>11</v>
      </c>
      <c r="E49" s="23" t="s">
        <v>11</v>
      </c>
      <c r="F49" s="23" t="s">
        <v>11</v>
      </c>
      <c r="G49" s="23" t="s">
        <v>11</v>
      </c>
      <c r="H49" s="23" t="s">
        <v>11</v>
      </c>
      <c r="J49" s="22"/>
      <c r="K49" s="22"/>
      <c r="L49" s="22"/>
      <c r="M49" s="22"/>
      <c r="N49" s="22"/>
      <c r="O49" s="22"/>
      <c r="P49" s="22"/>
      <c r="R49" s="30">
        <f t="shared" si="4"/>
        <v>0</v>
      </c>
      <c r="S49" s="30">
        <f t="shared" si="5"/>
        <v>0</v>
      </c>
      <c r="T49" s="30">
        <f t="shared" si="6"/>
        <v>0</v>
      </c>
      <c r="U49" s="30">
        <f t="shared" si="7"/>
        <v>0</v>
      </c>
      <c r="V49" s="30">
        <f t="shared" si="8"/>
        <v>0</v>
      </c>
      <c r="X49" s="46">
        <f t="shared" si="0"/>
        <v>0</v>
      </c>
      <c r="Y49" s="30">
        <f t="shared" si="1"/>
        <v>0</v>
      </c>
      <c r="Z49" s="46">
        <f t="shared" si="2"/>
        <v>0</v>
      </c>
      <c r="AA49" s="30">
        <f t="shared" si="3"/>
        <v>0</v>
      </c>
    </row>
    <row r="50" spans="2:27" x14ac:dyDescent="0.25">
      <c r="B50" s="23" t="s">
        <v>49</v>
      </c>
      <c r="C50" s="104" t="s">
        <v>11</v>
      </c>
      <c r="D50" s="23" t="s">
        <v>11</v>
      </c>
      <c r="E50" s="23" t="s">
        <v>11</v>
      </c>
      <c r="F50" s="23" t="s">
        <v>11</v>
      </c>
      <c r="G50" s="23" t="s">
        <v>11</v>
      </c>
      <c r="H50" s="23" t="s">
        <v>11</v>
      </c>
      <c r="J50" s="22"/>
      <c r="K50" s="22"/>
      <c r="L50" s="22"/>
      <c r="M50" s="22"/>
      <c r="N50" s="22"/>
      <c r="O50" s="22"/>
      <c r="P50" s="22"/>
      <c r="R50" s="30">
        <f t="shared" si="4"/>
        <v>0</v>
      </c>
      <c r="S50" s="30">
        <f t="shared" si="5"/>
        <v>0</v>
      </c>
      <c r="T50" s="30">
        <f t="shared" si="6"/>
        <v>0</v>
      </c>
      <c r="U50" s="30">
        <f t="shared" si="7"/>
        <v>0</v>
      </c>
      <c r="V50" s="30">
        <f t="shared" si="8"/>
        <v>0</v>
      </c>
      <c r="X50" s="46">
        <f t="shared" si="0"/>
        <v>0</v>
      </c>
      <c r="Y50" s="30">
        <f t="shared" si="1"/>
        <v>0</v>
      </c>
      <c r="Z50" s="46">
        <f t="shared" si="2"/>
        <v>0</v>
      </c>
      <c r="AA50" s="30">
        <f t="shared" si="3"/>
        <v>0</v>
      </c>
    </row>
    <row r="51" spans="2:27" x14ac:dyDescent="0.25">
      <c r="B51" s="23" t="s">
        <v>50</v>
      </c>
      <c r="C51" s="104" t="s">
        <v>11</v>
      </c>
      <c r="D51" s="23" t="s">
        <v>11</v>
      </c>
      <c r="E51" s="23" t="s">
        <v>11</v>
      </c>
      <c r="F51" s="23" t="s">
        <v>11</v>
      </c>
      <c r="G51" s="23" t="s">
        <v>11</v>
      </c>
      <c r="H51" s="23" t="s">
        <v>11</v>
      </c>
      <c r="J51" s="22"/>
      <c r="K51" s="22"/>
      <c r="L51" s="22"/>
      <c r="M51" s="22"/>
      <c r="N51" s="22"/>
      <c r="O51" s="22"/>
      <c r="P51" s="22"/>
      <c r="R51" s="30">
        <f t="shared" si="4"/>
        <v>0</v>
      </c>
      <c r="S51" s="30">
        <f t="shared" si="5"/>
        <v>0</v>
      </c>
      <c r="T51" s="30">
        <f t="shared" si="6"/>
        <v>0</v>
      </c>
      <c r="U51" s="30">
        <f t="shared" si="7"/>
        <v>0</v>
      </c>
      <c r="V51" s="30">
        <f t="shared" si="8"/>
        <v>0</v>
      </c>
      <c r="X51" s="46">
        <f t="shared" si="0"/>
        <v>0</v>
      </c>
      <c r="Y51" s="30">
        <f t="shared" si="1"/>
        <v>0</v>
      </c>
      <c r="Z51" s="46">
        <f t="shared" si="2"/>
        <v>0</v>
      </c>
      <c r="AA51" s="30">
        <f t="shared" si="3"/>
        <v>0</v>
      </c>
    </row>
    <row r="52" spans="2:27" x14ac:dyDescent="0.25">
      <c r="B52" s="23" t="s">
        <v>51</v>
      </c>
      <c r="C52" s="104" t="s">
        <v>11</v>
      </c>
      <c r="D52" s="23" t="s">
        <v>11</v>
      </c>
      <c r="E52" s="23" t="s">
        <v>11</v>
      </c>
      <c r="F52" s="23" t="s">
        <v>11</v>
      </c>
      <c r="G52" s="23" t="s">
        <v>11</v>
      </c>
      <c r="H52" s="23" t="s">
        <v>11</v>
      </c>
      <c r="J52" s="22"/>
      <c r="K52" s="22"/>
      <c r="L52" s="22"/>
      <c r="M52" s="22"/>
      <c r="N52" s="22"/>
      <c r="O52" s="22"/>
      <c r="P52" s="22"/>
      <c r="R52" s="30">
        <f t="shared" si="4"/>
        <v>0</v>
      </c>
      <c r="S52" s="30">
        <f t="shared" si="5"/>
        <v>0</v>
      </c>
      <c r="T52" s="30">
        <f t="shared" si="6"/>
        <v>0</v>
      </c>
      <c r="U52" s="30">
        <f t="shared" si="7"/>
        <v>0</v>
      </c>
      <c r="V52" s="30">
        <f t="shared" si="8"/>
        <v>0</v>
      </c>
      <c r="X52" s="46">
        <f t="shared" si="0"/>
        <v>0</v>
      </c>
      <c r="Y52" s="30">
        <f t="shared" si="1"/>
        <v>0</v>
      </c>
      <c r="Z52" s="46">
        <f t="shared" si="2"/>
        <v>0</v>
      </c>
      <c r="AA52" s="30">
        <f t="shared" si="3"/>
        <v>0</v>
      </c>
    </row>
    <row r="53" spans="2:27" x14ac:dyDescent="0.25">
      <c r="B53" s="126" t="s">
        <v>52</v>
      </c>
      <c r="C53" s="103">
        <v>14243000</v>
      </c>
      <c r="D53" s="24">
        <v>11603000</v>
      </c>
      <c r="E53" s="24">
        <v>8629000</v>
      </c>
      <c r="F53" s="117">
        <f>$M$38*Consolidado!E6</f>
        <v>7842321.0173779447</v>
      </c>
      <c r="G53" s="117">
        <f>$M$38*Consolidado!F6</f>
        <v>7144589.1202566847</v>
      </c>
      <c r="H53" s="117">
        <f>$M$38*Consolidado!G6</f>
        <v>6508934.48306672</v>
      </c>
      <c r="J53" s="22"/>
      <c r="K53" s="22"/>
      <c r="L53" s="22"/>
      <c r="M53" s="22"/>
      <c r="N53" s="22"/>
      <c r="O53" s="22"/>
      <c r="P53" s="22"/>
      <c r="R53" s="30">
        <f t="shared" si="4"/>
        <v>3.6618002562597438E-2</v>
      </c>
      <c r="S53" s="30">
        <f t="shared" si="5"/>
        <v>2.9305484802173543E-2</v>
      </c>
      <c r="T53" s="30">
        <f t="shared" si="6"/>
        <v>3.7947618151752543E-2</v>
      </c>
      <c r="U53" s="30">
        <f t="shared" si="7"/>
        <v>5.0889785560158544E-2</v>
      </c>
      <c r="V53" s="30">
        <f t="shared" si="8"/>
        <v>5.0889785560158531E-2</v>
      </c>
      <c r="X53" s="46">
        <f t="shared" si="0"/>
        <v>-2974000</v>
      </c>
      <c r="Y53" s="30">
        <f t="shared" si="1"/>
        <v>-0.25631302249418253</v>
      </c>
      <c r="Z53" s="46">
        <f t="shared" si="2"/>
        <v>-786678.98262205534</v>
      </c>
      <c r="AA53" s="30">
        <f t="shared" si="3"/>
        <v>-9.1166877114619904E-2</v>
      </c>
    </row>
    <row r="54" spans="2:27" x14ac:dyDescent="0.25">
      <c r="B54" s="23" t="s">
        <v>53</v>
      </c>
      <c r="C54" s="104" t="s">
        <v>11</v>
      </c>
      <c r="D54" s="23" t="s">
        <v>11</v>
      </c>
      <c r="E54" s="23" t="s">
        <v>11</v>
      </c>
      <c r="F54" s="23" t="s">
        <v>11</v>
      </c>
      <c r="G54" s="23" t="s">
        <v>11</v>
      </c>
      <c r="H54" s="23" t="s">
        <v>11</v>
      </c>
      <c r="J54" s="22"/>
      <c r="K54" s="22"/>
      <c r="L54" s="22"/>
      <c r="M54" s="22"/>
      <c r="N54" s="22"/>
      <c r="O54" s="22"/>
      <c r="P54" s="22"/>
      <c r="R54" s="30">
        <f t="shared" si="4"/>
        <v>0</v>
      </c>
      <c r="S54" s="30">
        <f t="shared" si="5"/>
        <v>0</v>
      </c>
      <c r="T54" s="30">
        <f t="shared" si="6"/>
        <v>0</v>
      </c>
      <c r="U54" s="30">
        <f t="shared" si="7"/>
        <v>0</v>
      </c>
      <c r="V54" s="30">
        <f t="shared" si="8"/>
        <v>0</v>
      </c>
      <c r="X54" s="46">
        <f t="shared" si="0"/>
        <v>0</v>
      </c>
      <c r="Y54" s="30">
        <f t="shared" si="1"/>
        <v>0</v>
      </c>
      <c r="Z54" s="46">
        <f t="shared" si="2"/>
        <v>0</v>
      </c>
      <c r="AA54" s="30">
        <f t="shared" si="3"/>
        <v>0</v>
      </c>
    </row>
    <row r="55" spans="2:27" x14ac:dyDescent="0.25">
      <c r="B55" s="23" t="s">
        <v>54</v>
      </c>
      <c r="C55" s="103">
        <v>58488000</v>
      </c>
      <c r="D55" s="24">
        <v>59318000</v>
      </c>
      <c r="E55" s="24">
        <v>75802000</v>
      </c>
      <c r="F55" s="159">
        <f t="shared" ref="F55:H55" si="17">E55*(1-N45)</f>
        <v>64431700</v>
      </c>
      <c r="G55" s="159">
        <f t="shared" si="17"/>
        <v>57988530</v>
      </c>
      <c r="H55" s="159">
        <f t="shared" si="17"/>
        <v>52189677</v>
      </c>
      <c r="J55" s="22"/>
      <c r="K55" s="22"/>
      <c r="L55" s="22"/>
      <c r="M55" s="22"/>
      <c r="N55" s="22"/>
      <c r="O55" s="22"/>
      <c r="P55" s="22"/>
      <c r="R55" s="30">
        <f t="shared" si="4"/>
        <v>0.18720216116591873</v>
      </c>
      <c r="S55" s="30">
        <f t="shared" si="5"/>
        <v>0.25743589743589745</v>
      </c>
      <c r="T55" s="30">
        <f t="shared" si="6"/>
        <v>0.31177371380874208</v>
      </c>
      <c r="U55" s="30">
        <f t="shared" si="7"/>
        <v>0.41304318652586119</v>
      </c>
      <c r="V55" s="30">
        <f t="shared" si="8"/>
        <v>0.40804243427145176</v>
      </c>
      <c r="X55" s="46">
        <f t="shared" si="0"/>
        <v>16484000</v>
      </c>
      <c r="Y55" s="30">
        <f t="shared" si="1"/>
        <v>0.27789203951582997</v>
      </c>
      <c r="Z55" s="46">
        <f t="shared" si="2"/>
        <v>-11370300</v>
      </c>
      <c r="AA55" s="30">
        <f t="shared" si="3"/>
        <v>-0.15000000000000002</v>
      </c>
    </row>
    <row r="56" spans="2:27" x14ac:dyDescent="0.25">
      <c r="B56" s="126" t="s">
        <v>55</v>
      </c>
      <c r="C56" s="103">
        <v>12268000</v>
      </c>
      <c r="D56" s="24">
        <v>9028000</v>
      </c>
      <c r="E56" s="24">
        <v>5308000</v>
      </c>
      <c r="F56" s="25">
        <f>$M$28*Consolidado!E6</f>
        <v>5508131.4488554951</v>
      </c>
      <c r="G56" s="25">
        <f>$M$28*Consolidado!F6</f>
        <v>5018072.5751002626</v>
      </c>
      <c r="H56" s="25">
        <f>$M$28*Consolidado!G6</f>
        <v>4571614.2765993038</v>
      </c>
      <c r="J56" s="22"/>
      <c r="K56" s="22"/>
      <c r="L56" s="22"/>
      <c r="M56" s="22"/>
      <c r="N56" s="22"/>
      <c r="O56" s="22"/>
      <c r="P56" s="22"/>
      <c r="R56" s="30">
        <f t="shared" si="4"/>
        <v>2.849153901018096E-2</v>
      </c>
      <c r="S56" s="30">
        <f t="shared" si="5"/>
        <v>1.8026829682458823E-2</v>
      </c>
      <c r="T56" s="30">
        <f t="shared" si="6"/>
        <v>2.665288356440083E-2</v>
      </c>
      <c r="U56" s="30">
        <f t="shared" si="7"/>
        <v>3.5742942382527142E-2</v>
      </c>
      <c r="V56" s="30">
        <f t="shared" si="8"/>
        <v>3.5742942382527142E-2</v>
      </c>
      <c r="X56" s="46">
        <f t="shared" si="0"/>
        <v>-3720000</v>
      </c>
      <c r="Y56" s="30">
        <f t="shared" si="1"/>
        <v>-0.41205139565795301</v>
      </c>
      <c r="Z56" s="46">
        <f t="shared" si="2"/>
        <v>200131.44885549508</v>
      </c>
      <c r="AA56" s="30">
        <f t="shared" si="3"/>
        <v>3.7703739422662919E-2</v>
      </c>
    </row>
    <row r="57" spans="2:27" x14ac:dyDescent="0.25">
      <c r="B57" s="23" t="s">
        <v>56</v>
      </c>
      <c r="C57" s="103">
        <v>84999000</v>
      </c>
      <c r="D57" s="24">
        <v>79949000</v>
      </c>
      <c r="E57" s="24">
        <v>89739000</v>
      </c>
      <c r="F57" s="25">
        <f>SUM(F49:F56)</f>
        <v>77782152.466233432</v>
      </c>
      <c r="G57" s="25">
        <f t="shared" ref="G57:H57" si="18">SUM(G49:G56)</f>
        <v>70151191.69535695</v>
      </c>
      <c r="H57" s="25">
        <f t="shared" si="18"/>
        <v>63270225.759666026</v>
      </c>
      <c r="J57" s="22"/>
      <c r="K57" s="22"/>
      <c r="L57" s="22"/>
      <c r="M57" s="22"/>
      <c r="N57" s="22"/>
      <c r="O57" s="22"/>
      <c r="P57" s="22"/>
      <c r="R57" s="30">
        <f t="shared" si="4"/>
        <v>0.25231170273869713</v>
      </c>
      <c r="S57" s="30">
        <f t="shared" si="5"/>
        <v>0.30476821192052977</v>
      </c>
      <c r="T57" s="30">
        <f t="shared" si="6"/>
        <v>0.37637421552489542</v>
      </c>
      <c r="U57" s="30">
        <f t="shared" si="7"/>
        <v>0.49967591446854692</v>
      </c>
      <c r="V57" s="30">
        <f t="shared" si="8"/>
        <v>0.49467516221413743</v>
      </c>
      <c r="X57" s="46">
        <f t="shared" si="0"/>
        <v>9790000</v>
      </c>
      <c r="Y57" s="30">
        <f t="shared" si="1"/>
        <v>0.12245306382819043</v>
      </c>
      <c r="Z57" s="46">
        <f t="shared" si="2"/>
        <v>-11956847.533766568</v>
      </c>
      <c r="AA57" s="30">
        <f t="shared" si="3"/>
        <v>-0.13324025823517716</v>
      </c>
    </row>
    <row r="58" spans="2:27" x14ac:dyDescent="0.25">
      <c r="B58" s="20" t="s">
        <v>57</v>
      </c>
      <c r="C58" s="105">
        <v>248582000</v>
      </c>
      <c r="D58" s="26">
        <v>251893000</v>
      </c>
      <c r="E58" s="26">
        <v>224794000</v>
      </c>
      <c r="F58" s="26">
        <f>F46+F57</f>
        <v>166706240.51241779</v>
      </c>
      <c r="G58" s="26">
        <f t="shared" ref="G58:H58" si="19">G46+G57</f>
        <v>149926996.76632854</v>
      </c>
      <c r="H58" s="26">
        <f t="shared" si="19"/>
        <v>134733015.8776198</v>
      </c>
      <c r="J58" s="22"/>
      <c r="K58" s="22"/>
      <c r="L58" s="22"/>
      <c r="M58" s="22"/>
      <c r="N58" s="22"/>
      <c r="O58" s="22"/>
      <c r="P58" s="22"/>
      <c r="R58" s="30">
        <f t="shared" si="4"/>
        <v>0.79495117810052196</v>
      </c>
      <c r="S58" s="30">
        <f t="shared" si="5"/>
        <v>0.76343691628459842</v>
      </c>
      <c r="T58" s="30">
        <f t="shared" si="6"/>
        <v>0.80666230628168845</v>
      </c>
      <c r="U58" s="30">
        <f t="shared" si="7"/>
        <v>1.0679064375423353</v>
      </c>
      <c r="V58" s="30">
        <f t="shared" si="8"/>
        <v>1.0534034877326055</v>
      </c>
      <c r="X58" s="46">
        <f t="shared" si="0"/>
        <v>-27099000</v>
      </c>
      <c r="Y58" s="30">
        <f t="shared" si="1"/>
        <v>-0.10758139368700204</v>
      </c>
      <c r="Z58" s="46">
        <f t="shared" si="2"/>
        <v>-58087759.487582207</v>
      </c>
      <c r="AA58" s="30">
        <f t="shared" si="3"/>
        <v>-0.25840440353204364</v>
      </c>
    </row>
    <row r="59" spans="2:27" x14ac:dyDescent="0.25">
      <c r="B59" s="20" t="s">
        <v>58</v>
      </c>
      <c r="C59" s="102" t="s">
        <v>1</v>
      </c>
      <c r="D59" s="21" t="s">
        <v>1</v>
      </c>
      <c r="E59" s="21" t="s">
        <v>1</v>
      </c>
      <c r="F59" s="22"/>
      <c r="G59" s="22"/>
      <c r="H59" s="22"/>
      <c r="J59" s="22"/>
      <c r="K59" s="22"/>
      <c r="L59" s="22"/>
      <c r="M59" s="22"/>
      <c r="N59" s="22"/>
      <c r="O59" s="22"/>
      <c r="P59" s="22"/>
      <c r="R59" s="30">
        <f t="shared" si="4"/>
        <v>0</v>
      </c>
      <c r="S59" s="30">
        <f t="shared" si="5"/>
        <v>0</v>
      </c>
      <c r="T59" s="30">
        <f t="shared" si="6"/>
        <v>0</v>
      </c>
      <c r="U59" s="30">
        <f t="shared" si="7"/>
        <v>0</v>
      </c>
      <c r="V59" s="30">
        <f t="shared" si="8"/>
        <v>0</v>
      </c>
      <c r="X59" s="46">
        <f t="shared" si="0"/>
        <v>0</v>
      </c>
      <c r="Y59" s="30">
        <f t="shared" si="1"/>
        <v>0</v>
      </c>
      <c r="Z59" s="46">
        <f t="shared" si="2"/>
        <v>0</v>
      </c>
      <c r="AA59" s="30">
        <f t="shared" si="3"/>
        <v>0</v>
      </c>
    </row>
    <row r="60" spans="2:27" x14ac:dyDescent="0.25">
      <c r="B60" s="23" t="s">
        <v>59</v>
      </c>
      <c r="C60" s="103">
        <v>6182000</v>
      </c>
      <c r="D60" s="24">
        <v>6182000</v>
      </c>
      <c r="E60" s="24">
        <v>6182000</v>
      </c>
      <c r="F60" s="24">
        <v>6182000</v>
      </c>
      <c r="G60" s="24">
        <v>6182000</v>
      </c>
      <c r="H60" s="24">
        <v>6182000</v>
      </c>
      <c r="J60" s="22"/>
      <c r="K60" s="22"/>
      <c r="L60" s="22"/>
      <c r="M60" s="22"/>
      <c r="N60" s="22"/>
      <c r="O60" s="22"/>
      <c r="P60" s="22"/>
      <c r="R60" s="30">
        <f t="shared" si="4"/>
        <v>1.9509824342150942E-2</v>
      </c>
      <c r="S60" s="30">
        <f t="shared" si="5"/>
        <v>2.0995075564611988E-2</v>
      </c>
      <c r="T60" s="30">
        <f t="shared" si="6"/>
        <v>2.991361548377031E-2</v>
      </c>
      <c r="U60" s="30">
        <f t="shared" si="7"/>
        <v>4.403341452357689E-2</v>
      </c>
      <c r="V60" s="30">
        <f t="shared" si="8"/>
        <v>4.8333664311931167E-2</v>
      </c>
      <c r="X60" s="46">
        <f t="shared" si="0"/>
        <v>0</v>
      </c>
      <c r="Y60" s="30">
        <f t="shared" si="1"/>
        <v>0</v>
      </c>
      <c r="Z60" s="46">
        <f t="shared" si="2"/>
        <v>0</v>
      </c>
      <c r="AA60" s="30">
        <f t="shared" si="3"/>
        <v>0</v>
      </c>
    </row>
    <row r="61" spans="2:27" x14ac:dyDescent="0.25">
      <c r="B61" s="23" t="s">
        <v>60</v>
      </c>
      <c r="C61" s="103">
        <v>20854000</v>
      </c>
      <c r="D61" s="24">
        <v>20854000</v>
      </c>
      <c r="E61" s="24">
        <v>20854000</v>
      </c>
      <c r="F61" s="24">
        <v>20854000</v>
      </c>
      <c r="G61" s="24">
        <v>20854000</v>
      </c>
      <c r="H61" s="24">
        <v>20854000</v>
      </c>
      <c r="J61" s="22"/>
      <c r="K61" s="22"/>
      <c r="L61" s="22"/>
      <c r="M61" s="22"/>
      <c r="N61" s="22"/>
      <c r="O61" s="22"/>
      <c r="P61" s="22"/>
      <c r="R61" s="30">
        <f t="shared" si="4"/>
        <v>6.5813309095958547E-2</v>
      </c>
      <c r="S61" s="30">
        <f t="shared" si="5"/>
        <v>7.0823569366615727E-2</v>
      </c>
      <c r="T61" s="30">
        <f t="shared" si="6"/>
        <v>0.10090885430257943</v>
      </c>
      <c r="U61" s="30">
        <f t="shared" si="7"/>
        <v>0.14853976487781825</v>
      </c>
      <c r="V61" s="30">
        <f t="shared" si="8"/>
        <v>0.16304597792963646</v>
      </c>
      <c r="X61" s="46">
        <f t="shared" si="0"/>
        <v>0</v>
      </c>
      <c r="Y61" s="30">
        <f t="shared" si="1"/>
        <v>0</v>
      </c>
      <c r="Z61" s="46">
        <f t="shared" si="2"/>
        <v>0</v>
      </c>
      <c r="AA61" s="30">
        <f t="shared" si="3"/>
        <v>0</v>
      </c>
    </row>
    <row r="62" spans="2:27" x14ac:dyDescent="0.25">
      <c r="B62" s="23" t="s">
        <v>61</v>
      </c>
      <c r="C62" s="104" t="s">
        <v>11</v>
      </c>
      <c r="D62" s="23" t="s">
        <v>11</v>
      </c>
      <c r="E62" s="23" t="s">
        <v>11</v>
      </c>
      <c r="F62" s="23" t="s">
        <v>11</v>
      </c>
      <c r="G62" s="23" t="s">
        <v>11</v>
      </c>
      <c r="H62" s="23" t="s">
        <v>11</v>
      </c>
      <c r="J62" s="22"/>
      <c r="K62" s="22"/>
      <c r="L62" s="22"/>
      <c r="M62" s="22"/>
      <c r="N62" s="22"/>
      <c r="O62" s="22"/>
      <c r="P62" s="22"/>
      <c r="R62" s="30">
        <f t="shared" si="4"/>
        <v>0</v>
      </c>
      <c r="S62" s="30">
        <f t="shared" si="5"/>
        <v>0</v>
      </c>
      <c r="T62" s="30">
        <f t="shared" si="6"/>
        <v>0</v>
      </c>
      <c r="U62" s="30">
        <f t="shared" si="7"/>
        <v>0</v>
      </c>
      <c r="V62" s="30">
        <f t="shared" si="8"/>
        <v>0</v>
      </c>
      <c r="X62" s="46">
        <f t="shared" si="0"/>
        <v>0</v>
      </c>
      <c r="Y62" s="30">
        <f t="shared" si="1"/>
        <v>0</v>
      </c>
      <c r="Z62" s="46">
        <f t="shared" si="2"/>
        <v>0</v>
      </c>
      <c r="AA62" s="30">
        <f t="shared" si="3"/>
        <v>0</v>
      </c>
    </row>
    <row r="63" spans="2:27" x14ac:dyDescent="0.25">
      <c r="B63" s="23" t="s">
        <v>62</v>
      </c>
      <c r="C63" s="104" t="s">
        <v>11</v>
      </c>
      <c r="D63" s="23" t="s">
        <v>11</v>
      </c>
      <c r="E63" s="23" t="s">
        <v>11</v>
      </c>
      <c r="F63" s="23" t="s">
        <v>11</v>
      </c>
      <c r="G63" s="23" t="s">
        <v>11</v>
      </c>
      <c r="H63" s="23" t="s">
        <v>11</v>
      </c>
      <c r="J63" s="22"/>
      <c r="K63" s="22"/>
      <c r="L63" s="22"/>
      <c r="M63" s="22"/>
      <c r="N63" s="22"/>
      <c r="O63" s="22"/>
      <c r="P63" s="22"/>
      <c r="R63" s="30">
        <f t="shared" si="4"/>
        <v>0</v>
      </c>
      <c r="S63" s="30">
        <f t="shared" si="5"/>
        <v>0</v>
      </c>
      <c r="T63" s="30">
        <f t="shared" si="6"/>
        <v>0</v>
      </c>
      <c r="U63" s="30">
        <f t="shared" si="7"/>
        <v>0</v>
      </c>
      <c r="V63" s="30">
        <f t="shared" si="8"/>
        <v>0</v>
      </c>
      <c r="X63" s="46">
        <f t="shared" si="0"/>
        <v>0</v>
      </c>
      <c r="Y63" s="30">
        <f t="shared" si="1"/>
        <v>0</v>
      </c>
      <c r="Z63" s="46">
        <f t="shared" si="2"/>
        <v>0</v>
      </c>
      <c r="AA63" s="30">
        <f t="shared" si="3"/>
        <v>0</v>
      </c>
    </row>
    <row r="64" spans="2:27" x14ac:dyDescent="0.25">
      <c r="B64" s="23" t="s">
        <v>63</v>
      </c>
      <c r="C64" s="104" t="s">
        <v>11</v>
      </c>
      <c r="D64" s="23" t="s">
        <v>11</v>
      </c>
      <c r="E64" s="23" t="s">
        <v>11</v>
      </c>
      <c r="F64" s="23" t="s">
        <v>11</v>
      </c>
      <c r="G64" s="23" t="s">
        <v>11</v>
      </c>
      <c r="H64" s="23" t="s">
        <v>11</v>
      </c>
      <c r="J64" s="22"/>
      <c r="K64" s="22"/>
      <c r="L64" s="22"/>
      <c r="M64" s="22"/>
      <c r="N64" s="22"/>
      <c r="O64" s="22"/>
      <c r="P64" s="22"/>
      <c r="R64" s="30">
        <f t="shared" si="4"/>
        <v>0</v>
      </c>
      <c r="S64" s="30">
        <f t="shared" si="5"/>
        <v>0</v>
      </c>
      <c r="T64" s="30">
        <f t="shared" si="6"/>
        <v>0</v>
      </c>
      <c r="U64" s="30">
        <f t="shared" si="7"/>
        <v>0</v>
      </c>
      <c r="V64" s="30">
        <f t="shared" si="8"/>
        <v>0</v>
      </c>
      <c r="X64" s="46">
        <f t="shared" si="0"/>
        <v>0</v>
      </c>
      <c r="Y64" s="30">
        <f t="shared" si="1"/>
        <v>0</v>
      </c>
      <c r="Z64" s="46">
        <f t="shared" si="2"/>
        <v>0</v>
      </c>
      <c r="AA64" s="30">
        <f t="shared" si="3"/>
        <v>0</v>
      </c>
    </row>
    <row r="65" spans="2:27" x14ac:dyDescent="0.25">
      <c r="B65" s="23" t="s">
        <v>64</v>
      </c>
      <c r="C65" s="103">
        <v>81000</v>
      </c>
      <c r="D65" s="24">
        <v>81000</v>
      </c>
      <c r="E65" s="24">
        <v>81000</v>
      </c>
      <c r="F65" s="24">
        <v>81000</v>
      </c>
      <c r="G65" s="24">
        <v>81000</v>
      </c>
      <c r="H65" s="24">
        <v>81000</v>
      </c>
      <c r="J65" s="22"/>
      <c r="K65" s="22"/>
      <c r="L65" s="22"/>
      <c r="M65" s="22"/>
      <c r="N65" s="22"/>
      <c r="O65" s="22"/>
      <c r="P65" s="22"/>
      <c r="R65" s="30">
        <f t="shared" si="4"/>
        <v>2.5562856223135331E-4</v>
      </c>
      <c r="S65" s="30">
        <f t="shared" si="5"/>
        <v>2.7508914926133469E-4</v>
      </c>
      <c r="T65" s="30">
        <f t="shared" si="6"/>
        <v>3.9194481627068833E-4</v>
      </c>
      <c r="U65" s="30">
        <f t="shared" si="7"/>
        <v>5.7695027117595085E-4</v>
      </c>
      <c r="V65" s="30">
        <f t="shared" si="8"/>
        <v>6.3329453401268592E-4</v>
      </c>
      <c r="X65" s="46">
        <f t="shared" si="0"/>
        <v>0</v>
      </c>
      <c r="Y65" s="30">
        <f t="shared" si="1"/>
        <v>0</v>
      </c>
      <c r="Z65" s="46">
        <f t="shared" si="2"/>
        <v>0</v>
      </c>
      <c r="AA65" s="30">
        <f t="shared" si="3"/>
        <v>0</v>
      </c>
    </row>
    <row r="66" spans="2:27" x14ac:dyDescent="0.25">
      <c r="B66" s="23" t="s">
        <v>65</v>
      </c>
      <c r="C66" s="103">
        <v>1696000</v>
      </c>
      <c r="D66" s="24">
        <v>3001000</v>
      </c>
      <c r="E66" s="24">
        <v>3001000</v>
      </c>
      <c r="F66" s="24">
        <v>3001000</v>
      </c>
      <c r="G66" s="24">
        <v>3001000</v>
      </c>
      <c r="H66" s="24">
        <v>3001000</v>
      </c>
      <c r="J66" s="22"/>
      <c r="K66" s="22"/>
      <c r="L66" s="22"/>
      <c r="M66" s="22"/>
      <c r="N66" s="22"/>
      <c r="O66" s="22"/>
      <c r="P66" s="22"/>
      <c r="R66" s="30">
        <f t="shared" si="4"/>
        <v>9.4708804352628562E-3</v>
      </c>
      <c r="S66" s="30">
        <f t="shared" si="5"/>
        <v>1.0191883172015623E-2</v>
      </c>
      <c r="T66" s="30">
        <f t="shared" si="6"/>
        <v>1.452131350158439E-2</v>
      </c>
      <c r="U66" s="30">
        <f t="shared" si="7"/>
        <v>2.1375651404926276E-2</v>
      </c>
      <c r="V66" s="30">
        <f t="shared" si="8"/>
        <v>2.3463171562618155E-2</v>
      </c>
      <c r="X66" s="46">
        <f t="shared" si="0"/>
        <v>0</v>
      </c>
      <c r="Y66" s="30">
        <f t="shared" si="1"/>
        <v>0</v>
      </c>
      <c r="Z66" s="46">
        <f t="shared" si="2"/>
        <v>0</v>
      </c>
      <c r="AA66" s="30">
        <f t="shared" si="3"/>
        <v>0</v>
      </c>
    </row>
    <row r="67" spans="2:27" x14ac:dyDescent="0.25">
      <c r="B67" s="23" t="s">
        <v>66</v>
      </c>
      <c r="C67" s="103">
        <v>23030000</v>
      </c>
      <c r="D67" s="24">
        <v>34855000</v>
      </c>
      <c r="E67" s="24">
        <v>39538000</v>
      </c>
      <c r="F67" s="118"/>
      <c r="G67" s="118"/>
      <c r="H67" s="118"/>
      <c r="J67" s="22"/>
      <c r="K67" s="22"/>
      <c r="L67" s="22"/>
      <c r="M67" s="22"/>
      <c r="N67" s="22"/>
      <c r="O67" s="22"/>
      <c r="P67" s="22"/>
      <c r="R67" s="30">
        <f t="shared" si="4"/>
        <v>0.10999917946387432</v>
      </c>
      <c r="S67" s="30">
        <f t="shared" si="5"/>
        <v>0.13427746646289693</v>
      </c>
      <c r="T67" s="30">
        <f t="shared" si="6"/>
        <v>0</v>
      </c>
      <c r="U67" s="30">
        <f t="shared" si="7"/>
        <v>0</v>
      </c>
      <c r="V67" s="30">
        <f t="shared" si="8"/>
        <v>0</v>
      </c>
      <c r="X67" s="46">
        <f t="shared" si="0"/>
        <v>4683000</v>
      </c>
      <c r="Y67" s="30">
        <f t="shared" si="1"/>
        <v>0.13435662028403383</v>
      </c>
      <c r="Z67" s="46">
        <f t="shared" si="2"/>
        <v>-39538000</v>
      </c>
      <c r="AA67" s="30">
        <f t="shared" si="3"/>
        <v>-1</v>
      </c>
    </row>
    <row r="68" spans="2:27" x14ac:dyDescent="0.25">
      <c r="B68" s="20" t="s">
        <v>67</v>
      </c>
      <c r="C68" s="105">
        <v>51843000</v>
      </c>
      <c r="D68" s="26">
        <v>64973000</v>
      </c>
      <c r="E68" s="26">
        <v>69656000</v>
      </c>
      <c r="F68" s="26">
        <f>SUM(F59:F67)</f>
        <v>30118000</v>
      </c>
      <c r="G68" s="26">
        <f t="shared" ref="G68:H68" si="20">SUM(G59:G67)</f>
        <v>30118000</v>
      </c>
      <c r="H68" s="26">
        <f t="shared" si="20"/>
        <v>30118000</v>
      </c>
      <c r="J68" s="22"/>
      <c r="K68" s="22"/>
      <c r="L68" s="22"/>
      <c r="M68" s="22"/>
      <c r="N68" s="22"/>
      <c r="O68" s="22"/>
      <c r="P68" s="22"/>
      <c r="R68" s="30">
        <f t="shared" si="4"/>
        <v>0.20504882189947801</v>
      </c>
      <c r="S68" s="30">
        <f t="shared" si="5"/>
        <v>0.23656308371540161</v>
      </c>
      <c r="T68" s="30">
        <f t="shared" si="6"/>
        <v>0.14573572810420482</v>
      </c>
      <c r="U68" s="30">
        <f t="shared" si="7"/>
        <v>0.21452578107749737</v>
      </c>
      <c r="V68" s="30">
        <f t="shared" si="8"/>
        <v>0.23547610833819846</v>
      </c>
      <c r="X68" s="46">
        <f t="shared" si="0"/>
        <v>4683000</v>
      </c>
      <c r="Y68" s="30">
        <f t="shared" si="1"/>
        <v>7.2076093146383968E-2</v>
      </c>
      <c r="Z68" s="46">
        <f t="shared" si="2"/>
        <v>-39538000</v>
      </c>
      <c r="AA68" s="30">
        <f t="shared" si="3"/>
        <v>-0.56761800849890887</v>
      </c>
    </row>
    <row r="69" spans="2:27" x14ac:dyDescent="0.25">
      <c r="B69" s="20" t="s">
        <v>68</v>
      </c>
      <c r="C69" s="105">
        <v>300425000</v>
      </c>
      <c r="D69" s="26">
        <v>316866000</v>
      </c>
      <c r="E69" s="26">
        <v>294450000</v>
      </c>
      <c r="F69" s="26">
        <f>F58+F68</f>
        <v>196824240.51241779</v>
      </c>
      <c r="G69" s="26">
        <f t="shared" ref="G69:H69" si="21">G58+G68</f>
        <v>180044996.76632854</v>
      </c>
      <c r="H69" s="26">
        <f t="shared" si="21"/>
        <v>164851015.8776198</v>
      </c>
      <c r="J69" s="22"/>
      <c r="K69" s="22"/>
      <c r="L69" s="22"/>
      <c r="M69" s="22"/>
      <c r="N69" s="22"/>
      <c r="O69" s="22"/>
      <c r="P69" s="22"/>
      <c r="R69" s="30">
        <f t="shared" si="4"/>
        <v>1</v>
      </c>
      <c r="S69" s="30">
        <f t="shared" si="5"/>
        <v>1</v>
      </c>
      <c r="T69" s="30">
        <f t="shared" si="6"/>
        <v>0.95239803438589332</v>
      </c>
      <c r="U69" s="30">
        <f t="shared" si="7"/>
        <v>1.2824322186198327</v>
      </c>
      <c r="V69" s="30">
        <f t="shared" si="8"/>
        <v>1.2888795960708039</v>
      </c>
      <c r="X69" s="46">
        <f>IFERROR(E69-D69,)</f>
        <v>-22416000</v>
      </c>
      <c r="Y69" s="30">
        <f>IFERROR(E69/D69-1,)</f>
        <v>-7.074283766639522E-2</v>
      </c>
      <c r="Z69" s="46">
        <f>IFERROR(F69-E69,)</f>
        <v>-97625759.487582207</v>
      </c>
      <c r="AA69" s="30">
        <f>IFERROR(F69/E69-1,)</f>
        <v>-0.33155292744976128</v>
      </c>
    </row>
    <row r="71" spans="2:27" x14ac:dyDescent="0.25">
      <c r="D71">
        <f>D42/D55</f>
        <v>0.99890421120064732</v>
      </c>
      <c r="E71">
        <f>E42/E55</f>
        <v>0.7661539273370096</v>
      </c>
    </row>
  </sheetData>
  <mergeCells count="4">
    <mergeCell ref="F3:H3"/>
    <mergeCell ref="J3:P3"/>
    <mergeCell ref="R3:V3"/>
    <mergeCell ref="X3:AA3"/>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F9B42-7DBC-4BFD-A2E6-BABD7ED928A8}">
  <sheetPr>
    <tabColor rgb="FF00B0F0"/>
  </sheetPr>
  <dimension ref="B3:P74"/>
  <sheetViews>
    <sheetView showGridLines="0" zoomScale="83" zoomScaleNormal="84" workbookViewId="0">
      <pane xSplit="1" ySplit="5" topLeftCell="B6" activePane="bottomRight" state="frozen"/>
      <selection pane="topRight" activeCell="B1" sqref="B1"/>
      <selection pane="bottomLeft" activeCell="A6" sqref="A6"/>
      <selection pane="bottomRight" activeCell="H30" sqref="H30"/>
    </sheetView>
  </sheetViews>
  <sheetFormatPr baseColWidth="10" defaultRowHeight="15.75" x14ac:dyDescent="0.25"/>
  <cols>
    <col min="1" max="1" width="3.875" customWidth="1"/>
    <col min="2" max="2" width="20.125" bestFit="1" customWidth="1"/>
    <col min="3" max="5" width="12.75" bestFit="1" customWidth="1"/>
    <col min="6" max="6" width="8.75" bestFit="1" customWidth="1"/>
    <col min="7" max="7" width="10.5" customWidth="1"/>
    <col min="8" max="8" width="9.25" customWidth="1"/>
    <col min="9" max="9" width="3.875" customWidth="1"/>
    <col min="10" max="10" width="16.75" customWidth="1"/>
    <col min="11" max="15" width="12.75" bestFit="1" customWidth="1"/>
  </cols>
  <sheetData>
    <row r="3" spans="2:16" x14ac:dyDescent="0.25">
      <c r="B3" s="333" t="s">
        <v>377</v>
      </c>
      <c r="C3" s="328"/>
      <c r="D3" s="328"/>
      <c r="E3" s="328"/>
      <c r="F3" s="328"/>
      <c r="G3" s="328"/>
      <c r="H3" s="329"/>
      <c r="J3" s="333" t="s">
        <v>378</v>
      </c>
      <c r="K3" s="328"/>
      <c r="L3" s="328"/>
      <c r="M3" s="328"/>
      <c r="N3" s="328"/>
      <c r="O3" s="328"/>
      <c r="P3" s="329"/>
    </row>
    <row r="4" spans="2:16" x14ac:dyDescent="0.25">
      <c r="J4" s="96"/>
      <c r="K4" s="96"/>
      <c r="L4" s="96"/>
      <c r="M4" s="96"/>
      <c r="N4" s="5"/>
      <c r="O4" s="5"/>
      <c r="P4" s="5"/>
    </row>
    <row r="5" spans="2:16" ht="31.5" x14ac:dyDescent="0.25">
      <c r="B5" s="94" t="s">
        <v>139</v>
      </c>
      <c r="C5" s="79">
        <v>2022</v>
      </c>
      <c r="D5" s="79">
        <v>2023</v>
      </c>
      <c r="E5" s="94" t="s">
        <v>141</v>
      </c>
      <c r="F5" s="79">
        <v>2024</v>
      </c>
      <c r="G5" s="79">
        <v>2025</v>
      </c>
      <c r="H5" s="79">
        <v>2026</v>
      </c>
      <c r="J5" s="190" t="s">
        <v>228</v>
      </c>
      <c r="K5" s="79">
        <v>2022</v>
      </c>
      <c r="L5" s="79">
        <v>2023</v>
      </c>
      <c r="M5" s="79">
        <v>2024</v>
      </c>
      <c r="N5" s="79">
        <v>2025</v>
      </c>
      <c r="O5" s="79">
        <v>2026</v>
      </c>
      <c r="P5" s="22"/>
    </row>
    <row r="6" spans="2:16" ht="31.5" x14ac:dyDescent="0.25">
      <c r="B6" s="97"/>
      <c r="C6" s="31"/>
      <c r="D6" s="31"/>
      <c r="E6" s="31"/>
      <c r="F6" s="31"/>
      <c r="G6" s="31"/>
      <c r="H6" s="31"/>
      <c r="J6" s="191" t="s">
        <v>227</v>
      </c>
      <c r="K6" s="192">
        <f>Consolidado!C6</f>
        <v>537566000</v>
      </c>
      <c r="L6" s="192">
        <f>Consolidado!D6</f>
        <v>460555000</v>
      </c>
      <c r="M6" s="192">
        <f>Consolidado!E6</f>
        <v>389000000</v>
      </c>
      <c r="N6" s="192">
        <f>Consolidado!F6</f>
        <v>354390640.42663765</v>
      </c>
      <c r="O6" s="192">
        <f>Consolidado!G6</f>
        <v>322860478.20566165</v>
      </c>
      <c r="P6" s="22"/>
    </row>
    <row r="7" spans="2:16" x14ac:dyDescent="0.25">
      <c r="B7" s="183" t="s">
        <v>225</v>
      </c>
      <c r="C7" s="185">
        <f>Consolidado!C6</f>
        <v>537566000</v>
      </c>
      <c r="D7" s="185">
        <f>Consolidado!D6</f>
        <v>460555000</v>
      </c>
      <c r="E7" s="185">
        <f>Consolidado!E6</f>
        <v>389000000</v>
      </c>
      <c r="F7" s="184"/>
      <c r="G7" s="31"/>
      <c r="H7" s="31"/>
      <c r="J7" s="191" t="str">
        <f>Consolidado!A7</f>
        <v>Costo de ventas</v>
      </c>
      <c r="K7" s="192">
        <f>Consolidado!C7</f>
        <v>281353000</v>
      </c>
      <c r="L7" s="192">
        <f>Consolidado!D7</f>
        <v>230205000</v>
      </c>
      <c r="M7" s="192">
        <f>Consolidado!E7</f>
        <v>199017409.64094874</v>
      </c>
      <c r="N7" s="192">
        <f>Consolidado!F7</f>
        <v>181310815.57508048</v>
      </c>
      <c r="O7" s="192">
        <f>Consolidado!G7</f>
        <v>165179578.52937984</v>
      </c>
      <c r="P7" s="22"/>
    </row>
    <row r="8" spans="2:16" x14ac:dyDescent="0.25">
      <c r="B8" s="98" t="s">
        <v>140</v>
      </c>
      <c r="C8" s="93">
        <f>(Consolidado!C6-Consolidado!B6)/Consolidado!B6</f>
        <v>3.1715354453872149E-2</v>
      </c>
      <c r="D8" s="93">
        <f>(Consolidado!D6-Consolidado!C6)/Consolidado!C6</f>
        <v>-0.14325868823549109</v>
      </c>
      <c r="E8" s="93">
        <f>(Consolidado!E6-Consolidado!D6)/Consolidado!D6</f>
        <v>-0.15536689429058417</v>
      </c>
      <c r="F8" s="182">
        <f>AVERAGE(C8:E8)</f>
        <v>-8.8970076024067701E-2</v>
      </c>
      <c r="G8" s="48"/>
      <c r="H8" s="48"/>
      <c r="J8" s="207"/>
      <c r="K8" s="189"/>
      <c r="L8" s="189"/>
      <c r="M8" s="189"/>
      <c r="N8" s="189"/>
      <c r="O8" s="189"/>
      <c r="P8" s="208"/>
    </row>
    <row r="9" spans="2:16" ht="31.5" x14ac:dyDescent="0.25">
      <c r="B9" s="98"/>
      <c r="C9" s="93"/>
      <c r="D9" s="93"/>
      <c r="E9" s="93"/>
      <c r="F9" s="182"/>
      <c r="G9" s="48"/>
      <c r="H9" s="48"/>
      <c r="J9" s="94" t="s">
        <v>210</v>
      </c>
      <c r="K9" s="79">
        <v>2022</v>
      </c>
      <c r="L9" s="79">
        <v>2023</v>
      </c>
      <c r="M9" s="94" t="s">
        <v>141</v>
      </c>
      <c r="N9" s="79">
        <v>2024</v>
      </c>
      <c r="O9" s="79">
        <v>2025</v>
      </c>
      <c r="P9" s="79">
        <v>2026</v>
      </c>
    </row>
    <row r="10" spans="2:16" x14ac:dyDescent="0.25">
      <c r="B10" s="186" t="s">
        <v>226</v>
      </c>
      <c r="C10" s="48">
        <f>Consolidado!C8</f>
        <v>256213000</v>
      </c>
      <c r="D10" s="48">
        <f>Consolidado!D8</f>
        <v>230350000</v>
      </c>
      <c r="E10" s="31"/>
      <c r="F10" s="31"/>
      <c r="G10" s="31"/>
      <c r="H10" s="31"/>
      <c r="J10" s="187"/>
      <c r="K10" s="188"/>
      <c r="L10" s="188"/>
      <c r="M10" s="106"/>
      <c r="N10" s="22"/>
      <c r="O10" s="22"/>
      <c r="P10" s="22"/>
    </row>
    <row r="11" spans="2:16" x14ac:dyDescent="0.25">
      <c r="B11" s="97" t="s">
        <v>142</v>
      </c>
      <c r="C11" s="160">
        <f>C10/C7</f>
        <v>0.47661682472477795</v>
      </c>
      <c r="D11" s="160">
        <f>D10/D7</f>
        <v>0.50015741876648823</v>
      </c>
      <c r="E11" s="93">
        <f>AVERAGE(C11:D11)</f>
        <v>0.48838712174563309</v>
      </c>
      <c r="F11" s="31"/>
      <c r="G11" s="31"/>
      <c r="H11" s="31"/>
      <c r="J11" s="107" t="s">
        <v>155</v>
      </c>
      <c r="K11" s="25">
        <f>Consolidado!C33</f>
        <v>91393000</v>
      </c>
      <c r="L11" s="25">
        <f>Consolidado!D33</f>
        <v>83645000</v>
      </c>
      <c r="M11" s="97"/>
      <c r="N11" s="22"/>
      <c r="O11" s="22"/>
      <c r="P11" s="22"/>
    </row>
    <row r="12" spans="2:16" x14ac:dyDescent="0.25">
      <c r="B12" s="97" t="s">
        <v>143</v>
      </c>
      <c r="C12" s="93">
        <f>Consolidado!C9/Consolidado!C6</f>
        <v>2.3189710658784224E-2</v>
      </c>
      <c r="D12" s="93">
        <f>Consolidado!D9/Consolidado!D6</f>
        <v>2.3178556307064304E-2</v>
      </c>
      <c r="E12" s="93">
        <f>AVERAGE(C12:D12)</f>
        <v>2.3184133482924266E-2</v>
      </c>
      <c r="F12" s="31"/>
      <c r="G12" s="31"/>
      <c r="H12" s="31"/>
      <c r="J12" s="107" t="s">
        <v>156</v>
      </c>
      <c r="K12" s="106">
        <f>K11/(K6/365)</f>
        <v>62.054603527752874</v>
      </c>
      <c r="L12" s="106">
        <f>L11/(L6/365)</f>
        <v>66.290508191204083</v>
      </c>
      <c r="M12" s="193">
        <f>AVERAGE(K12:L12)</f>
        <v>64.172555859478479</v>
      </c>
      <c r="N12" s="22"/>
      <c r="O12" s="22"/>
      <c r="P12" s="22"/>
    </row>
    <row r="13" spans="2:16" x14ac:dyDescent="0.25">
      <c r="B13" s="186" t="s">
        <v>144</v>
      </c>
      <c r="C13" s="93">
        <f>Consolidado!C10/Consolidado!C6</f>
        <v>0.36990248639236856</v>
      </c>
      <c r="D13" s="93">
        <f>Consolidado!D10/Consolidado!D6</f>
        <v>0.39587237137801129</v>
      </c>
      <c r="E13" s="93">
        <f>AVERAGE(C13:D13)</f>
        <v>0.3828874288851899</v>
      </c>
      <c r="F13" s="31"/>
      <c r="G13" s="31"/>
      <c r="H13" s="31"/>
      <c r="J13" s="97"/>
      <c r="K13" s="97"/>
      <c r="L13" s="97"/>
      <c r="M13" s="106"/>
      <c r="N13" s="22"/>
      <c r="O13" s="22"/>
      <c r="P13" s="22"/>
    </row>
    <row r="14" spans="2:16" x14ac:dyDescent="0.25">
      <c r="B14" s="97" t="s">
        <v>145</v>
      </c>
      <c r="C14" s="93">
        <f>Consolidado!C11/Consolidado!C6</f>
        <v>5.2966519459936079E-2</v>
      </c>
      <c r="D14" s="93">
        <f>Consolidado!D11/Consolidado!D6</f>
        <v>6.255713215576858E-2</v>
      </c>
      <c r="E14" s="93">
        <f>AVERAGE(C14:D14)</f>
        <v>5.7761825807852329E-2</v>
      </c>
      <c r="F14" s="31"/>
      <c r="G14" s="31"/>
      <c r="H14" s="31"/>
      <c r="J14" s="97" t="s">
        <v>157</v>
      </c>
      <c r="K14" s="108">
        <f>Consolidado!C34</f>
        <v>108507000</v>
      </c>
      <c r="L14" s="108">
        <f>Consolidado!D34</f>
        <v>96467000</v>
      </c>
      <c r="M14" s="97"/>
      <c r="N14" s="22"/>
      <c r="O14" s="22"/>
      <c r="P14" s="22"/>
    </row>
    <row r="15" spans="2:16" x14ac:dyDescent="0.25">
      <c r="B15" s="97" t="s">
        <v>146</v>
      </c>
      <c r="C15" s="93">
        <f>Consolidado!C12/Consolidado!C6</f>
        <v>1.2811450128914404E-2</v>
      </c>
      <c r="D15" s="93">
        <f>Consolidado!D12/Consolidado!D6</f>
        <v>5.5476544603793249E-3</v>
      </c>
      <c r="E15" s="93">
        <f>AVERAGE(C15:D15)</f>
        <v>9.1795522946468647E-3</v>
      </c>
      <c r="F15" s="31"/>
      <c r="G15" s="31"/>
      <c r="H15" s="31"/>
      <c r="J15" s="97" t="s">
        <v>158</v>
      </c>
      <c r="K15" s="106">
        <f>K14/(K7/365)</f>
        <v>140.76642154162209</v>
      </c>
      <c r="L15" s="106">
        <f>L14/(L7/365)</f>
        <v>152.95260745856953</v>
      </c>
      <c r="M15" s="193">
        <f>AVERAGE(K15:L15)</f>
        <v>146.85951450009583</v>
      </c>
      <c r="N15" s="22"/>
      <c r="O15" s="22"/>
      <c r="P15" s="22"/>
    </row>
    <row r="16" spans="2:16" x14ac:dyDescent="0.25">
      <c r="B16" s="97"/>
      <c r="C16" s="31"/>
      <c r="D16" s="31"/>
      <c r="E16" s="31"/>
      <c r="F16" s="31"/>
      <c r="G16" s="31"/>
      <c r="H16" s="31"/>
      <c r="J16" s="97"/>
      <c r="K16" s="193"/>
      <c r="L16" s="193"/>
      <c r="M16" s="106"/>
      <c r="N16" s="22"/>
      <c r="O16" s="22"/>
      <c r="P16" s="22"/>
    </row>
    <row r="17" spans="2:16" x14ac:dyDescent="0.25">
      <c r="B17" s="97"/>
      <c r="C17" s="31"/>
      <c r="D17" s="31"/>
      <c r="E17" s="31"/>
      <c r="F17" s="31"/>
      <c r="G17" s="31"/>
      <c r="H17" s="31"/>
      <c r="J17" s="107" t="s">
        <v>160</v>
      </c>
      <c r="K17" s="108">
        <f>Consolidado!C64</f>
        <v>90631000</v>
      </c>
      <c r="L17" s="108">
        <f>Consolidado!D64</f>
        <v>56516000</v>
      </c>
      <c r="M17" s="97"/>
      <c r="N17" s="22"/>
      <c r="O17" s="22"/>
      <c r="P17" s="22"/>
    </row>
    <row r="18" spans="2:16" x14ac:dyDescent="0.25">
      <c r="B18" s="4" t="s">
        <v>105</v>
      </c>
      <c r="C18" s="93">
        <f>Consolidado!C24/Consolidado!C27</f>
        <v>0.37702795338563483</v>
      </c>
      <c r="D18" s="93">
        <f>Consolidado!D24/Consolidado!D27</f>
        <v>9.9722400170830658E-2</v>
      </c>
      <c r="E18" s="93">
        <f>Consolidado!E24/Consolidado!E27</f>
        <v>0.2228511313827517</v>
      </c>
      <c r="F18" s="31"/>
      <c r="G18" s="31"/>
      <c r="H18" s="31"/>
      <c r="J18" s="107" t="s">
        <v>161</v>
      </c>
      <c r="K18" s="106">
        <f>K17/(K7/365)</f>
        <v>117.57583889277882</v>
      </c>
      <c r="L18" s="106">
        <f>L17/(L7/365)</f>
        <v>89.608566277882758</v>
      </c>
      <c r="M18" s="193">
        <f>AVERAGE(K18:L18)</f>
        <v>103.5922025853308</v>
      </c>
      <c r="N18" s="22"/>
      <c r="O18" s="22"/>
      <c r="P18" s="22"/>
    </row>
    <row r="19" spans="2:16" x14ac:dyDescent="0.25">
      <c r="B19" s="97"/>
      <c r="C19" s="31"/>
      <c r="D19" s="31"/>
      <c r="E19" s="31"/>
      <c r="F19" s="31"/>
      <c r="G19" s="31"/>
      <c r="H19" s="31"/>
      <c r="J19" s="97"/>
      <c r="K19" s="97"/>
      <c r="L19" s="97"/>
      <c r="M19" s="114"/>
      <c r="N19" s="22"/>
      <c r="O19" s="22"/>
      <c r="P19" s="22"/>
    </row>
    <row r="20" spans="2:16" ht="31.5" x14ac:dyDescent="0.25">
      <c r="B20" s="97" t="s">
        <v>147</v>
      </c>
      <c r="C20" s="93">
        <f>(Consolidado!C17-Consolidado!B17)/Consolidado!C17</f>
        <v>-5.6319580877537655E-2</v>
      </c>
      <c r="D20" s="93">
        <f>(Consolidado!D17-Consolidado!C17)/Consolidado!D17</f>
        <v>0.61233815689261228</v>
      </c>
      <c r="E20" s="93">
        <f>AVERAGE(C20:D20)</f>
        <v>0.27800928800753733</v>
      </c>
      <c r="F20" s="31"/>
      <c r="G20" s="31"/>
      <c r="H20" s="31"/>
      <c r="J20" s="110" t="s">
        <v>162</v>
      </c>
      <c r="K20" s="111">
        <f>Consolidado!C45</f>
        <v>31456000</v>
      </c>
      <c r="L20" s="111">
        <f>Consolidado!D45</f>
        <v>26352000</v>
      </c>
      <c r="M20" s="97"/>
      <c r="N20" s="22"/>
      <c r="O20" s="22"/>
      <c r="P20" s="22"/>
    </row>
    <row r="21" spans="2:16" x14ac:dyDescent="0.25">
      <c r="B21" s="97" t="s">
        <v>148</v>
      </c>
      <c r="C21" s="48"/>
      <c r="D21" s="48"/>
      <c r="E21" s="31"/>
      <c r="F21" s="31"/>
      <c r="G21" s="31"/>
      <c r="H21" s="31"/>
      <c r="J21" s="97" t="s">
        <v>163</v>
      </c>
      <c r="K21" s="113">
        <f>K20/K6</f>
        <v>5.8515605525647087E-2</v>
      </c>
      <c r="L21" s="113">
        <f>L20/L6</f>
        <v>5.7217921855153023E-2</v>
      </c>
      <c r="M21" s="194">
        <f>AVERAGE(K21:L21)</f>
        <v>5.7866763690400058E-2</v>
      </c>
      <c r="N21" s="22"/>
      <c r="O21" s="22"/>
      <c r="P21" s="25"/>
    </row>
    <row r="22" spans="2:16" x14ac:dyDescent="0.25">
      <c r="B22" s="97" t="s">
        <v>149</v>
      </c>
      <c r="C22" s="48"/>
      <c r="D22" s="48"/>
      <c r="E22" s="31"/>
      <c r="F22" s="160"/>
      <c r="G22" s="160"/>
      <c r="H22" s="160"/>
      <c r="J22" s="97"/>
      <c r="K22" s="97"/>
      <c r="L22" s="97"/>
      <c r="M22" s="114"/>
      <c r="N22" s="22"/>
      <c r="O22" s="22"/>
      <c r="P22" s="22"/>
    </row>
    <row r="23" spans="2:16" ht="31.5" x14ac:dyDescent="0.25">
      <c r="B23" s="97" t="s">
        <v>150</v>
      </c>
      <c r="C23" s="93"/>
      <c r="D23" s="93"/>
      <c r="E23" s="93"/>
      <c r="F23" s="31"/>
      <c r="G23" s="31"/>
      <c r="H23" s="31"/>
      <c r="J23" s="110" t="s">
        <v>164</v>
      </c>
      <c r="K23" s="115">
        <f>Consolidado!C37</f>
        <v>2567000</v>
      </c>
      <c r="L23" s="115">
        <f>Consolidado!D37</f>
        <v>2232000</v>
      </c>
      <c r="M23" s="97"/>
      <c r="N23" s="22"/>
      <c r="O23" s="22"/>
      <c r="P23" s="22"/>
    </row>
    <row r="24" spans="2:16" ht="47.25" x14ac:dyDescent="0.25">
      <c r="B24" s="110" t="s">
        <v>224</v>
      </c>
      <c r="C24" s="31"/>
      <c r="D24" s="31"/>
      <c r="E24" s="31"/>
      <c r="F24" s="160">
        <v>0.12</v>
      </c>
      <c r="G24" s="160">
        <v>0.1</v>
      </c>
      <c r="H24" s="160">
        <v>0.08</v>
      </c>
      <c r="J24" s="97" t="s">
        <v>163</v>
      </c>
      <c r="K24" s="112">
        <f>K23/K6</f>
        <v>4.7752275999598187E-3</v>
      </c>
      <c r="L24" s="112">
        <f>L23/L6</f>
        <v>4.8463267145074963E-3</v>
      </c>
      <c r="M24" s="195">
        <f>AVERAGE(K24:L24)</f>
        <v>4.8107771572336571E-3</v>
      </c>
      <c r="N24" s="25"/>
      <c r="O24" s="25"/>
      <c r="P24" s="22"/>
    </row>
    <row r="25" spans="2:16" x14ac:dyDescent="0.25">
      <c r="B25" s="97" t="s">
        <v>152</v>
      </c>
      <c r="C25" s="48">
        <f>(Consolidado!C23)</f>
        <v>18079000</v>
      </c>
      <c r="D25" s="48">
        <f>(Consolidado!D23)</f>
        <v>5150000</v>
      </c>
      <c r="E25" s="31"/>
      <c r="F25" s="31"/>
      <c r="G25" s="31"/>
      <c r="H25" s="31"/>
      <c r="J25" s="97"/>
      <c r="K25" s="97"/>
      <c r="L25" s="97"/>
      <c r="M25" s="114"/>
      <c r="N25" s="22"/>
      <c r="O25" s="22"/>
      <c r="P25" s="22"/>
    </row>
    <row r="26" spans="2:16" ht="31.5" x14ac:dyDescent="0.25">
      <c r="B26" s="97" t="s">
        <v>153</v>
      </c>
      <c r="C26" s="48">
        <f>Consolidado!C24</f>
        <v>4950000</v>
      </c>
      <c r="D26" s="48">
        <f>Consolidado!D24</f>
        <v>467000</v>
      </c>
      <c r="E26" s="31"/>
      <c r="F26" s="31"/>
      <c r="G26" s="31"/>
      <c r="H26" s="31"/>
      <c r="J26" s="110" t="s">
        <v>165</v>
      </c>
      <c r="K26" s="108">
        <f>Consolidado!C54</f>
        <v>16372000</v>
      </c>
      <c r="L26" s="108">
        <f>Consolidado!D54</f>
        <v>24987000</v>
      </c>
      <c r="M26" s="196"/>
      <c r="N26" s="22"/>
      <c r="O26" s="22"/>
      <c r="P26" s="22"/>
    </row>
    <row r="27" spans="2:16" x14ac:dyDescent="0.25">
      <c r="B27" s="97" t="s">
        <v>154</v>
      </c>
      <c r="C27" s="93">
        <f>C26/C25</f>
        <v>0.27379832955362576</v>
      </c>
      <c r="D27" s="93">
        <f>D26/D25</f>
        <v>9.0679611650485437E-2</v>
      </c>
      <c r="E27" s="93">
        <f>AVERAGE(C27:D27)</f>
        <v>0.1822389706020556</v>
      </c>
      <c r="F27" s="31"/>
      <c r="G27" s="31"/>
      <c r="H27" s="31"/>
      <c r="J27" s="97" t="s">
        <v>163</v>
      </c>
      <c r="K27" s="112">
        <f>K26/K6</f>
        <v>3.045579519538066E-2</v>
      </c>
      <c r="L27" s="112">
        <f>L26/L6</f>
        <v>5.4254106458512009E-2</v>
      </c>
      <c r="M27" s="195">
        <f>AVERAGE(K27:L27)</f>
        <v>4.2354950826946333E-2</v>
      </c>
      <c r="N27" s="22"/>
      <c r="O27" s="22"/>
      <c r="P27" s="22"/>
    </row>
    <row r="28" spans="2:16" x14ac:dyDescent="0.25">
      <c r="B28" s="97"/>
      <c r="C28" s="31"/>
      <c r="D28" s="31"/>
      <c r="E28" s="31"/>
      <c r="F28" s="31"/>
      <c r="G28" s="31"/>
      <c r="H28" s="31"/>
      <c r="J28" s="97"/>
      <c r="K28" s="97"/>
      <c r="L28" s="97"/>
      <c r="M28" s="114"/>
      <c r="N28" s="22"/>
      <c r="O28" s="22"/>
      <c r="P28" s="22"/>
    </row>
    <row r="29" spans="2:16" ht="31.5" x14ac:dyDescent="0.25">
      <c r="B29" s="97" t="s">
        <v>151</v>
      </c>
      <c r="C29" s="93"/>
      <c r="D29" s="93"/>
      <c r="E29" s="31"/>
      <c r="F29" s="93"/>
      <c r="G29" s="93"/>
      <c r="H29" s="93"/>
      <c r="J29" s="110" t="s">
        <v>166</v>
      </c>
      <c r="K29" s="108">
        <f>Consolidado!C67</f>
        <v>4000</v>
      </c>
      <c r="L29" s="108">
        <f>Consolidado!D67</f>
        <v>0</v>
      </c>
      <c r="M29" s="97"/>
      <c r="N29" s="22"/>
      <c r="O29" s="22"/>
      <c r="P29" s="22"/>
    </row>
    <row r="30" spans="2:16" x14ac:dyDescent="0.25">
      <c r="B30" s="186" t="s">
        <v>383</v>
      </c>
      <c r="C30" s="31"/>
      <c r="D30" s="93">
        <f>(Consolidado!D82-Consolidado!C82-Consolidado!D27)/Consolidado!D27</f>
        <v>-6.7866752081998722</v>
      </c>
      <c r="E30" s="93">
        <f>(Consolidado!E82-Consolidado!D82-Consolidado!E27)/Consolidado!E27</f>
        <v>-2.9490647920034156</v>
      </c>
      <c r="F30" s="93"/>
      <c r="G30" s="93"/>
      <c r="H30" s="93"/>
      <c r="J30" s="97" t="s">
        <v>163</v>
      </c>
      <c r="K30" s="98">
        <f>K29/K6</f>
        <v>7.4409467860690597E-6</v>
      </c>
      <c r="L30" s="98">
        <f>L29/L6</f>
        <v>0</v>
      </c>
      <c r="M30" s="195">
        <f>AVERAGE(K30:L30)</f>
        <v>3.7204733930345299E-6</v>
      </c>
      <c r="N30" s="22"/>
      <c r="O30" s="22"/>
      <c r="P30" s="22"/>
    </row>
    <row r="31" spans="2:16" x14ac:dyDescent="0.25">
      <c r="J31" s="97"/>
      <c r="K31" s="97"/>
      <c r="L31" s="97"/>
      <c r="M31" s="114"/>
      <c r="N31" s="22"/>
      <c r="O31" s="22"/>
      <c r="P31" s="22"/>
    </row>
    <row r="32" spans="2:16" ht="31.5" x14ac:dyDescent="0.25">
      <c r="J32" s="110" t="s">
        <v>167</v>
      </c>
      <c r="K32" s="115">
        <f>Consolidado!C80</f>
        <v>9028000</v>
      </c>
      <c r="L32" s="115">
        <f>Consolidado!D80</f>
        <v>5308000</v>
      </c>
      <c r="M32" s="97"/>
      <c r="N32" s="22"/>
      <c r="O32" s="22"/>
      <c r="P32" s="22"/>
    </row>
    <row r="33" spans="10:16" x14ac:dyDescent="0.25">
      <c r="J33" s="97" t="s">
        <v>163</v>
      </c>
      <c r="K33" s="112">
        <f>K32/K6</f>
        <v>1.6794216896157867E-2</v>
      </c>
      <c r="L33" s="112">
        <f>L32/L6</f>
        <v>1.1525225000271411E-2</v>
      </c>
      <c r="M33" s="195">
        <f>AVERAGE(K33:L33)</f>
        <v>1.4159720948214639E-2</v>
      </c>
      <c r="N33" s="22"/>
      <c r="O33" s="22"/>
      <c r="P33" s="22"/>
    </row>
    <row r="34" spans="10:16" x14ac:dyDescent="0.25">
      <c r="J34" s="97"/>
      <c r="K34" s="97"/>
      <c r="L34" s="97"/>
      <c r="M34" s="97"/>
      <c r="N34" s="22"/>
      <c r="O34" s="22"/>
      <c r="P34" s="22"/>
    </row>
    <row r="35" spans="10:16" x14ac:dyDescent="0.25">
      <c r="J35" s="97"/>
      <c r="K35" s="97"/>
      <c r="L35" s="97"/>
      <c r="M35" s="114"/>
      <c r="N35" s="22"/>
      <c r="O35" s="22"/>
      <c r="P35" s="22"/>
    </row>
    <row r="36" spans="10:16" x14ac:dyDescent="0.25">
      <c r="J36" s="97"/>
      <c r="K36" s="97"/>
      <c r="L36" s="97"/>
      <c r="M36" s="114"/>
      <c r="N36" s="22"/>
      <c r="O36" s="22"/>
      <c r="P36" s="22"/>
    </row>
    <row r="37" spans="10:16" x14ac:dyDescent="0.25">
      <c r="J37" s="97" t="str">
        <f>Consolidado!A35</f>
        <v>Activos por impuestos corrientes, corriente</v>
      </c>
      <c r="K37" s="197">
        <f>Consolidado!C35</f>
        <v>4421000</v>
      </c>
      <c r="L37" s="197">
        <f>Consolidado!D35</f>
        <v>5180000</v>
      </c>
      <c r="M37" s="114"/>
      <c r="N37" s="22"/>
      <c r="O37" s="22"/>
      <c r="P37" s="22"/>
    </row>
    <row r="38" spans="10:16" x14ac:dyDescent="0.25">
      <c r="J38" s="97" t="s">
        <v>163</v>
      </c>
      <c r="K38" s="98">
        <f>K37/K6</f>
        <v>8.2241064353028286E-3</v>
      </c>
      <c r="L38" s="98">
        <f>L37/L6</f>
        <v>1.1247299453919727E-2</v>
      </c>
      <c r="M38" s="195">
        <f>AVERAGE(K38:L38)</f>
        <v>9.7357029446112769E-3</v>
      </c>
      <c r="N38" s="22"/>
      <c r="O38" s="22"/>
      <c r="P38" s="22"/>
    </row>
    <row r="39" spans="10:16" x14ac:dyDescent="0.25">
      <c r="J39" s="97"/>
      <c r="K39" s="98"/>
      <c r="L39" s="98"/>
      <c r="M39" s="114"/>
      <c r="N39" s="22"/>
      <c r="O39" s="22"/>
      <c r="P39" s="22"/>
    </row>
    <row r="40" spans="10:16" x14ac:dyDescent="0.25">
      <c r="J40" s="97" t="str">
        <f>Consolidado!A47</f>
        <v>Activos intangibles distintos de la plusvalía</v>
      </c>
      <c r="K40" s="197">
        <f>Consolidado!C47</f>
        <v>10954000</v>
      </c>
      <c r="L40" s="197">
        <f>Consolidado!D47</f>
        <v>11587000</v>
      </c>
      <c r="M40" s="97"/>
      <c r="N40" s="22"/>
      <c r="O40" s="22"/>
      <c r="P40" s="22"/>
    </row>
    <row r="41" spans="10:16" x14ac:dyDescent="0.25">
      <c r="J41" s="97" t="s">
        <v>163</v>
      </c>
      <c r="K41" s="98">
        <f>K40/K6</f>
        <v>2.0377032773650119E-2</v>
      </c>
      <c r="L41" s="98">
        <f>L40/L6</f>
        <v>2.5158775824820054E-2</v>
      </c>
      <c r="M41" s="195">
        <f>AVERAGE(K41:L41)</f>
        <v>2.2767904299235087E-2</v>
      </c>
      <c r="N41" s="97"/>
      <c r="O41" s="98"/>
      <c r="P41" s="98"/>
    </row>
    <row r="42" spans="10:16" x14ac:dyDescent="0.25">
      <c r="J42" s="97"/>
      <c r="K42" s="98"/>
      <c r="L42" s="98"/>
      <c r="M42" s="114"/>
      <c r="N42" s="22"/>
      <c r="O42" s="22"/>
      <c r="P42" s="22"/>
    </row>
    <row r="43" spans="10:16" x14ac:dyDescent="0.25">
      <c r="J43" s="97" t="str">
        <f>Consolidado!A51</f>
        <v>Activos por impuestos diferidos</v>
      </c>
      <c r="K43" s="197">
        <f>Consolidado!C51</f>
        <v>6134000</v>
      </c>
      <c r="L43" s="197">
        <f>Consolidado!D51</f>
        <v>5856000</v>
      </c>
      <c r="M43" s="114"/>
      <c r="N43" s="22"/>
      <c r="O43" s="22"/>
      <c r="P43" s="22"/>
    </row>
    <row r="44" spans="10:16" x14ac:dyDescent="0.25">
      <c r="J44" s="97" t="s">
        <v>163</v>
      </c>
      <c r="K44" s="98">
        <f>K43/K6</f>
        <v>1.1410691896436903E-2</v>
      </c>
      <c r="L44" s="98">
        <f>L43/L6</f>
        <v>1.2715093745589561E-2</v>
      </c>
      <c r="M44" s="195">
        <f>AVERAGE(K44:L44)</f>
        <v>1.2062892821013232E-2</v>
      </c>
      <c r="N44" s="109"/>
      <c r="O44" s="109"/>
      <c r="P44" s="22"/>
    </row>
    <row r="45" spans="10:16" x14ac:dyDescent="0.25">
      <c r="J45" s="97"/>
      <c r="K45" s="97"/>
      <c r="L45" s="97"/>
      <c r="M45" s="114"/>
      <c r="N45" s="22"/>
      <c r="O45" s="22"/>
      <c r="P45" s="155"/>
    </row>
    <row r="46" spans="10:16" x14ac:dyDescent="0.25">
      <c r="J46" s="97" t="str">
        <f>Consolidado!A61</f>
        <v>Provisiones corrientes por beneficios a los empleados</v>
      </c>
      <c r="K46" s="197">
        <f>Consolidado!C61</f>
        <v>10496000</v>
      </c>
      <c r="L46" s="197">
        <f>Consolidado!D61</f>
        <v>8519000</v>
      </c>
      <c r="M46" s="114"/>
      <c r="N46" s="22"/>
      <c r="O46" s="22"/>
      <c r="P46" s="22"/>
    </row>
    <row r="47" spans="10:16" x14ac:dyDescent="0.25">
      <c r="J47" s="97" t="s">
        <v>163</v>
      </c>
      <c r="K47" s="98">
        <f>K46/K6</f>
        <v>1.9525044366645213E-2</v>
      </c>
      <c r="L47" s="98">
        <f>L46/L6</f>
        <v>1.849724788570312E-2</v>
      </c>
      <c r="M47" s="195">
        <f>AVERAGE(K47:L47)</f>
        <v>1.9011146126174168E-2</v>
      </c>
      <c r="N47" s="22"/>
      <c r="O47" s="22"/>
      <c r="P47" s="22"/>
    </row>
    <row r="48" spans="10:16" x14ac:dyDescent="0.25">
      <c r="J48" s="97"/>
      <c r="K48" s="98"/>
      <c r="L48" s="98"/>
      <c r="M48" s="114"/>
      <c r="N48" s="22"/>
      <c r="O48" s="155"/>
      <c r="P48" s="22"/>
    </row>
    <row r="49" spans="10:16" x14ac:dyDescent="0.25">
      <c r="J49" s="22" t="str">
        <f>Consolidado!A65</f>
        <v>Pasivos por impuestos corrientes, corriente</v>
      </c>
      <c r="K49" s="25">
        <f>Consolidado!C65</f>
        <v>11560000</v>
      </c>
      <c r="L49" s="25">
        <f>Consolidado!D65</f>
        <v>11944000</v>
      </c>
      <c r="M49" s="22"/>
      <c r="N49" s="22"/>
      <c r="O49" s="22"/>
      <c r="P49" s="22"/>
    </row>
    <row r="50" spans="10:16" x14ac:dyDescent="0.25">
      <c r="J50" s="97" t="s">
        <v>163</v>
      </c>
      <c r="K50" s="116">
        <f>K49/K6</f>
        <v>2.1504336211739583E-2</v>
      </c>
      <c r="L50" s="116">
        <f>L49/L6</f>
        <v>2.5933927543941551E-2</v>
      </c>
      <c r="M50" s="195">
        <f>AVERAGE(K50:L50)</f>
        <v>2.3719131877840569E-2</v>
      </c>
      <c r="N50" s="22"/>
      <c r="O50" s="22"/>
      <c r="P50" s="22"/>
    </row>
    <row r="51" spans="10:16" x14ac:dyDescent="0.25">
      <c r="J51" s="22"/>
      <c r="K51" s="116"/>
      <c r="L51" s="116"/>
      <c r="M51" s="22"/>
      <c r="N51" s="22"/>
      <c r="O51" s="22"/>
      <c r="P51" s="22"/>
    </row>
    <row r="52" spans="10:16" x14ac:dyDescent="0.25">
      <c r="J52" s="22" t="str">
        <f>Consolidado!A77</f>
        <v>Pasivo por impuestos diferidos</v>
      </c>
      <c r="K52" s="25">
        <f>Consolidado!C77</f>
        <v>11603000</v>
      </c>
      <c r="L52" s="25">
        <f>Consolidado!D77</f>
        <v>8629000</v>
      </c>
      <c r="M52" s="22"/>
      <c r="N52" s="155"/>
      <c r="O52" s="22"/>
      <c r="P52" s="22"/>
    </row>
    <row r="53" spans="10:16" x14ac:dyDescent="0.25">
      <c r="J53" s="97" t="s">
        <v>163</v>
      </c>
      <c r="K53" s="116">
        <f>K52/K6</f>
        <v>2.1584326389689823E-2</v>
      </c>
      <c r="L53" s="116">
        <f>L52/L6</f>
        <v>1.8736090152099098E-2</v>
      </c>
      <c r="M53" s="195">
        <f>AVERAGE(K53:L53)</f>
        <v>2.0160208270894459E-2</v>
      </c>
      <c r="N53" s="22"/>
      <c r="O53" s="22"/>
      <c r="P53" s="22"/>
    </row>
    <row r="54" spans="10:16" x14ac:dyDescent="0.25">
      <c r="J54" s="22"/>
      <c r="K54" s="22"/>
      <c r="L54" s="22"/>
      <c r="M54" s="95"/>
      <c r="N54" s="22"/>
      <c r="O54" s="22"/>
      <c r="P54" s="22"/>
    </row>
    <row r="55" spans="10:16" x14ac:dyDescent="0.25">
      <c r="J55" s="22"/>
      <c r="K55" s="22"/>
      <c r="L55" s="22"/>
      <c r="M55" s="114"/>
      <c r="N55" s="22"/>
      <c r="O55" s="22"/>
      <c r="P55" s="22"/>
    </row>
    <row r="56" spans="10:16" x14ac:dyDescent="0.25">
      <c r="J56" s="124" t="s">
        <v>188</v>
      </c>
      <c r="K56" s="109">
        <v>6140000</v>
      </c>
      <c r="L56" s="109">
        <v>6253000</v>
      </c>
      <c r="M56" s="114"/>
      <c r="N56" s="199">
        <f>$M$57*Consolidado!E45</f>
        <v>4867608.1528763687</v>
      </c>
      <c r="O56" s="199">
        <f>$M$57*Consolidado!F45</f>
        <v>4434536.6854595868</v>
      </c>
      <c r="P56" s="199">
        <f>$M$57*Consolidado!G45</f>
        <v>4039995.6194227305</v>
      </c>
    </row>
    <row r="57" spans="10:16" x14ac:dyDescent="0.25">
      <c r="J57" s="122" t="s">
        <v>189</v>
      </c>
      <c r="K57" s="116">
        <f>K56/Consolidado!C45</f>
        <v>0.19519328585961343</v>
      </c>
      <c r="L57" s="116">
        <f>L56/Consolidado!D45</f>
        <v>0.23728749241044322</v>
      </c>
      <c r="M57" s="195">
        <f>AVERAGE(K57:L57)</f>
        <v>0.21624038913502833</v>
      </c>
      <c r="N57" s="22"/>
      <c r="O57" s="22"/>
      <c r="P57" s="22"/>
    </row>
    <row r="58" spans="10:16" x14ac:dyDescent="0.25">
      <c r="J58" s="22"/>
      <c r="K58" s="116"/>
      <c r="L58" s="116"/>
      <c r="M58" s="22"/>
      <c r="N58" s="22"/>
      <c r="O58" s="22"/>
      <c r="P58" s="22"/>
    </row>
    <row r="59" spans="10:16" x14ac:dyDescent="0.25">
      <c r="J59" s="22"/>
      <c r="K59" s="22"/>
      <c r="L59" s="22"/>
      <c r="M59" s="22"/>
      <c r="N59" s="22"/>
      <c r="O59" s="22"/>
      <c r="P59" s="22"/>
    </row>
    <row r="60" spans="10:16" ht="31.5" x14ac:dyDescent="0.25">
      <c r="J60" s="23" t="s">
        <v>212</v>
      </c>
      <c r="K60" s="155"/>
      <c r="L60" s="155"/>
      <c r="M60" s="22"/>
      <c r="N60" s="198">
        <v>0.15</v>
      </c>
      <c r="O60" s="198">
        <v>0.1</v>
      </c>
      <c r="P60" s="198">
        <v>0.1</v>
      </c>
    </row>
    <row r="61" spans="10:16" x14ac:dyDescent="0.25">
      <c r="J61" s="22"/>
      <c r="K61" s="22"/>
      <c r="L61" s="22"/>
      <c r="M61" s="22"/>
      <c r="N61" s="22"/>
      <c r="O61" s="22"/>
      <c r="P61" s="22"/>
    </row>
    <row r="62" spans="10:16" x14ac:dyDescent="0.25">
      <c r="J62" s="22"/>
      <c r="K62" s="22"/>
      <c r="L62" s="22"/>
      <c r="M62" s="22"/>
      <c r="N62" s="22"/>
      <c r="O62" s="22"/>
      <c r="P62" s="22"/>
    </row>
    <row r="63" spans="10:16" x14ac:dyDescent="0.25">
      <c r="J63" s="22"/>
      <c r="K63" s="22"/>
      <c r="L63" s="22"/>
      <c r="M63" s="22"/>
      <c r="N63" s="22"/>
      <c r="O63" s="22"/>
      <c r="P63" s="22"/>
    </row>
    <row r="64" spans="10:16" x14ac:dyDescent="0.25">
      <c r="J64" s="22"/>
      <c r="K64" s="22"/>
      <c r="L64" s="22"/>
      <c r="M64" s="22"/>
      <c r="N64" s="22"/>
      <c r="O64" s="22"/>
      <c r="P64" s="22"/>
    </row>
    <row r="65" spans="10:16" x14ac:dyDescent="0.25">
      <c r="J65" s="22"/>
      <c r="K65" s="22"/>
      <c r="L65" s="22"/>
      <c r="M65" s="22"/>
      <c r="N65" s="22"/>
      <c r="O65" s="22"/>
      <c r="P65" s="22"/>
    </row>
    <row r="66" spans="10:16" x14ac:dyDescent="0.25">
      <c r="J66" s="22"/>
      <c r="K66" s="22"/>
      <c r="L66" s="22"/>
      <c r="M66" s="22"/>
      <c r="N66" s="22"/>
      <c r="O66" s="22"/>
      <c r="P66" s="22"/>
    </row>
    <row r="67" spans="10:16" x14ac:dyDescent="0.25">
      <c r="J67" s="22"/>
      <c r="K67" s="22"/>
      <c r="L67" s="22"/>
      <c r="M67" s="22"/>
      <c r="N67" s="22"/>
      <c r="O67" s="22"/>
      <c r="P67" s="22"/>
    </row>
    <row r="68" spans="10:16" x14ac:dyDescent="0.25">
      <c r="J68" s="22"/>
      <c r="K68" s="22"/>
      <c r="L68" s="22"/>
      <c r="M68" s="22"/>
      <c r="N68" s="22"/>
      <c r="O68" s="22"/>
      <c r="P68" s="22"/>
    </row>
    <row r="69" spans="10:16" x14ac:dyDescent="0.25">
      <c r="J69" s="22"/>
      <c r="K69" s="22"/>
      <c r="L69" s="22"/>
      <c r="M69" s="22"/>
      <c r="N69" s="22"/>
      <c r="O69" s="22"/>
      <c r="P69" s="22"/>
    </row>
    <row r="70" spans="10:16" x14ac:dyDescent="0.25">
      <c r="J70" s="25"/>
      <c r="K70" s="22"/>
      <c r="L70" s="22"/>
      <c r="M70" s="22"/>
      <c r="N70" s="22"/>
      <c r="O70" s="22"/>
      <c r="P70" s="15"/>
    </row>
    <row r="71" spans="10:16" x14ac:dyDescent="0.25">
      <c r="J71" s="22"/>
      <c r="K71" s="22"/>
      <c r="L71" s="22"/>
      <c r="M71" s="22"/>
      <c r="N71" s="22"/>
      <c r="O71" s="22"/>
      <c r="P71" s="15"/>
    </row>
    <row r="72" spans="10:16" x14ac:dyDescent="0.25">
      <c r="J72" s="22"/>
      <c r="K72" s="22"/>
      <c r="L72" s="22"/>
      <c r="M72" s="22"/>
      <c r="N72" s="22"/>
      <c r="O72" s="22"/>
      <c r="P72" s="15"/>
    </row>
    <row r="73" spans="10:16" x14ac:dyDescent="0.25">
      <c r="J73" s="22"/>
      <c r="K73" s="22"/>
      <c r="L73" s="22"/>
      <c r="M73" s="22"/>
      <c r="N73" s="22"/>
      <c r="O73" s="15"/>
      <c r="P73" s="15"/>
    </row>
    <row r="74" spans="10:16" x14ac:dyDescent="0.25">
      <c r="J74" s="22"/>
      <c r="K74" s="22"/>
      <c r="L74" s="22"/>
      <c r="M74" s="22"/>
      <c r="N74" s="22"/>
      <c r="O74" s="15"/>
      <c r="P74" s="15"/>
    </row>
  </sheetData>
  <sheetProtection algorithmName="SHA-512" hashValue="kDs9t9lesbffiN54FCScyFdTcvrcQjiJawI6tB+TevBphvalByCBVxZ+SFz57eh1hGo9lDyj7oEx6M5cj/Nmiw==" saltValue="4shWu/A5uljQlJUrjUEJEg==" spinCount="100000" sheet="1" formatCells="0" formatColumns="0" formatRows="0" insertColumns="0" insertHyperlinks="0" deleteColumns="0" deleteRows="0" sort="0" autoFilter="0" pivotTables="0"/>
  <mergeCells count="2">
    <mergeCell ref="J3:P3"/>
    <mergeCell ref="B3:H3"/>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5AFCC-1689-4003-ADE4-18CAF2DBFD76}">
  <sheetPr>
    <tabColor rgb="FFFFC000"/>
  </sheetPr>
  <dimension ref="A2:V195"/>
  <sheetViews>
    <sheetView showGridLines="0" zoomScale="80" zoomScaleNormal="80" workbookViewId="0">
      <pane xSplit="1" ySplit="4" topLeftCell="B5" activePane="bottomRight" state="frozen"/>
      <selection pane="topRight" activeCell="B1" sqref="B1"/>
      <selection pane="bottomLeft" activeCell="A5" sqref="A5"/>
      <selection pane="bottomRight" activeCell="K185" sqref="K185"/>
    </sheetView>
  </sheetViews>
  <sheetFormatPr baseColWidth="10" defaultRowHeight="15.75" x14ac:dyDescent="0.25"/>
  <cols>
    <col min="1" max="1" width="48" customWidth="1"/>
    <col min="2" max="2" width="30.125" customWidth="1"/>
    <col min="3" max="4" width="13.375" bestFit="1" customWidth="1"/>
    <col min="5" max="5" width="14.25" bestFit="1" customWidth="1"/>
    <col min="6" max="7" width="13.375" bestFit="1" customWidth="1"/>
    <col min="8" max="8" width="4.125" customWidth="1"/>
    <col min="14" max="14" width="2.375" customWidth="1"/>
    <col min="15" max="15" width="16.25" bestFit="1" customWidth="1"/>
    <col min="16" max="16" width="13.25" customWidth="1"/>
    <col min="17" max="17" width="17.375" bestFit="1" customWidth="1"/>
    <col min="18" max="18" width="11.5" customWidth="1"/>
    <col min="19" max="19" width="14.125" customWidth="1"/>
    <col min="20" max="20" width="12.125" customWidth="1"/>
    <col min="21" max="21" width="13" customWidth="1"/>
    <col min="22" max="22" width="13.25" customWidth="1"/>
  </cols>
  <sheetData>
    <row r="2" spans="1:22" x14ac:dyDescent="0.25">
      <c r="A2" s="289" t="s">
        <v>376</v>
      </c>
    </row>
    <row r="3" spans="1:22" ht="40.5" customHeight="1" x14ac:dyDescent="0.25">
      <c r="A3" s="33" t="s">
        <v>3</v>
      </c>
      <c r="B3" s="273">
        <v>2021</v>
      </c>
      <c r="C3" s="33">
        <v>2022</v>
      </c>
      <c r="D3" s="33">
        <v>2023</v>
      </c>
      <c r="E3" s="272">
        <v>2024</v>
      </c>
      <c r="F3" s="272">
        <v>2025</v>
      </c>
      <c r="G3" s="272">
        <v>2026</v>
      </c>
      <c r="H3" s="34"/>
      <c r="I3" s="83" t="s">
        <v>104</v>
      </c>
      <c r="J3" s="83" t="s">
        <v>101</v>
      </c>
      <c r="K3" s="79" t="s">
        <v>102</v>
      </c>
      <c r="L3" s="79" t="s">
        <v>112</v>
      </c>
      <c r="M3" s="79" t="s">
        <v>113</v>
      </c>
      <c r="N3" s="35"/>
      <c r="O3" s="84" t="s">
        <v>106</v>
      </c>
      <c r="P3" s="84" t="s">
        <v>107</v>
      </c>
      <c r="Q3" s="84" t="s">
        <v>108</v>
      </c>
      <c r="R3" s="84" t="s">
        <v>109</v>
      </c>
      <c r="S3" s="166" t="s">
        <v>222</v>
      </c>
      <c r="T3" s="165" t="s">
        <v>220</v>
      </c>
      <c r="U3" s="166" t="s">
        <v>221</v>
      </c>
      <c r="V3" s="165" t="s">
        <v>223</v>
      </c>
    </row>
    <row r="4" spans="1:22" ht="15.75" customHeight="1" x14ac:dyDescent="0.25">
      <c r="A4" s="36" t="s">
        <v>69</v>
      </c>
      <c r="B4" s="90" t="s">
        <v>1</v>
      </c>
      <c r="C4" s="37" t="s">
        <v>1</v>
      </c>
      <c r="D4" s="37" t="s">
        <v>1</v>
      </c>
      <c r="E4" s="31"/>
      <c r="F4" s="31"/>
      <c r="G4" s="31"/>
      <c r="H4" s="5"/>
      <c r="I4" s="41"/>
      <c r="J4" s="41"/>
      <c r="K4" s="41"/>
      <c r="L4" s="41"/>
      <c r="M4" s="41"/>
      <c r="N4" s="5"/>
      <c r="O4" s="47"/>
      <c r="P4" s="32"/>
      <c r="Q4" s="47"/>
      <c r="R4" s="32"/>
      <c r="S4" s="167"/>
      <c r="T4" s="168"/>
      <c r="U4" s="167"/>
      <c r="V4" s="169"/>
    </row>
    <row r="5" spans="1:22" ht="15.75" customHeight="1" x14ac:dyDescent="0.25">
      <c r="A5" s="36" t="s">
        <v>70</v>
      </c>
      <c r="B5" s="178">
        <v>521041000</v>
      </c>
      <c r="C5" s="175">
        <v>537566000</v>
      </c>
      <c r="D5" s="175">
        <v>460555000</v>
      </c>
      <c r="E5" s="176"/>
      <c r="F5" s="177"/>
      <c r="G5" s="177"/>
      <c r="H5" s="179"/>
      <c r="I5" s="41"/>
      <c r="J5" s="41"/>
      <c r="K5" s="41"/>
      <c r="L5" s="41"/>
      <c r="M5" s="41"/>
      <c r="N5" s="5"/>
      <c r="O5" s="47">
        <f t="shared" ref="O5:O27" si="0">IFERROR(D5-C5,)</f>
        <v>-77011000</v>
      </c>
      <c r="P5" s="32">
        <f t="shared" ref="P5:P27" si="1">IFERROR(D5/C5-1,)</f>
        <v>-0.14325868823549104</v>
      </c>
      <c r="Q5" s="47">
        <f t="shared" ref="Q5:Q27" si="2">IFERROR(E5-D5,)</f>
        <v>-460555000</v>
      </c>
      <c r="R5" s="32">
        <f t="shared" ref="R5:R27" si="3">IFERROR(E5/D5-1,)</f>
        <v>-1</v>
      </c>
      <c r="S5" s="167">
        <f t="shared" ref="S5:S27" si="4">IFERROR(F5-E5,0)</f>
        <v>0</v>
      </c>
      <c r="T5" s="168">
        <f t="shared" ref="T5:T27" si="5">IFERROR(F5/E5-1,0)</f>
        <v>0</v>
      </c>
      <c r="U5" s="167">
        <f t="shared" ref="U5:U27" si="6">IFERROR(G5-F5,0)</f>
        <v>0</v>
      </c>
      <c r="V5" s="169">
        <f t="shared" ref="V5:V27" si="7">IFERROR(G5/F5-1,0)</f>
        <v>0</v>
      </c>
    </row>
    <row r="6" spans="1:22" ht="15.75" customHeight="1" x14ac:dyDescent="0.25">
      <c r="A6" s="38" t="s">
        <v>71</v>
      </c>
      <c r="B6" s="91">
        <v>521041000</v>
      </c>
      <c r="C6" s="39">
        <v>537566000</v>
      </c>
      <c r="D6" s="39">
        <v>460555000</v>
      </c>
      <c r="E6" s="48">
        <v>389000000</v>
      </c>
      <c r="F6" s="48">
        <f>(E6*Supuestos!$F$8)+E6</f>
        <v>354390640.42663765</v>
      </c>
      <c r="G6" s="48">
        <f>(F6*Supuestos!$F$8)+F6</f>
        <v>322860478.20566165</v>
      </c>
      <c r="H6" s="5"/>
      <c r="I6" s="42">
        <f t="shared" ref="I6:I27" si="8">IFERROR(C6/$C$6,)</f>
        <v>1</v>
      </c>
      <c r="J6" s="42">
        <f t="shared" ref="J6:J27" si="9">IFERROR(D6/$D$6,)</f>
        <v>1</v>
      </c>
      <c r="K6" s="42">
        <f t="shared" ref="K6:K27" si="10">IFERROR(E6/$E$6,)</f>
        <v>1</v>
      </c>
      <c r="L6" s="42">
        <f t="shared" ref="L6:L27" si="11">IFERROR(F6/$F$6,)</f>
        <v>1</v>
      </c>
      <c r="M6" s="42">
        <f t="shared" ref="M6:M27" si="12">IFERROR(G6/$G$6,)</f>
        <v>1</v>
      </c>
      <c r="N6" s="5"/>
      <c r="O6" s="47">
        <f t="shared" si="0"/>
        <v>-77011000</v>
      </c>
      <c r="P6" s="32">
        <f t="shared" si="1"/>
        <v>-0.14325868823549104</v>
      </c>
      <c r="Q6" s="47">
        <f t="shared" si="2"/>
        <v>-71555000</v>
      </c>
      <c r="R6" s="32">
        <f t="shared" si="3"/>
        <v>-0.15536689429058415</v>
      </c>
      <c r="S6" s="167">
        <f t="shared" si="4"/>
        <v>-34609359.57336235</v>
      </c>
      <c r="T6" s="168">
        <f t="shared" si="5"/>
        <v>-8.8970076024067701E-2</v>
      </c>
      <c r="U6" s="167">
        <f t="shared" si="6"/>
        <v>-31530162.220975995</v>
      </c>
      <c r="V6" s="169">
        <f t="shared" si="7"/>
        <v>-8.8970076024067701E-2</v>
      </c>
    </row>
    <row r="7" spans="1:22" ht="15.75" customHeight="1" x14ac:dyDescent="0.25">
      <c r="A7" s="38" t="s">
        <v>72</v>
      </c>
      <c r="B7" s="91">
        <v>257174000</v>
      </c>
      <c r="C7" s="39">
        <v>281353000</v>
      </c>
      <c r="D7" s="39">
        <v>230205000</v>
      </c>
      <c r="E7" s="48">
        <f>E6-E8</f>
        <v>199017409.64094874</v>
      </c>
      <c r="F7" s="48">
        <f>F6-F8</f>
        <v>181310815.57508048</v>
      </c>
      <c r="G7" s="48">
        <f>G6-G8</f>
        <v>165179578.52937984</v>
      </c>
      <c r="H7" s="5"/>
      <c r="I7" s="42">
        <f t="shared" si="8"/>
        <v>0.52338317527522205</v>
      </c>
      <c r="J7" s="42">
        <f t="shared" si="9"/>
        <v>0.49984258123351172</v>
      </c>
      <c r="K7" s="42">
        <f t="shared" si="10"/>
        <v>0.51161287825436697</v>
      </c>
      <c r="L7" s="42">
        <f t="shared" si="11"/>
        <v>0.51161287825436685</v>
      </c>
      <c r="M7" s="42">
        <f t="shared" si="12"/>
        <v>0.51161287825436685</v>
      </c>
      <c r="N7" s="5"/>
      <c r="O7" s="47">
        <f t="shared" si="0"/>
        <v>-51148000</v>
      </c>
      <c r="P7" s="32">
        <f t="shared" si="1"/>
        <v>-0.18179297892682855</v>
      </c>
      <c r="Q7" s="47">
        <f t="shared" si="2"/>
        <v>-31187590.359051257</v>
      </c>
      <c r="R7" s="32">
        <f t="shared" si="3"/>
        <v>-0.13547746729676269</v>
      </c>
      <c r="S7" s="167">
        <f t="shared" si="4"/>
        <v>-17706594.065868258</v>
      </c>
      <c r="T7" s="168">
        <f t="shared" si="5"/>
        <v>-8.8970076024067812E-2</v>
      </c>
      <c r="U7" s="167">
        <f t="shared" si="6"/>
        <v>-16131237.045700639</v>
      </c>
      <c r="V7" s="169">
        <f t="shared" si="7"/>
        <v>-8.8970076024067812E-2</v>
      </c>
    </row>
    <row r="8" spans="1:22" ht="15.75" customHeight="1" x14ac:dyDescent="0.25">
      <c r="A8" s="38" t="s">
        <v>73</v>
      </c>
      <c r="B8" s="91">
        <v>263867000</v>
      </c>
      <c r="C8" s="39">
        <v>256213000</v>
      </c>
      <c r="D8" s="39">
        <v>230350000</v>
      </c>
      <c r="E8" s="48">
        <f>(E6*Supuestos!$E$11)</f>
        <v>189982590.35905126</v>
      </c>
      <c r="F8" s="48">
        <f>(F6*Supuestos!$E$11)</f>
        <v>173079824.85155717</v>
      </c>
      <c r="G8" s="48">
        <f>(G6*Supuestos!$E$11)</f>
        <v>157680899.67628181</v>
      </c>
      <c r="H8" s="5"/>
      <c r="I8" s="42">
        <f t="shared" si="8"/>
        <v>0.47661682472477795</v>
      </c>
      <c r="J8" s="42">
        <f t="shared" si="9"/>
        <v>0.50015741876648823</v>
      </c>
      <c r="K8" s="42">
        <f t="shared" si="10"/>
        <v>0.48838712174563303</v>
      </c>
      <c r="L8" s="42">
        <f t="shared" si="11"/>
        <v>0.48838712174563309</v>
      </c>
      <c r="M8" s="42">
        <f t="shared" si="12"/>
        <v>0.48838712174563315</v>
      </c>
      <c r="N8" s="5"/>
      <c r="O8" s="47">
        <f t="shared" si="0"/>
        <v>-25863000</v>
      </c>
      <c r="P8" s="32">
        <f t="shared" si="1"/>
        <v>-0.10094335572355817</v>
      </c>
      <c r="Q8" s="47">
        <f t="shared" si="2"/>
        <v>-40367409.640948743</v>
      </c>
      <c r="R8" s="32">
        <f t="shared" si="3"/>
        <v>-0.17524380134989681</v>
      </c>
      <c r="S8" s="167">
        <f t="shared" si="4"/>
        <v>-16902765.507494092</v>
      </c>
      <c r="T8" s="168">
        <f t="shared" si="5"/>
        <v>-8.8970076024067701E-2</v>
      </c>
      <c r="U8" s="167">
        <f t="shared" si="6"/>
        <v>-15398925.175275356</v>
      </c>
      <c r="V8" s="169">
        <f t="shared" si="7"/>
        <v>-8.8970076024067701E-2</v>
      </c>
    </row>
    <row r="9" spans="1:22" ht="15.75" customHeight="1" x14ac:dyDescent="0.25">
      <c r="A9" s="38" t="s">
        <v>74</v>
      </c>
      <c r="B9" s="91">
        <v>5910000</v>
      </c>
      <c r="C9" s="39">
        <v>12466000</v>
      </c>
      <c r="D9" s="39">
        <v>10675000</v>
      </c>
      <c r="E9" s="48">
        <f>(E6*Supuestos!$E$12)</f>
        <v>9018627.9248575401</v>
      </c>
      <c r="F9" s="48">
        <f>(F6*Supuestos!$E$12)</f>
        <v>8216239.9127501836</v>
      </c>
      <c r="G9" s="48">
        <f>(G6*Supuestos!$E$12)</f>
        <v>7485240.4230808206</v>
      </c>
      <c r="H9" s="5"/>
      <c r="I9" s="42">
        <f t="shared" si="8"/>
        <v>2.3189710658784224E-2</v>
      </c>
      <c r="J9" s="42">
        <f t="shared" si="9"/>
        <v>2.3178556307064304E-2</v>
      </c>
      <c r="K9" s="42">
        <f t="shared" si="10"/>
        <v>2.3184133482924269E-2</v>
      </c>
      <c r="L9" s="42">
        <f t="shared" si="11"/>
        <v>2.3184133482924266E-2</v>
      </c>
      <c r="M9" s="42">
        <f t="shared" si="12"/>
        <v>2.3184133482924266E-2</v>
      </c>
      <c r="N9" s="5"/>
      <c r="O9" s="47">
        <f t="shared" si="0"/>
        <v>-1791000</v>
      </c>
      <c r="P9" s="32">
        <f t="shared" si="1"/>
        <v>-0.14367078453393234</v>
      </c>
      <c r="Q9" s="47">
        <f t="shared" si="2"/>
        <v>-1656372.0751424599</v>
      </c>
      <c r="R9" s="32">
        <f t="shared" si="3"/>
        <v>-0.15516366043489083</v>
      </c>
      <c r="S9" s="167">
        <f t="shared" si="4"/>
        <v>-802388.01210735645</v>
      </c>
      <c r="T9" s="168">
        <f t="shared" si="5"/>
        <v>-8.8970076024067812E-2</v>
      </c>
      <c r="U9" s="167">
        <f t="shared" si="6"/>
        <v>-730999.48966936301</v>
      </c>
      <c r="V9" s="169">
        <f t="shared" si="7"/>
        <v>-8.8970076024067701E-2</v>
      </c>
    </row>
    <row r="10" spans="1:22" ht="15.75" customHeight="1" x14ac:dyDescent="0.25">
      <c r="A10" s="38" t="s">
        <v>75</v>
      </c>
      <c r="B10" s="91">
        <v>198016000</v>
      </c>
      <c r="C10" s="39">
        <v>198847000</v>
      </c>
      <c r="D10" s="39">
        <v>182321000</v>
      </c>
      <c r="E10" s="48">
        <f>(E6*Supuestos!$E$13)</f>
        <v>148943209.83633888</v>
      </c>
      <c r="F10" s="48">
        <f>(F6*Supuestos!$E$13)</f>
        <v>135691721.13393113</v>
      </c>
      <c r="G10" s="48">
        <f>(G6*Supuestos!$E$13)</f>
        <v>123619218.38880868</v>
      </c>
      <c r="H10" s="5"/>
      <c r="I10" s="42">
        <f t="shared" si="8"/>
        <v>0.36990248639236856</v>
      </c>
      <c r="J10" s="42">
        <f t="shared" si="9"/>
        <v>0.39587237137801129</v>
      </c>
      <c r="K10" s="42">
        <f t="shared" si="10"/>
        <v>0.3828874288851899</v>
      </c>
      <c r="L10" s="42">
        <f t="shared" si="11"/>
        <v>0.3828874288851899</v>
      </c>
      <c r="M10" s="42">
        <f t="shared" si="12"/>
        <v>0.3828874288851899</v>
      </c>
      <c r="N10" s="5"/>
      <c r="O10" s="47">
        <f t="shared" si="0"/>
        <v>-16526000</v>
      </c>
      <c r="P10" s="32">
        <f t="shared" si="1"/>
        <v>-8.3109124100439025E-2</v>
      </c>
      <c r="Q10" s="47">
        <f t="shared" si="2"/>
        <v>-33377790.163661122</v>
      </c>
      <c r="R10" s="32">
        <f t="shared" si="3"/>
        <v>-0.18307156149681669</v>
      </c>
      <c r="S10" s="167">
        <f t="shared" si="4"/>
        <v>-13251488.702407748</v>
      </c>
      <c r="T10" s="168">
        <f t="shared" si="5"/>
        <v>-8.8970076024067812E-2</v>
      </c>
      <c r="U10" s="167">
        <f t="shared" si="6"/>
        <v>-12072502.745122448</v>
      </c>
      <c r="V10" s="169">
        <f t="shared" si="7"/>
        <v>-8.8970076024067701E-2</v>
      </c>
    </row>
    <row r="11" spans="1:22" ht="15.75" customHeight="1" x14ac:dyDescent="0.25">
      <c r="A11" s="38" t="s">
        <v>76</v>
      </c>
      <c r="B11" s="91">
        <v>27020000</v>
      </c>
      <c r="C11" s="39">
        <v>28473000</v>
      </c>
      <c r="D11" s="39">
        <v>28811000</v>
      </c>
      <c r="E11" s="48">
        <f>(E6*Supuestos!$E$14)</f>
        <v>22469350.239254557</v>
      </c>
      <c r="F11" s="48">
        <f>(F6*Supuestos!$E$14)</f>
        <v>20470250.440256674</v>
      </c>
      <c r="G11" s="48">
        <f>(G6*Supuestos!$E$14)</f>
        <v>18649010.702355333</v>
      </c>
      <c r="H11" s="5"/>
      <c r="I11" s="42">
        <f t="shared" si="8"/>
        <v>5.2966519459936079E-2</v>
      </c>
      <c r="J11" s="42">
        <f t="shared" si="9"/>
        <v>6.255713215576858E-2</v>
      </c>
      <c r="K11" s="42">
        <f t="shared" si="10"/>
        <v>5.7761825807852329E-2</v>
      </c>
      <c r="L11" s="42">
        <f t="shared" si="11"/>
        <v>5.7761825807852329E-2</v>
      </c>
      <c r="M11" s="42">
        <f t="shared" si="12"/>
        <v>5.7761825807852329E-2</v>
      </c>
      <c r="N11" s="5"/>
      <c r="O11" s="47">
        <f t="shared" si="0"/>
        <v>338000</v>
      </c>
      <c r="P11" s="32">
        <f t="shared" si="1"/>
        <v>1.1870895234081358E-2</v>
      </c>
      <c r="Q11" s="47">
        <f t="shared" si="2"/>
        <v>-6341649.7607454434</v>
      </c>
      <c r="R11" s="32">
        <f t="shared" si="3"/>
        <v>-0.22011210165372408</v>
      </c>
      <c r="S11" s="167">
        <f t="shared" si="4"/>
        <v>-1999099.7989978828</v>
      </c>
      <c r="T11" s="168">
        <f t="shared" si="5"/>
        <v>-8.8970076024067701E-2</v>
      </c>
      <c r="U11" s="167">
        <f t="shared" si="6"/>
        <v>-1821239.7379013412</v>
      </c>
      <c r="V11" s="169">
        <f t="shared" si="7"/>
        <v>-8.8970076024067701E-2</v>
      </c>
    </row>
    <row r="12" spans="1:22" ht="15.75" customHeight="1" x14ac:dyDescent="0.25">
      <c r="A12" s="38" t="s">
        <v>77</v>
      </c>
      <c r="B12" s="91">
        <v>13686000</v>
      </c>
      <c r="C12" s="39">
        <v>6887000</v>
      </c>
      <c r="D12" s="39">
        <v>2555000</v>
      </c>
      <c r="E12" s="48">
        <f>(E6*Supuestos!$E$15)</f>
        <v>3570845.8426176305</v>
      </c>
      <c r="F12" s="48">
        <f>(F6*Supuestos!$E$15)</f>
        <v>3253147.4165297137</v>
      </c>
      <c r="G12" s="48">
        <f>(G6*Supuestos!$E$15)</f>
        <v>2963714.6435635653</v>
      </c>
      <c r="H12" s="5"/>
      <c r="I12" s="42">
        <f t="shared" si="8"/>
        <v>1.2811450128914404E-2</v>
      </c>
      <c r="J12" s="42">
        <f t="shared" si="9"/>
        <v>5.5476544603793249E-3</v>
      </c>
      <c r="K12" s="42">
        <f t="shared" si="10"/>
        <v>9.1795522946468647E-3</v>
      </c>
      <c r="L12" s="42">
        <f t="shared" si="11"/>
        <v>9.1795522946468647E-3</v>
      </c>
      <c r="M12" s="42">
        <f t="shared" si="12"/>
        <v>9.1795522946468647E-3</v>
      </c>
      <c r="N12" s="5"/>
      <c r="O12" s="47">
        <f t="shared" si="0"/>
        <v>-4332000</v>
      </c>
      <c r="P12" s="32">
        <f t="shared" si="1"/>
        <v>-0.62901118048497162</v>
      </c>
      <c r="Q12" s="47">
        <f t="shared" si="2"/>
        <v>1015845.8426176305</v>
      </c>
      <c r="R12" s="32">
        <f t="shared" si="3"/>
        <v>0.39759132783468898</v>
      </c>
      <c r="S12" s="167">
        <f t="shared" si="4"/>
        <v>-317698.42608791683</v>
      </c>
      <c r="T12" s="168">
        <f t="shared" si="5"/>
        <v>-8.8970076024067701E-2</v>
      </c>
      <c r="U12" s="167">
        <f t="shared" si="6"/>
        <v>-289432.77296614833</v>
      </c>
      <c r="V12" s="169">
        <f t="shared" si="7"/>
        <v>-8.8970076024067812E-2</v>
      </c>
    </row>
    <row r="13" spans="1:22" ht="15.75" customHeight="1" x14ac:dyDescent="0.25">
      <c r="A13" s="38" t="s">
        <v>78</v>
      </c>
      <c r="B13" s="92" t="s">
        <v>11</v>
      </c>
      <c r="C13" s="38" t="s">
        <v>11</v>
      </c>
      <c r="D13" s="38" t="s">
        <v>11</v>
      </c>
      <c r="E13" s="38" t="s">
        <v>11</v>
      </c>
      <c r="F13" s="38" t="s">
        <v>11</v>
      </c>
      <c r="G13" s="38" t="s">
        <v>11</v>
      </c>
      <c r="H13" s="5"/>
      <c r="I13" s="42">
        <f t="shared" si="8"/>
        <v>0</v>
      </c>
      <c r="J13" s="42">
        <f t="shared" si="9"/>
        <v>0</v>
      </c>
      <c r="K13" s="42">
        <f t="shared" si="10"/>
        <v>0</v>
      </c>
      <c r="L13" s="42">
        <f t="shared" si="11"/>
        <v>0</v>
      </c>
      <c r="M13" s="42">
        <f t="shared" si="12"/>
        <v>0</v>
      </c>
      <c r="N13" s="5"/>
      <c r="O13" s="47">
        <f t="shared" si="0"/>
        <v>0</v>
      </c>
      <c r="P13" s="32">
        <f t="shared" si="1"/>
        <v>0</v>
      </c>
      <c r="Q13" s="47">
        <f t="shared" si="2"/>
        <v>0</v>
      </c>
      <c r="R13" s="32">
        <f t="shared" si="3"/>
        <v>0</v>
      </c>
      <c r="S13" s="167">
        <f t="shared" si="4"/>
        <v>0</v>
      </c>
      <c r="T13" s="168">
        <f t="shared" si="5"/>
        <v>0</v>
      </c>
      <c r="U13" s="167">
        <f t="shared" si="6"/>
        <v>0</v>
      </c>
      <c r="V13" s="169">
        <f t="shared" si="7"/>
        <v>0</v>
      </c>
    </row>
    <row r="14" spans="1:22" ht="15.75" customHeight="1" x14ac:dyDescent="0.25">
      <c r="A14" s="38" t="s">
        <v>79</v>
      </c>
      <c r="B14" s="91">
        <v>31055000</v>
      </c>
      <c r="C14" s="48">
        <f>C8+C9-C10-C11-C12</f>
        <v>34472000</v>
      </c>
      <c r="D14" s="48">
        <f>D8+D9-D10-D11-D12</f>
        <v>27338000</v>
      </c>
      <c r="E14" s="48">
        <f>E8+E9-E10-E11-E12</f>
        <v>24017812.365697719</v>
      </c>
      <c r="F14" s="48">
        <f>F8+F9-F10-F11-F12</f>
        <v>21880945.773589831</v>
      </c>
      <c r="G14" s="48">
        <f>G8+G9-G10-G11-G12</f>
        <v>19934196.364635061</v>
      </c>
      <c r="H14" s="5"/>
      <c r="I14" s="42">
        <f t="shared" si="8"/>
        <v>6.4126079402343147E-2</v>
      </c>
      <c r="J14" s="42">
        <f t="shared" si="9"/>
        <v>5.935881707939334E-2</v>
      </c>
      <c r="K14" s="42">
        <f t="shared" si="10"/>
        <v>6.1742448240868171E-2</v>
      </c>
      <c r="L14" s="42">
        <f t="shared" si="11"/>
        <v>6.1742448240868261E-2</v>
      </c>
      <c r="M14" s="42">
        <f t="shared" si="12"/>
        <v>6.1742448240868331E-2</v>
      </c>
      <c r="N14" s="5"/>
      <c r="O14" s="47">
        <f t="shared" si="0"/>
        <v>-7134000</v>
      </c>
      <c r="P14" s="32">
        <f t="shared" si="1"/>
        <v>-0.20695056857739613</v>
      </c>
      <c r="Q14" s="47">
        <f t="shared" si="2"/>
        <v>-3320187.6343022808</v>
      </c>
      <c r="R14" s="32">
        <f t="shared" si="3"/>
        <v>-0.12144954401573926</v>
      </c>
      <c r="S14" s="167">
        <f t="shared" si="4"/>
        <v>-2136866.5921078883</v>
      </c>
      <c r="T14" s="168">
        <f t="shared" si="5"/>
        <v>-8.8970076024066369E-2</v>
      </c>
      <c r="U14" s="167">
        <f t="shared" si="6"/>
        <v>-1946749.4089547694</v>
      </c>
      <c r="V14" s="169">
        <f t="shared" si="7"/>
        <v>-8.8970076024066702E-2</v>
      </c>
    </row>
    <row r="15" spans="1:22" ht="15.75" customHeight="1" x14ac:dyDescent="0.25">
      <c r="A15" s="38" t="s">
        <v>80</v>
      </c>
      <c r="B15" s="92" t="s">
        <v>11</v>
      </c>
      <c r="C15" s="38" t="s">
        <v>11</v>
      </c>
      <c r="D15" s="38" t="s">
        <v>11</v>
      </c>
      <c r="E15" s="38" t="s">
        <v>11</v>
      </c>
      <c r="F15" s="38" t="s">
        <v>11</v>
      </c>
      <c r="G15" s="38" t="s">
        <v>11</v>
      </c>
      <c r="H15" s="5"/>
      <c r="I15" s="42">
        <f t="shared" si="8"/>
        <v>0</v>
      </c>
      <c r="J15" s="42">
        <f t="shared" si="9"/>
        <v>0</v>
      </c>
      <c r="K15" s="42">
        <f t="shared" si="10"/>
        <v>0</v>
      </c>
      <c r="L15" s="42">
        <f t="shared" si="11"/>
        <v>0</v>
      </c>
      <c r="M15" s="42">
        <f t="shared" si="12"/>
        <v>0</v>
      </c>
      <c r="N15" s="5"/>
      <c r="O15" s="47">
        <f t="shared" si="0"/>
        <v>0</v>
      </c>
      <c r="P15" s="32">
        <f t="shared" si="1"/>
        <v>0</v>
      </c>
      <c r="Q15" s="47">
        <f t="shared" si="2"/>
        <v>0</v>
      </c>
      <c r="R15" s="32">
        <f t="shared" si="3"/>
        <v>0</v>
      </c>
      <c r="S15" s="167">
        <f t="shared" si="4"/>
        <v>0</v>
      </c>
      <c r="T15" s="168">
        <f t="shared" si="5"/>
        <v>0</v>
      </c>
      <c r="U15" s="167">
        <f t="shared" si="6"/>
        <v>0</v>
      </c>
      <c r="V15" s="169">
        <f t="shared" si="7"/>
        <v>0</v>
      </c>
    </row>
    <row r="16" spans="1:22" ht="15.75" customHeight="1" x14ac:dyDescent="0.25">
      <c r="A16" s="38" t="s">
        <v>81</v>
      </c>
      <c r="B16" s="92" t="s">
        <v>11</v>
      </c>
      <c r="C16" s="38" t="s">
        <v>11</v>
      </c>
      <c r="D16" s="38" t="s">
        <v>11</v>
      </c>
      <c r="E16" s="38" t="s">
        <v>11</v>
      </c>
      <c r="F16" s="38" t="s">
        <v>11</v>
      </c>
      <c r="G16" s="38" t="s">
        <v>11</v>
      </c>
      <c r="H16" s="5"/>
      <c r="I16" s="42">
        <f t="shared" si="8"/>
        <v>0</v>
      </c>
      <c r="J16" s="42">
        <f t="shared" si="9"/>
        <v>0</v>
      </c>
      <c r="K16" s="42">
        <f t="shared" si="10"/>
        <v>0</v>
      </c>
      <c r="L16" s="42">
        <f t="shared" si="11"/>
        <v>0</v>
      </c>
      <c r="M16" s="42">
        <f t="shared" si="12"/>
        <v>0</v>
      </c>
      <c r="N16" s="5"/>
      <c r="O16" s="47">
        <f t="shared" si="0"/>
        <v>0</v>
      </c>
      <c r="P16" s="32">
        <f t="shared" si="1"/>
        <v>0</v>
      </c>
      <c r="Q16" s="47">
        <f t="shared" si="2"/>
        <v>0</v>
      </c>
      <c r="R16" s="32">
        <f t="shared" si="3"/>
        <v>0</v>
      </c>
      <c r="S16" s="167">
        <f t="shared" si="4"/>
        <v>0</v>
      </c>
      <c r="T16" s="168">
        <f t="shared" si="5"/>
        <v>0</v>
      </c>
      <c r="U16" s="167">
        <f t="shared" si="6"/>
        <v>0</v>
      </c>
      <c r="V16" s="169">
        <f t="shared" si="7"/>
        <v>0</v>
      </c>
    </row>
    <row r="17" spans="1:22" ht="15.75" customHeight="1" x14ac:dyDescent="0.25">
      <c r="A17" s="38" t="s">
        <v>82</v>
      </c>
      <c r="B17" s="91">
        <v>1613000</v>
      </c>
      <c r="C17" s="39">
        <v>1527000</v>
      </c>
      <c r="D17" s="39">
        <v>3939000</v>
      </c>
      <c r="E17" s="48">
        <f>(D17*Supuestos!$E$20)+D17</f>
        <v>5034078.5854616892</v>
      </c>
      <c r="F17" s="48">
        <f>(E17*Supuestos!$E$20)+E17</f>
        <v>6433599.188779884</v>
      </c>
      <c r="G17" s="48">
        <f>(F17*Supuestos!$E$20)+F17</f>
        <v>8222199.5185784493</v>
      </c>
      <c r="H17" s="5"/>
      <c r="I17" s="42">
        <f t="shared" si="8"/>
        <v>2.8405814355818636E-3</v>
      </c>
      <c r="J17" s="42">
        <f t="shared" si="9"/>
        <v>8.5527244303069128E-3</v>
      </c>
      <c r="K17" s="42">
        <f t="shared" si="10"/>
        <v>1.2941076055171438E-2</v>
      </c>
      <c r="L17" s="42">
        <f t="shared" si="11"/>
        <v>1.8153976022150908E-2</v>
      </c>
      <c r="M17" s="42">
        <f t="shared" si="12"/>
        <v>2.5466726569552189E-2</v>
      </c>
      <c r="N17" s="5"/>
      <c r="O17" s="47">
        <f t="shared" si="0"/>
        <v>2412000</v>
      </c>
      <c r="P17" s="32">
        <f t="shared" si="1"/>
        <v>1.5795677799607071</v>
      </c>
      <c r="Q17" s="47">
        <f t="shared" si="2"/>
        <v>1095078.5854616892</v>
      </c>
      <c r="R17" s="32">
        <f t="shared" si="3"/>
        <v>0.27800928800753733</v>
      </c>
      <c r="S17" s="167">
        <f t="shared" si="4"/>
        <v>1399520.6033181949</v>
      </c>
      <c r="T17" s="168">
        <f t="shared" si="5"/>
        <v>0.27800928800753733</v>
      </c>
      <c r="U17" s="167">
        <f t="shared" si="6"/>
        <v>1788600.3297985652</v>
      </c>
      <c r="V17" s="169">
        <f t="shared" si="7"/>
        <v>0.27800928800753733</v>
      </c>
    </row>
    <row r="18" spans="1:22" ht="15.75" customHeight="1" x14ac:dyDescent="0.25">
      <c r="A18" s="38" t="s">
        <v>83</v>
      </c>
      <c r="B18" s="91">
        <v>14853000</v>
      </c>
      <c r="C18" s="39">
        <v>17920000</v>
      </c>
      <c r="D18" s="39">
        <v>26127000</v>
      </c>
      <c r="E18" s="185">
        <f>(Consolidado!E66+Consolidado!E79)*Supuestos!F24</f>
        <v>13655556</v>
      </c>
      <c r="F18" s="185">
        <f>(Consolidado!F66+Consolidado!F79)*Supuestos!G24</f>
        <v>10241667</v>
      </c>
      <c r="G18" s="185">
        <f>(Consolidado!G66+Consolidado!G79)*Supuestos!H24</f>
        <v>7374000.2400000002</v>
      </c>
      <c r="H18" s="5"/>
      <c r="I18" s="42">
        <f t="shared" si="8"/>
        <v>3.3335441601589383E-2</v>
      </c>
      <c r="J18" s="42">
        <f t="shared" si="9"/>
        <v>5.6729380855706703E-2</v>
      </c>
      <c r="K18" s="42">
        <f t="shared" si="10"/>
        <v>3.5104257069408742E-2</v>
      </c>
      <c r="L18" s="42">
        <f t="shared" si="11"/>
        <v>2.8899372138243944E-2</v>
      </c>
      <c r="M18" s="42">
        <f t="shared" si="12"/>
        <v>2.2839587802700251E-2</v>
      </c>
      <c r="N18" s="5"/>
      <c r="O18" s="47">
        <f t="shared" si="0"/>
        <v>8207000</v>
      </c>
      <c r="P18" s="32">
        <f t="shared" si="1"/>
        <v>0.45797991071428568</v>
      </c>
      <c r="Q18" s="47">
        <f t="shared" si="2"/>
        <v>-12471444</v>
      </c>
      <c r="R18" s="32">
        <f t="shared" si="3"/>
        <v>-0.477339304168102</v>
      </c>
      <c r="S18" s="167">
        <f t="shared" si="4"/>
        <v>-3413889</v>
      </c>
      <c r="T18" s="168">
        <f t="shared" si="5"/>
        <v>-0.25</v>
      </c>
      <c r="U18" s="167">
        <f t="shared" si="6"/>
        <v>-2867666.76</v>
      </c>
      <c r="V18" s="169">
        <f t="shared" si="7"/>
        <v>-0.28000000000000003</v>
      </c>
    </row>
    <row r="19" spans="1:22" ht="15.75" customHeight="1" x14ac:dyDescent="0.25">
      <c r="A19" s="38" t="s">
        <v>84</v>
      </c>
      <c r="B19" s="92" t="s">
        <v>11</v>
      </c>
      <c r="C19" s="38" t="s">
        <v>11</v>
      </c>
      <c r="D19" s="38" t="s">
        <v>11</v>
      </c>
      <c r="E19" s="38" t="s">
        <v>11</v>
      </c>
      <c r="F19" s="38" t="s">
        <v>11</v>
      </c>
      <c r="G19" s="38" t="s">
        <v>11</v>
      </c>
      <c r="H19" s="5"/>
      <c r="I19" s="42">
        <f t="shared" si="8"/>
        <v>0</v>
      </c>
      <c r="J19" s="42">
        <f t="shared" si="9"/>
        <v>0</v>
      </c>
      <c r="K19" s="42">
        <f t="shared" si="10"/>
        <v>0</v>
      </c>
      <c r="L19" s="42">
        <f t="shared" si="11"/>
        <v>0</v>
      </c>
      <c r="M19" s="42">
        <f t="shared" si="12"/>
        <v>0</v>
      </c>
      <c r="N19" s="5"/>
      <c r="O19" s="47">
        <f t="shared" si="0"/>
        <v>0</v>
      </c>
      <c r="P19" s="32">
        <f t="shared" si="1"/>
        <v>0</v>
      </c>
      <c r="Q19" s="47">
        <f t="shared" si="2"/>
        <v>0</v>
      </c>
      <c r="R19" s="32">
        <f t="shared" si="3"/>
        <v>0</v>
      </c>
      <c r="S19" s="167">
        <f t="shared" si="4"/>
        <v>0</v>
      </c>
      <c r="T19" s="168">
        <f t="shared" si="5"/>
        <v>0</v>
      </c>
      <c r="U19" s="167">
        <f t="shared" si="6"/>
        <v>0</v>
      </c>
      <c r="V19" s="169">
        <f t="shared" si="7"/>
        <v>0</v>
      </c>
    </row>
    <row r="20" spans="1:22" ht="15.75" customHeight="1" x14ac:dyDescent="0.25">
      <c r="A20" s="38" t="s">
        <v>85</v>
      </c>
      <c r="B20" s="92" t="s">
        <v>11</v>
      </c>
      <c r="C20" s="38" t="s">
        <v>11</v>
      </c>
      <c r="D20" s="38" t="s">
        <v>11</v>
      </c>
      <c r="E20" s="38" t="s">
        <v>11</v>
      </c>
      <c r="F20" s="38" t="s">
        <v>11</v>
      </c>
      <c r="G20" s="38" t="s">
        <v>11</v>
      </c>
      <c r="H20" s="5"/>
      <c r="I20" s="42">
        <f t="shared" si="8"/>
        <v>0</v>
      </c>
      <c r="J20" s="42">
        <f t="shared" si="9"/>
        <v>0</v>
      </c>
      <c r="K20" s="42">
        <f t="shared" si="10"/>
        <v>0</v>
      </c>
      <c r="L20" s="42">
        <f t="shared" si="11"/>
        <v>0</v>
      </c>
      <c r="M20" s="42">
        <f t="shared" si="12"/>
        <v>0</v>
      </c>
      <c r="N20" s="5"/>
      <c r="O20" s="47">
        <f t="shared" si="0"/>
        <v>0</v>
      </c>
      <c r="P20" s="32">
        <f t="shared" si="1"/>
        <v>0</v>
      </c>
      <c r="Q20" s="47">
        <f t="shared" si="2"/>
        <v>0</v>
      </c>
      <c r="R20" s="32">
        <f t="shared" si="3"/>
        <v>0</v>
      </c>
      <c r="S20" s="167">
        <f t="shared" si="4"/>
        <v>0</v>
      </c>
      <c r="T20" s="168">
        <f t="shared" si="5"/>
        <v>0</v>
      </c>
      <c r="U20" s="167">
        <f t="shared" si="6"/>
        <v>0</v>
      </c>
      <c r="V20" s="169">
        <f t="shared" si="7"/>
        <v>0</v>
      </c>
    </row>
    <row r="21" spans="1:22" ht="15.75" customHeight="1" x14ac:dyDescent="0.25">
      <c r="A21" s="38" t="s">
        <v>86</v>
      </c>
      <c r="B21" s="92" t="s">
        <v>11</v>
      </c>
      <c r="C21" s="38" t="s">
        <v>11</v>
      </c>
      <c r="D21" s="38" t="s">
        <v>11</v>
      </c>
      <c r="E21" s="38" t="s">
        <v>11</v>
      </c>
      <c r="F21" s="38" t="s">
        <v>11</v>
      </c>
      <c r="G21" s="38" t="s">
        <v>11</v>
      </c>
      <c r="H21" s="5"/>
      <c r="I21" s="42">
        <f t="shared" si="8"/>
        <v>0</v>
      </c>
      <c r="J21" s="42">
        <f t="shared" si="9"/>
        <v>0</v>
      </c>
      <c r="K21" s="42">
        <f t="shared" si="10"/>
        <v>0</v>
      </c>
      <c r="L21" s="42">
        <f t="shared" si="11"/>
        <v>0</v>
      </c>
      <c r="M21" s="42">
        <f t="shared" si="12"/>
        <v>0</v>
      </c>
      <c r="N21" s="5"/>
      <c r="O21" s="47">
        <f t="shared" si="0"/>
        <v>0</v>
      </c>
      <c r="P21" s="32">
        <f t="shared" si="1"/>
        <v>0</v>
      </c>
      <c r="Q21" s="47">
        <f t="shared" si="2"/>
        <v>0</v>
      </c>
      <c r="R21" s="32">
        <f t="shared" si="3"/>
        <v>0</v>
      </c>
      <c r="S21" s="167">
        <f t="shared" si="4"/>
        <v>0</v>
      </c>
      <c r="T21" s="168">
        <f t="shared" si="5"/>
        <v>0</v>
      </c>
      <c r="U21" s="167">
        <f t="shared" si="6"/>
        <v>0</v>
      </c>
      <c r="V21" s="169">
        <f t="shared" si="7"/>
        <v>0</v>
      </c>
    </row>
    <row r="22" spans="1:22" ht="15.75" customHeight="1" x14ac:dyDescent="0.25">
      <c r="A22" s="38" t="s">
        <v>87</v>
      </c>
      <c r="B22" s="92" t="s">
        <v>11</v>
      </c>
      <c r="C22" s="38" t="s">
        <v>11</v>
      </c>
      <c r="D22" s="38" t="s">
        <v>11</v>
      </c>
      <c r="E22" s="38" t="s">
        <v>11</v>
      </c>
      <c r="F22" s="38" t="s">
        <v>11</v>
      </c>
      <c r="G22" s="38" t="s">
        <v>11</v>
      </c>
      <c r="H22" s="5"/>
      <c r="I22" s="42">
        <f t="shared" si="8"/>
        <v>0</v>
      </c>
      <c r="J22" s="42">
        <f t="shared" si="9"/>
        <v>0</v>
      </c>
      <c r="K22" s="42">
        <f t="shared" si="10"/>
        <v>0</v>
      </c>
      <c r="L22" s="42">
        <f t="shared" si="11"/>
        <v>0</v>
      </c>
      <c r="M22" s="42">
        <f t="shared" si="12"/>
        <v>0</v>
      </c>
      <c r="N22" s="5"/>
      <c r="O22" s="47">
        <f t="shared" si="0"/>
        <v>0</v>
      </c>
      <c r="P22" s="32">
        <f t="shared" si="1"/>
        <v>0</v>
      </c>
      <c r="Q22" s="47">
        <f t="shared" si="2"/>
        <v>0</v>
      </c>
      <c r="R22" s="32">
        <f t="shared" si="3"/>
        <v>0</v>
      </c>
      <c r="S22" s="167">
        <f t="shared" si="4"/>
        <v>0</v>
      </c>
      <c r="T22" s="168">
        <f t="shared" si="5"/>
        <v>0</v>
      </c>
      <c r="U22" s="167">
        <f t="shared" si="6"/>
        <v>0</v>
      </c>
      <c r="V22" s="169">
        <f t="shared" si="7"/>
        <v>0</v>
      </c>
    </row>
    <row r="23" spans="1:22" ht="15.75" customHeight="1" x14ac:dyDescent="0.25">
      <c r="A23" s="38" t="s">
        <v>88</v>
      </c>
      <c r="B23" s="91">
        <v>17815000</v>
      </c>
      <c r="C23" s="39">
        <v>18079000</v>
      </c>
      <c r="D23" s="39">
        <v>5150000</v>
      </c>
      <c r="E23" s="48">
        <f>E14+E17-E18</f>
        <v>15396334.95115941</v>
      </c>
      <c r="F23" s="48">
        <f>F14+F17-F18</f>
        <v>18072877.962369714</v>
      </c>
      <c r="G23" s="48">
        <f>G14+G17-G18</f>
        <v>20782395.643213511</v>
      </c>
      <c r="H23" s="5"/>
      <c r="I23" s="42">
        <f t="shared" si="8"/>
        <v>3.3631219236335629E-2</v>
      </c>
      <c r="J23" s="42">
        <f t="shared" si="9"/>
        <v>1.1182160653993552E-2</v>
      </c>
      <c r="K23" s="42">
        <f t="shared" si="10"/>
        <v>3.9579267226630875E-2</v>
      </c>
      <c r="L23" s="42">
        <f t="shared" si="11"/>
        <v>5.0997052124775226E-2</v>
      </c>
      <c r="M23" s="42">
        <f t="shared" si="12"/>
        <v>6.4369587007720261E-2</v>
      </c>
      <c r="N23" s="5"/>
      <c r="O23" s="47">
        <f t="shared" si="0"/>
        <v>-12929000</v>
      </c>
      <c r="P23" s="32">
        <f t="shared" si="1"/>
        <v>-0.71513911167653077</v>
      </c>
      <c r="Q23" s="47">
        <f t="shared" si="2"/>
        <v>10246334.95115941</v>
      </c>
      <c r="R23" s="32">
        <f t="shared" si="3"/>
        <v>1.9895796021668759</v>
      </c>
      <c r="S23" s="167">
        <f t="shared" si="4"/>
        <v>2676543.0112103038</v>
      </c>
      <c r="T23" s="168">
        <f t="shared" si="5"/>
        <v>0.17384286713044972</v>
      </c>
      <c r="U23" s="167">
        <f t="shared" si="6"/>
        <v>2709517.6808437966</v>
      </c>
      <c r="V23" s="169">
        <f t="shared" si="7"/>
        <v>0.14992176046811112</v>
      </c>
    </row>
    <row r="24" spans="1:22" ht="15.75" customHeight="1" x14ac:dyDescent="0.25">
      <c r="A24" s="38" t="s">
        <v>89</v>
      </c>
      <c r="B24" s="91">
        <v>4769000</v>
      </c>
      <c r="C24" s="39">
        <v>4950000</v>
      </c>
      <c r="D24" s="39">
        <v>467000</v>
      </c>
      <c r="E24" s="48">
        <f>(E23*Supuestos!$E$27)</f>
        <v>2805812.2325437409</v>
      </c>
      <c r="F24" s="48">
        <f>(F23*Supuestos!$E$27)</f>
        <v>3293582.6756788329</v>
      </c>
      <c r="G24" s="48">
        <f>(G23*Supuestos!$E$27)</f>
        <v>3787362.3886638754</v>
      </c>
      <c r="H24" s="5"/>
      <c r="I24" s="42">
        <f t="shared" si="8"/>
        <v>9.208171647760461E-3</v>
      </c>
      <c r="J24" s="42">
        <f t="shared" si="9"/>
        <v>1.0139939855174735E-3</v>
      </c>
      <c r="K24" s="42">
        <f t="shared" si="10"/>
        <v>7.2128849165648866E-3</v>
      </c>
      <c r="L24" s="42">
        <f t="shared" si="11"/>
        <v>9.293650282958409E-3</v>
      </c>
      <c r="M24" s="42">
        <f t="shared" si="12"/>
        <v>1.1730647274366394E-2</v>
      </c>
      <c r="N24" s="5"/>
      <c r="O24" s="47">
        <f t="shared" si="0"/>
        <v>-4483000</v>
      </c>
      <c r="P24" s="32">
        <f t="shared" si="1"/>
        <v>-0.9056565656565656</v>
      </c>
      <c r="Q24" s="47">
        <f t="shared" si="2"/>
        <v>2338812.2325437409</v>
      </c>
      <c r="R24" s="32">
        <f t="shared" si="3"/>
        <v>5.0081632388516937</v>
      </c>
      <c r="S24" s="167">
        <f t="shared" si="4"/>
        <v>487770.44313509203</v>
      </c>
      <c r="T24" s="168">
        <f t="shared" si="5"/>
        <v>0.17384286713044972</v>
      </c>
      <c r="U24" s="167">
        <f t="shared" si="6"/>
        <v>493779.71298504248</v>
      </c>
      <c r="V24" s="169">
        <f t="shared" si="7"/>
        <v>0.14992176046811112</v>
      </c>
    </row>
    <row r="25" spans="1:22" ht="15.75" customHeight="1" x14ac:dyDescent="0.25">
      <c r="A25" s="38" t="s">
        <v>90</v>
      </c>
      <c r="B25" s="91">
        <v>13046000</v>
      </c>
      <c r="C25" s="48">
        <f>C23-C24</f>
        <v>13129000</v>
      </c>
      <c r="D25" s="48">
        <f>D23-D24</f>
        <v>4683000</v>
      </c>
      <c r="E25" s="48">
        <f>E23-E24</f>
        <v>12590522.71861567</v>
      </c>
      <c r="F25" s="48">
        <f>F23-F24</f>
        <v>14779295.286690881</v>
      </c>
      <c r="G25" s="48">
        <f>G23-G24</f>
        <v>16995033.254549634</v>
      </c>
      <c r="H25" s="5"/>
      <c r="I25" s="42">
        <f t="shared" si="8"/>
        <v>2.4423047588575171E-2</v>
      </c>
      <c r="J25" s="42">
        <f t="shared" si="9"/>
        <v>1.0168166668476078E-2</v>
      </c>
      <c r="K25" s="42">
        <f t="shared" si="10"/>
        <v>3.2366382310065986E-2</v>
      </c>
      <c r="L25" s="42">
        <f t="shared" si="11"/>
        <v>4.1703401841816819E-2</v>
      </c>
      <c r="M25" s="42">
        <f t="shared" si="12"/>
        <v>5.2638939733353866E-2</v>
      </c>
      <c r="N25" s="5"/>
      <c r="O25" s="47">
        <f t="shared" si="0"/>
        <v>-8446000</v>
      </c>
      <c r="P25" s="32">
        <f t="shared" si="1"/>
        <v>-0.64330870591819633</v>
      </c>
      <c r="Q25" s="47">
        <f t="shared" si="2"/>
        <v>7907522.7186156698</v>
      </c>
      <c r="R25" s="32">
        <f t="shared" si="3"/>
        <v>1.6885591968002713</v>
      </c>
      <c r="S25" s="167">
        <f t="shared" si="4"/>
        <v>2188772.5680752117</v>
      </c>
      <c r="T25" s="168">
        <f t="shared" si="5"/>
        <v>0.17384286713044972</v>
      </c>
      <c r="U25" s="167">
        <f t="shared" si="6"/>
        <v>2215737.9678587522</v>
      </c>
      <c r="V25" s="169">
        <f t="shared" si="7"/>
        <v>0.1499217604681109</v>
      </c>
    </row>
    <row r="26" spans="1:22" ht="15.75" customHeight="1" x14ac:dyDescent="0.25">
      <c r="A26" s="38" t="s">
        <v>91</v>
      </c>
      <c r="B26" s="92" t="s">
        <v>11</v>
      </c>
      <c r="C26" s="38" t="s">
        <v>11</v>
      </c>
      <c r="D26" s="38" t="s">
        <v>11</v>
      </c>
      <c r="E26" s="38" t="s">
        <v>11</v>
      </c>
      <c r="F26" s="38" t="s">
        <v>11</v>
      </c>
      <c r="G26" s="38" t="s">
        <v>11</v>
      </c>
      <c r="H26" s="5"/>
      <c r="I26" s="42">
        <f t="shared" si="8"/>
        <v>0</v>
      </c>
      <c r="J26" s="42">
        <f t="shared" si="9"/>
        <v>0</v>
      </c>
      <c r="K26" s="42">
        <f t="shared" si="10"/>
        <v>0</v>
      </c>
      <c r="L26" s="42">
        <f t="shared" si="11"/>
        <v>0</v>
      </c>
      <c r="M26" s="42">
        <f t="shared" si="12"/>
        <v>0</v>
      </c>
      <c r="N26" s="5"/>
      <c r="O26" s="47">
        <f t="shared" si="0"/>
        <v>0</v>
      </c>
      <c r="P26" s="32">
        <f t="shared" si="1"/>
        <v>0</v>
      </c>
      <c r="Q26" s="47">
        <f t="shared" si="2"/>
        <v>0</v>
      </c>
      <c r="R26" s="32">
        <f t="shared" si="3"/>
        <v>0</v>
      </c>
      <c r="S26" s="167">
        <f t="shared" si="4"/>
        <v>0</v>
      </c>
      <c r="T26" s="168">
        <f t="shared" si="5"/>
        <v>0</v>
      </c>
      <c r="U26" s="167">
        <f t="shared" si="6"/>
        <v>0</v>
      </c>
      <c r="V26" s="169">
        <f t="shared" si="7"/>
        <v>0</v>
      </c>
    </row>
    <row r="27" spans="1:22" ht="15.75" customHeight="1" x14ac:dyDescent="0.25">
      <c r="A27" s="38" t="s">
        <v>70</v>
      </c>
      <c r="B27" s="91">
        <v>13046000</v>
      </c>
      <c r="C27" s="39">
        <v>13129000</v>
      </c>
      <c r="D27" s="39">
        <v>4683000</v>
      </c>
      <c r="E27" s="48">
        <f>E25</f>
        <v>12590522.71861567</v>
      </c>
      <c r="F27" s="48">
        <f>F25</f>
        <v>14779295.286690881</v>
      </c>
      <c r="G27" s="48">
        <f>G25</f>
        <v>16995033.254549634</v>
      </c>
      <c r="H27" s="5"/>
      <c r="I27" s="42">
        <f t="shared" si="8"/>
        <v>2.4423047588575171E-2</v>
      </c>
      <c r="J27" s="42">
        <f t="shared" si="9"/>
        <v>1.0168166668476078E-2</v>
      </c>
      <c r="K27" s="42">
        <f t="shared" si="10"/>
        <v>3.2366382310065986E-2</v>
      </c>
      <c r="L27" s="42">
        <f t="shared" si="11"/>
        <v>4.1703401841816819E-2</v>
      </c>
      <c r="M27" s="42">
        <f t="shared" si="12"/>
        <v>5.2638939733353866E-2</v>
      </c>
      <c r="N27" s="5"/>
      <c r="O27" s="47">
        <f t="shared" si="0"/>
        <v>-8446000</v>
      </c>
      <c r="P27" s="32">
        <f t="shared" si="1"/>
        <v>-0.64330870591819633</v>
      </c>
      <c r="Q27" s="47">
        <f t="shared" si="2"/>
        <v>7907522.7186156698</v>
      </c>
      <c r="R27" s="32">
        <f t="shared" si="3"/>
        <v>1.6885591968002713</v>
      </c>
      <c r="S27" s="167">
        <f t="shared" si="4"/>
        <v>2188772.5680752117</v>
      </c>
      <c r="T27" s="168">
        <f t="shared" si="5"/>
        <v>0.17384286713044972</v>
      </c>
      <c r="U27" s="167">
        <f t="shared" si="6"/>
        <v>2215737.9678587522</v>
      </c>
      <c r="V27" s="169">
        <f t="shared" si="7"/>
        <v>0.1499217604681109</v>
      </c>
    </row>
    <row r="28" spans="1:22" x14ac:dyDescent="0.25">
      <c r="A28" s="5"/>
      <c r="B28" s="5"/>
      <c r="C28" s="5"/>
      <c r="D28" s="5"/>
      <c r="E28" s="5"/>
      <c r="F28" s="5"/>
      <c r="G28" s="5"/>
      <c r="H28" s="5"/>
      <c r="I28" s="40"/>
      <c r="J28" s="40"/>
      <c r="K28" s="40"/>
      <c r="L28" s="40"/>
      <c r="M28" s="40"/>
      <c r="N28" s="5"/>
      <c r="O28" s="5"/>
      <c r="P28" s="5"/>
      <c r="Q28" s="5"/>
      <c r="R28" s="5"/>
      <c r="S28" s="5"/>
      <c r="T28" s="5"/>
      <c r="U28" s="5"/>
      <c r="V28" s="5"/>
    </row>
    <row r="29" spans="1:22" x14ac:dyDescent="0.25">
      <c r="A29" s="289" t="s">
        <v>378</v>
      </c>
    </row>
    <row r="30" spans="1:22" x14ac:dyDescent="0.25">
      <c r="A30" s="20" t="s">
        <v>4</v>
      </c>
      <c r="B30" s="102" t="s">
        <v>1</v>
      </c>
      <c r="C30" s="21" t="s">
        <v>1</v>
      </c>
      <c r="D30" s="21" t="s">
        <v>1</v>
      </c>
      <c r="E30" s="22"/>
      <c r="F30" s="22"/>
      <c r="G30" s="22"/>
      <c r="I30" s="29"/>
      <c r="J30" s="29"/>
      <c r="K30" s="29"/>
      <c r="L30" s="29"/>
      <c r="M30" s="29"/>
      <c r="O30" s="46"/>
      <c r="P30" s="30"/>
      <c r="Q30" s="46"/>
      <c r="R30" s="30"/>
      <c r="S30" s="167"/>
      <c r="T30" s="46"/>
      <c r="U30" s="167"/>
      <c r="V30" s="46"/>
    </row>
    <row r="31" spans="1:22" x14ac:dyDescent="0.25">
      <c r="A31" s="20" t="s">
        <v>5</v>
      </c>
      <c r="B31" s="102" t="s">
        <v>1</v>
      </c>
      <c r="C31" s="21" t="s">
        <v>1</v>
      </c>
      <c r="D31" s="21" t="s">
        <v>1</v>
      </c>
      <c r="E31" s="25"/>
      <c r="F31" s="25"/>
      <c r="G31" s="25"/>
      <c r="I31" s="29"/>
      <c r="J31" s="29"/>
      <c r="K31" s="29"/>
      <c r="L31" s="29"/>
      <c r="M31" s="29"/>
      <c r="O31" s="46"/>
      <c r="P31" s="30"/>
      <c r="Q31" s="46"/>
      <c r="R31" s="30"/>
      <c r="S31" s="167"/>
      <c r="T31" s="46"/>
      <c r="U31" s="167"/>
      <c r="V31" s="46"/>
    </row>
    <row r="32" spans="1:22" x14ac:dyDescent="0.25">
      <c r="A32" s="23" t="s">
        <v>6</v>
      </c>
      <c r="B32" s="103">
        <v>34755000</v>
      </c>
      <c r="C32" s="24">
        <v>45062000</v>
      </c>
      <c r="D32" s="24">
        <v>38144000</v>
      </c>
      <c r="E32" s="291">
        <f>Consolidado!C134</f>
        <v>75839032.343615636</v>
      </c>
      <c r="F32" s="290">
        <f>Consolidado!D134</f>
        <v>89933237.99835138</v>
      </c>
      <c r="G32" s="290">
        <f>Consolidado!E134</f>
        <v>106429650.55135845</v>
      </c>
      <c r="I32" s="30">
        <f>IFERROR(Consolidado!C32/Consolidado!$C$57,)</f>
        <v>0.14221153421320054</v>
      </c>
      <c r="J32" s="30">
        <f>IFERROR(Consolidado!D32/Consolidado!$D$57,)</f>
        <v>0.12954321616573272</v>
      </c>
      <c r="K32" s="30">
        <f>IFERROR(Consolidado!E32/Consolidado!$E$57,)</f>
        <v>0.26845601216955961</v>
      </c>
      <c r="L32" s="30">
        <f>IFERROR(Consolidado!F32/Consolidado!$F$57,)</f>
        <v>0.3232586765323669</v>
      </c>
      <c r="M32" s="30">
        <f>IFERROR(Consolidado!G32/Consolidado!$G$57,)</f>
        <v>0.38290404682702162</v>
      </c>
      <c r="O32" s="46">
        <f>IFERROR(Consolidado!D32-Consolidado!C32,)</f>
        <v>-6918000</v>
      </c>
      <c r="P32" s="30">
        <f>IFERROR(Consolidado!D32/Consolidado!C32-1,)</f>
        <v>-0.15352181438906398</v>
      </c>
      <c r="Q32" s="46">
        <f>IFERROR(Consolidado!E32-Consolidado!D32,)</f>
        <v>37695032.343615636</v>
      </c>
      <c r="R32" s="30">
        <f>IFERROR(Consolidado!E32/Consolidado!D32-1,)</f>
        <v>0.98822966504864818</v>
      </c>
      <c r="S32" s="167">
        <f>IFERROR(Consolidado!F32-Consolidado!E32,0)</f>
        <v>14094205.654735744</v>
      </c>
      <c r="T32" s="168">
        <f>IFERROR(Consolidado!F32/Consolidado!E32-1,0)</f>
        <v>0.18584369050065064</v>
      </c>
      <c r="U32" s="167">
        <f>IFERROR(Consolidado!G32-Consolidado!F32,0)</f>
        <v>16496412.553007066</v>
      </c>
      <c r="V32" s="169">
        <f>IFERROR(Consolidado!G32/Consolidado!F32-1,0)</f>
        <v>0.18342954084795071</v>
      </c>
    </row>
    <row r="33" spans="1:22" ht="31.5" x14ac:dyDescent="0.25">
      <c r="A33" s="23" t="s">
        <v>7</v>
      </c>
      <c r="B33" s="103">
        <v>89115000</v>
      </c>
      <c r="C33" s="24">
        <v>91393000</v>
      </c>
      <c r="D33" s="24">
        <v>83645000</v>
      </c>
      <c r="E33" s="109">
        <f>Supuestos!$M$12*Supuestos!M6/365</f>
        <v>68392121.176266104</v>
      </c>
      <c r="F33" s="109">
        <f>Supuestos!$M$12*Supuestos!N6/365</f>
        <v>62307268.955766454</v>
      </c>
      <c r="G33" s="109">
        <f>Supuestos!$M$12*Supuestos!O6/365</f>
        <v>56763786.499919884</v>
      </c>
      <c r="I33" s="30">
        <f>IFERROR(Consolidado!C33/Consolidado!$C$57,)</f>
        <v>0.28842791590135891</v>
      </c>
      <c r="J33" s="30">
        <f>IFERROR(Consolidado!D33/Consolidado!$D$57,)</f>
        <v>0.28407199864153504</v>
      </c>
      <c r="K33" s="30">
        <f>IFERROR(Consolidado!E33/Consolidado!$E$57,)</f>
        <v>0.24209533728766403</v>
      </c>
      <c r="L33" s="30">
        <f>IFERROR(Consolidado!F33/Consolidado!$F$57,)</f>
        <v>0.2239590806388681</v>
      </c>
      <c r="M33" s="30">
        <f>IFERROR(Consolidado!G33/Consolidado!$G$57,)</f>
        <v>0.20422019100359584</v>
      </c>
      <c r="O33" s="46">
        <f>IFERROR(Consolidado!D33-Consolidado!C33,)</f>
        <v>-7748000</v>
      </c>
      <c r="P33" s="30">
        <f>IFERROR(Consolidado!D33/Consolidado!C33-1,)</f>
        <v>-8.4776733447857078E-2</v>
      </c>
      <c r="Q33" s="46">
        <f>IFERROR(Consolidado!E33-Consolidado!D33,)</f>
        <v>-15252878.823733896</v>
      </c>
      <c r="R33" s="30">
        <f>IFERROR(Consolidado!E33/Consolidado!D33-1,)</f>
        <v>-0.18235254735768902</v>
      </c>
      <c r="S33" s="167">
        <f>IFERROR(Consolidado!F33-Consolidado!E33,0)</f>
        <v>-6084852.2204996496</v>
      </c>
      <c r="T33" s="168">
        <f>IFERROR(Consolidado!F33/Consolidado!E33-1,0)</f>
        <v>-8.8970076024067812E-2</v>
      </c>
      <c r="U33" s="167">
        <f>IFERROR(Consolidado!G33-Consolidado!F33,0)</f>
        <v>-5543482.4558465704</v>
      </c>
      <c r="V33" s="169">
        <f>IFERROR(Consolidado!G33/Consolidado!F33-1,0)</f>
        <v>-8.897007602406759E-2</v>
      </c>
    </row>
    <row r="34" spans="1:22" x14ac:dyDescent="0.25">
      <c r="A34" s="23" t="s">
        <v>8</v>
      </c>
      <c r="B34" s="103">
        <v>102928000</v>
      </c>
      <c r="C34" s="24">
        <v>108507000</v>
      </c>
      <c r="D34" s="24">
        <v>96467000</v>
      </c>
      <c r="E34" s="109">
        <f>Supuestos!$M$15*Supuestos!M7/365</f>
        <v>80075616.868318975</v>
      </c>
      <c r="F34" s="109">
        <f>Supuestos!$M$15*Supuestos!N7/365</f>
        <v>72951283.147870496</v>
      </c>
      <c r="G34" s="109">
        <f>Supuestos!$M$15*Supuestos!O7/365</f>
        <v>66460801.94015117</v>
      </c>
      <c r="I34" s="30">
        <f>IFERROR(Consolidado!C34/Consolidado!$C$57,)</f>
        <v>0.34243812842021548</v>
      </c>
      <c r="J34" s="30">
        <f>IFERROR(Consolidado!D34/Consolidado!$D$57,)</f>
        <v>0.32761759212090336</v>
      </c>
      <c r="K34" s="30">
        <f>IFERROR(Consolidado!E34/Consolidado!$E$57,)</f>
        <v>0.28345273023906264</v>
      </c>
      <c r="L34" s="30">
        <f>IFERROR(Consolidado!F34/Consolidado!$F$57,)</f>
        <v>0.26221823840203412</v>
      </c>
      <c r="M34" s="30">
        <f>IFERROR(Consolidado!G34/Consolidado!$G$57,)</f>
        <v>0.23910733415377391</v>
      </c>
      <c r="O34" s="46">
        <f>IFERROR(Consolidado!D34-Consolidado!C34,)</f>
        <v>-12040000</v>
      </c>
      <c r="P34" s="30">
        <f>IFERROR(Consolidado!D34/Consolidado!C34-1,)</f>
        <v>-0.11096058318818136</v>
      </c>
      <c r="Q34" s="46">
        <f>IFERROR(Consolidado!E34-Consolidado!D34,)</f>
        <v>-16391383.131681025</v>
      </c>
      <c r="R34" s="30">
        <f>IFERROR(Consolidado!E34/Consolidado!D34-1,)</f>
        <v>-0.16991699888750578</v>
      </c>
      <c r="S34" s="167">
        <f>IFERROR(Consolidado!F34-Consolidado!E34,0)</f>
        <v>-7124333.7204484791</v>
      </c>
      <c r="T34" s="168">
        <f>IFERROR(Consolidado!F34/Consolidado!E34-1,0)</f>
        <v>-8.8970076024067923E-2</v>
      </c>
      <c r="U34" s="167">
        <f>IFERROR(Consolidado!G34-Consolidado!F34,0)</f>
        <v>-6490481.207719326</v>
      </c>
      <c r="V34" s="169">
        <f>IFERROR(Consolidado!G34/Consolidado!F34-1,0)</f>
        <v>-8.8970076024067701E-2</v>
      </c>
    </row>
    <row r="35" spans="1:22" x14ac:dyDescent="0.25">
      <c r="A35" s="181" t="s">
        <v>9</v>
      </c>
      <c r="B35" s="103">
        <v>3040000</v>
      </c>
      <c r="C35" s="24">
        <v>4421000</v>
      </c>
      <c r="D35" s="24">
        <v>5180000</v>
      </c>
      <c r="E35" s="117">
        <f>Supuestos!$M$38*Supuestos!M6</f>
        <v>3787188.4454537868</v>
      </c>
      <c r="F35" s="117">
        <f>Supuestos!$M$38*Supuestos!N6</f>
        <v>3450242.0015442926</v>
      </c>
      <c r="G35" s="117">
        <f>Supuestos!$M$38*Supuestos!O6</f>
        <v>3143273.708365465</v>
      </c>
      <c r="I35" s="30">
        <f>IFERROR(Consolidado!C35/Consolidado!$C$57,)</f>
        <v>1.3952270044750779E-2</v>
      </c>
      <c r="J35" s="30">
        <f>IFERROR(Consolidado!D35/Consolidado!$D$57,)</f>
        <v>1.7592120903379183E-2</v>
      </c>
      <c r="K35" s="30">
        <f>IFERROR(Consolidado!E35/Consolidado!$E$57,)</f>
        <v>1.3405939870048272E-2</v>
      </c>
      <c r="L35" s="30">
        <f>IFERROR(Consolidado!F35/Consolidado!$F$57,)</f>
        <v>1.2401651357822101E-2</v>
      </c>
      <c r="M35" s="30">
        <f>IFERROR(Consolidado!G35/Consolidado!$G$57,)</f>
        <v>1.1308617635997244E-2</v>
      </c>
      <c r="O35" s="46">
        <f>IFERROR(Consolidado!D35-Consolidado!C35,)</f>
        <v>759000</v>
      </c>
      <c r="P35" s="30">
        <f>IFERROR(Consolidado!D35/Consolidado!C35-1,)</f>
        <v>0.17168061524541955</v>
      </c>
      <c r="Q35" s="46">
        <f>IFERROR(Consolidado!E35-Consolidado!D35,)</f>
        <v>-1392811.5545462132</v>
      </c>
      <c r="R35" s="30">
        <f>IFERROR(Consolidado!E35/Consolidado!D35-1,)</f>
        <v>-0.26888253948768592</v>
      </c>
      <c r="S35" s="167">
        <f>IFERROR(Consolidado!F35-Consolidado!E35,0)</f>
        <v>-336946.44390949421</v>
      </c>
      <c r="T35" s="168">
        <f>IFERROR(Consolidado!F35/Consolidado!E35-1,0)</f>
        <v>-8.8970076024067701E-2</v>
      </c>
      <c r="U35" s="167">
        <f>IFERROR(Consolidado!G35-Consolidado!F35,0)</f>
        <v>-306968.2931788275</v>
      </c>
      <c r="V35" s="169">
        <f>IFERROR(Consolidado!G35/Consolidado!F35-1,0)</f>
        <v>-8.8970076024067812E-2</v>
      </c>
    </row>
    <row r="36" spans="1:22" x14ac:dyDescent="0.25">
      <c r="A36" s="23" t="s">
        <v>10</v>
      </c>
      <c r="B36" s="104" t="s">
        <v>11</v>
      </c>
      <c r="C36" s="23" t="s">
        <v>11</v>
      </c>
      <c r="D36" s="23" t="s">
        <v>11</v>
      </c>
      <c r="E36" s="23" t="s">
        <v>11</v>
      </c>
      <c r="F36" s="23" t="s">
        <v>11</v>
      </c>
      <c r="G36" s="23" t="s">
        <v>11</v>
      </c>
      <c r="I36" s="30">
        <f>IFERROR(Consolidado!C36/Consolidado!$C$57,)</f>
        <v>0</v>
      </c>
      <c r="J36" s="30">
        <f>IFERROR(Consolidado!D36/Consolidado!$D$57,)</f>
        <v>0</v>
      </c>
      <c r="K36" s="30">
        <f>IFERROR(Consolidado!E36/Consolidado!$E$57,)</f>
        <v>0</v>
      </c>
      <c r="L36" s="30">
        <f>IFERROR(Consolidado!F36/Consolidado!$F$57,)</f>
        <v>0</v>
      </c>
      <c r="M36" s="30">
        <f>IFERROR(Consolidado!G36/Consolidado!$G$57,)</f>
        <v>0</v>
      </c>
      <c r="O36" s="46">
        <f>IFERROR(Consolidado!D36-Consolidado!C36,)</f>
        <v>0</v>
      </c>
      <c r="P36" s="30">
        <f>IFERROR(Consolidado!D36/Consolidado!C36-1,)</f>
        <v>0</v>
      </c>
      <c r="Q36" s="46">
        <f>IFERROR(Consolidado!E36-Consolidado!D36,)</f>
        <v>0</v>
      </c>
      <c r="R36" s="30">
        <f>IFERROR(Consolidado!E36/Consolidado!D36-1,)</f>
        <v>0</v>
      </c>
      <c r="S36" s="167">
        <f>IFERROR(Consolidado!F36-Consolidado!E36,0)</f>
        <v>0</v>
      </c>
      <c r="T36" s="168">
        <f>IFERROR(Consolidado!F36/Consolidado!E36-1,0)</f>
        <v>0</v>
      </c>
      <c r="U36" s="167">
        <f>IFERROR(Consolidado!G36-Consolidado!F36,0)</f>
        <v>0</v>
      </c>
      <c r="V36" s="169">
        <f>IFERROR(Consolidado!G36/Consolidado!F36-1,0)</f>
        <v>0</v>
      </c>
    </row>
    <row r="37" spans="1:22" x14ac:dyDescent="0.25">
      <c r="A37" s="181" t="s">
        <v>12</v>
      </c>
      <c r="B37" s="103">
        <v>3822000</v>
      </c>
      <c r="C37" s="24">
        <v>2567000</v>
      </c>
      <c r="D37" s="24">
        <v>2232000</v>
      </c>
      <c r="E37" s="25">
        <f>Supuestos!$M$24*Supuestos!M6</f>
        <v>1871392.3141638925</v>
      </c>
      <c r="F37" s="25">
        <f>Supuestos!$M$24*Supuestos!N6</f>
        <v>1704894.3977018751</v>
      </c>
      <c r="G37" s="25">
        <f>Supuestos!$M$24*Supuestos!O6</f>
        <v>1553209.8135253321</v>
      </c>
      <c r="I37" s="30">
        <f>IFERROR(Consolidado!C37/Consolidado!$C$57,)</f>
        <v>8.1012162870109129E-3</v>
      </c>
      <c r="J37" s="30">
        <f>IFERROR(Consolidado!D37/Consolidado!$D$57,)</f>
        <v>7.5802343352012226E-3</v>
      </c>
      <c r="K37" s="30">
        <f>IFERROR(Consolidado!E37/Consolidado!$E$57,)</f>
        <v>6.6243793247382421E-3</v>
      </c>
      <c r="L37" s="30">
        <f>IFERROR(Consolidado!F37/Consolidado!$F$57,)</f>
        <v>6.1281225817606819E-3</v>
      </c>
      <c r="M37" s="30">
        <f>IFERROR(Consolidado!G37/Consolidado!$G$57,)</f>
        <v>5.5880134914405421E-3</v>
      </c>
      <c r="O37" s="46">
        <f>IFERROR(Consolidado!D37-Consolidado!C37,)</f>
        <v>-335000</v>
      </c>
      <c r="P37" s="30">
        <f>IFERROR(Consolidado!D37/Consolidado!C37-1,)</f>
        <v>-0.13050253213868324</v>
      </c>
      <c r="Q37" s="46">
        <f>IFERROR(Consolidado!E37-Consolidado!D37,)</f>
        <v>-360607.68583610747</v>
      </c>
      <c r="R37" s="30">
        <f>IFERROR(Consolidado!E37/Consolidado!D37-1,)</f>
        <v>-0.1615625832599048</v>
      </c>
      <c r="S37" s="167">
        <f>IFERROR(Consolidado!F37-Consolidado!E37,0)</f>
        <v>-166497.91646201746</v>
      </c>
      <c r="T37" s="168">
        <f>IFERROR(Consolidado!F37/Consolidado!E37-1,0)</f>
        <v>-8.8970076024067701E-2</v>
      </c>
      <c r="U37" s="167">
        <f>IFERROR(Consolidado!G37-Consolidado!F37,0)</f>
        <v>-151684.58417654294</v>
      </c>
      <c r="V37" s="169">
        <f>IFERROR(Consolidado!G37/Consolidado!F37-1,0)</f>
        <v>-8.8970076024067701E-2</v>
      </c>
    </row>
    <row r="38" spans="1:22" x14ac:dyDescent="0.25">
      <c r="A38" s="23" t="s">
        <v>13</v>
      </c>
      <c r="B38" s="104" t="s">
        <v>11</v>
      </c>
      <c r="C38" s="23" t="s">
        <v>11</v>
      </c>
      <c r="D38" s="23" t="s">
        <v>11</v>
      </c>
      <c r="E38" s="23"/>
      <c r="F38" s="23"/>
      <c r="G38" s="23"/>
      <c r="I38" s="30">
        <f>IFERROR(Consolidado!C38/Consolidado!$C$57,)</f>
        <v>0</v>
      </c>
      <c r="J38" s="30">
        <f>IFERROR(Consolidado!D38/Consolidado!$D$57,)</f>
        <v>0</v>
      </c>
      <c r="K38" s="30">
        <f>IFERROR(Consolidado!E38/Consolidado!$E$57,)</f>
        <v>0</v>
      </c>
      <c r="L38" s="30">
        <f>IFERROR(Consolidado!F38/Consolidado!$F$57,)</f>
        <v>0</v>
      </c>
      <c r="M38" s="30">
        <f>IFERROR(Consolidado!G38/Consolidado!$G$57,)</f>
        <v>0</v>
      </c>
      <c r="O38" s="46">
        <f>IFERROR(Consolidado!D38-Consolidado!C38,)</f>
        <v>0</v>
      </c>
      <c r="P38" s="30">
        <f>IFERROR(Consolidado!D38/Consolidado!C38-1,)</f>
        <v>0</v>
      </c>
      <c r="Q38" s="46">
        <f>IFERROR(Consolidado!E38-Consolidado!D38,)</f>
        <v>0</v>
      </c>
      <c r="R38" s="30">
        <f>IFERROR(Consolidado!E38/Consolidado!D38-1,)</f>
        <v>0</v>
      </c>
      <c r="S38" s="167">
        <f>IFERROR(Consolidado!F38-Consolidado!E38,0)</f>
        <v>0</v>
      </c>
      <c r="T38" s="168">
        <f>IFERROR(Consolidado!F38/Consolidado!E38-1,0)</f>
        <v>0</v>
      </c>
      <c r="U38" s="167">
        <f>IFERROR(Consolidado!G38-Consolidado!F38,0)</f>
        <v>0</v>
      </c>
      <c r="V38" s="169">
        <f>IFERROR(Consolidado!G38/Consolidado!F38-1,0)</f>
        <v>0</v>
      </c>
    </row>
    <row r="39" spans="1:22" ht="63" x14ac:dyDescent="0.25">
      <c r="A39" s="23" t="s">
        <v>14</v>
      </c>
      <c r="B39" s="104" t="s">
        <v>11</v>
      </c>
      <c r="C39" s="23" t="s">
        <v>11</v>
      </c>
      <c r="D39" s="23" t="s">
        <v>11</v>
      </c>
      <c r="E39" s="23" t="s">
        <v>11</v>
      </c>
      <c r="F39" s="23" t="s">
        <v>11</v>
      </c>
      <c r="G39" s="23" t="s">
        <v>11</v>
      </c>
      <c r="I39" s="30">
        <f>IFERROR(Consolidado!C39/Consolidado!$C$57,)</f>
        <v>0</v>
      </c>
      <c r="J39" s="30">
        <f>IFERROR(Consolidado!D39/Consolidado!$D$57,)</f>
        <v>0</v>
      </c>
      <c r="K39" s="30">
        <f>IFERROR(Consolidado!E39/Consolidado!$E$57,)</f>
        <v>0</v>
      </c>
      <c r="L39" s="30">
        <f>IFERROR(Consolidado!F39/Consolidado!$F$57,)</f>
        <v>0</v>
      </c>
      <c r="M39" s="30">
        <f>IFERROR(Consolidado!G39/Consolidado!$G$57,)</f>
        <v>0</v>
      </c>
      <c r="O39" s="46">
        <f>IFERROR(Consolidado!D39-Consolidado!C39,)</f>
        <v>0</v>
      </c>
      <c r="P39" s="30">
        <f>IFERROR(Consolidado!D39/Consolidado!C39-1,)</f>
        <v>0</v>
      </c>
      <c r="Q39" s="46">
        <f>IFERROR(Consolidado!E39-Consolidado!D39,)</f>
        <v>0</v>
      </c>
      <c r="R39" s="30">
        <f>IFERROR(Consolidado!E39/Consolidado!D39-1,)</f>
        <v>0</v>
      </c>
      <c r="S39" s="167">
        <f>IFERROR(Consolidado!F39-Consolidado!E39,0)</f>
        <v>0</v>
      </c>
      <c r="T39" s="168">
        <f>IFERROR(Consolidado!F39/Consolidado!E39-1,0)</f>
        <v>0</v>
      </c>
      <c r="U39" s="167">
        <f>IFERROR(Consolidado!G39-Consolidado!F39,0)</f>
        <v>0</v>
      </c>
      <c r="V39" s="169">
        <f>IFERROR(Consolidado!G39/Consolidado!F39-1,0)</f>
        <v>0</v>
      </c>
    </row>
    <row r="40" spans="1:22" ht="63" x14ac:dyDescent="0.25">
      <c r="A40" s="23" t="s">
        <v>15</v>
      </c>
      <c r="B40" s="25">
        <f t="shared" ref="B40:G40" si="13">SUM(B32:B39)</f>
        <v>233660000</v>
      </c>
      <c r="C40" s="25">
        <f t="shared" si="13"/>
        <v>251950000</v>
      </c>
      <c r="D40" s="25">
        <f t="shared" si="13"/>
        <v>225668000</v>
      </c>
      <c r="E40" s="25">
        <f t="shared" si="13"/>
        <v>229965351.14781839</v>
      </c>
      <c r="F40" s="25">
        <f t="shared" si="13"/>
        <v>230346926.5012345</v>
      </c>
      <c r="G40" s="25">
        <f t="shared" si="13"/>
        <v>234350722.5133203</v>
      </c>
      <c r="I40" s="30">
        <f>IFERROR(Consolidado!C40/Consolidado!$C$57,)</f>
        <v>0.79513106486653662</v>
      </c>
      <c r="J40" s="30">
        <f>IFERROR(Consolidado!D40/Consolidado!$D$57,)</f>
        <v>0.76640516216675159</v>
      </c>
      <c r="K40" s="30">
        <f>IFERROR(Consolidado!E40/Consolidado!$E$57,)</f>
        <v>0.81403439889107276</v>
      </c>
      <c r="L40" s="30">
        <f>IFERROR(Consolidado!F40/Consolidado!$F$57,)</f>
        <v>0.82796576951285195</v>
      </c>
      <c r="M40" s="30">
        <f>IFERROR(Consolidado!G40/Consolidado!$G$57,)</f>
        <v>0.84312820311182912</v>
      </c>
      <c r="O40" s="46">
        <f>IFERROR(Consolidado!D40-Consolidado!C40,)</f>
        <v>-26282000</v>
      </c>
      <c r="P40" s="30">
        <f>IFERROR(Consolidado!D40/Consolidado!C40-1,)</f>
        <v>-0.10431434808493745</v>
      </c>
      <c r="Q40" s="46">
        <f>IFERROR(Consolidado!E40-Consolidado!D40,)</f>
        <v>4297351.1478183866</v>
      </c>
      <c r="R40" s="30">
        <f>IFERROR(Consolidado!E40/Consolidado!D40-1,)</f>
        <v>1.9042802470081721E-2</v>
      </c>
      <c r="S40" s="167">
        <f>IFERROR(Consolidado!F40-Consolidado!E40,0)</f>
        <v>381575.35341611505</v>
      </c>
      <c r="T40" s="168">
        <f>IFERROR(Consolidado!F40/Consolidado!E40-1,0)</f>
        <v>1.6592732405624755E-3</v>
      </c>
      <c r="U40" s="167">
        <f>IFERROR(Consolidado!G40-Consolidado!F40,0)</f>
        <v>4003796.0120857954</v>
      </c>
      <c r="V40" s="169">
        <f>IFERROR(Consolidado!G40/Consolidado!F40-1,0)</f>
        <v>1.738159077223167E-2</v>
      </c>
    </row>
    <row r="41" spans="1:22" ht="47.25" x14ac:dyDescent="0.25">
      <c r="A41" s="23" t="s">
        <v>16</v>
      </c>
      <c r="B41" s="104" t="s">
        <v>11</v>
      </c>
      <c r="C41" s="23" t="s">
        <v>11</v>
      </c>
      <c r="D41" s="23" t="s">
        <v>11</v>
      </c>
      <c r="E41" s="23" t="s">
        <v>11</v>
      </c>
      <c r="F41" s="23" t="s">
        <v>11</v>
      </c>
      <c r="G41" s="23" t="s">
        <v>11</v>
      </c>
      <c r="I41" s="30">
        <f>IFERROR(Consolidado!C41/Consolidado!$C$57,)</f>
        <v>0</v>
      </c>
      <c r="J41" s="30">
        <f>IFERROR(Consolidado!D41/Consolidado!$D$57,)</f>
        <v>0</v>
      </c>
      <c r="K41" s="30">
        <f>IFERROR(Consolidado!E41/Consolidado!$E$57,)</f>
        <v>0</v>
      </c>
      <c r="L41" s="30">
        <f>IFERROR(Consolidado!F41/Consolidado!$F$57,)</f>
        <v>0</v>
      </c>
      <c r="M41" s="30">
        <f>IFERROR(Consolidado!G41/Consolidado!$G$57,)</f>
        <v>0</v>
      </c>
      <c r="O41" s="46">
        <f>IFERROR(Consolidado!D41-Consolidado!C41,)</f>
        <v>0</v>
      </c>
      <c r="P41" s="30">
        <f>IFERROR(Consolidado!D41/Consolidado!C41-1,)</f>
        <v>0</v>
      </c>
      <c r="Q41" s="46">
        <f>IFERROR(Consolidado!E41-Consolidado!D41,)</f>
        <v>0</v>
      </c>
      <c r="R41" s="30">
        <f>IFERROR(Consolidado!E41/Consolidado!D41-1,)</f>
        <v>0</v>
      </c>
      <c r="S41" s="167">
        <f>IFERROR(Consolidado!F41-Consolidado!E41,0)</f>
        <v>0</v>
      </c>
      <c r="T41" s="168">
        <f>IFERROR(Consolidado!F41/Consolidado!E41-1,0)</f>
        <v>0</v>
      </c>
      <c r="U41" s="167">
        <f>IFERROR(Consolidado!G41-Consolidado!F41,0)</f>
        <v>0</v>
      </c>
      <c r="V41" s="169">
        <f>IFERROR(Consolidado!G41/Consolidado!F41-1,0)</f>
        <v>0</v>
      </c>
    </row>
    <row r="42" spans="1:22" x14ac:dyDescent="0.25">
      <c r="A42" s="23" t="s">
        <v>17</v>
      </c>
      <c r="B42" s="25">
        <f t="shared" ref="B42:G42" si="14">B40</f>
        <v>233660000</v>
      </c>
      <c r="C42" s="25">
        <f t="shared" si="14"/>
        <v>251950000</v>
      </c>
      <c r="D42" s="25">
        <f t="shared" si="14"/>
        <v>225668000</v>
      </c>
      <c r="E42" s="25">
        <f t="shared" si="14"/>
        <v>229965351.14781839</v>
      </c>
      <c r="F42" s="25">
        <f t="shared" si="14"/>
        <v>230346926.5012345</v>
      </c>
      <c r="G42" s="25">
        <f t="shared" si="14"/>
        <v>234350722.5133203</v>
      </c>
      <c r="I42" s="30">
        <f>IFERROR(Consolidado!C42/Consolidado!$C$57,)</f>
        <v>0.79513106486653662</v>
      </c>
      <c r="J42" s="30">
        <f>IFERROR(Consolidado!D42/Consolidado!$D$57,)</f>
        <v>0.76640516216675159</v>
      </c>
      <c r="K42" s="30">
        <f>IFERROR(Consolidado!E42/Consolidado!$E$57,)</f>
        <v>0.81403439889107276</v>
      </c>
      <c r="L42" s="30">
        <f>IFERROR(Consolidado!F42/Consolidado!$F$57,)</f>
        <v>0.82796576951285195</v>
      </c>
      <c r="M42" s="30">
        <f>IFERROR(Consolidado!G42/Consolidado!$G$57,)</f>
        <v>0.84312820311182912</v>
      </c>
      <c r="O42" s="46">
        <f>IFERROR(Consolidado!D42-Consolidado!C42,)</f>
        <v>-26282000</v>
      </c>
      <c r="P42" s="30">
        <f>IFERROR(Consolidado!D42/Consolidado!C42-1,)</f>
        <v>-0.10431434808493745</v>
      </c>
      <c r="Q42" s="46">
        <f>IFERROR(Consolidado!E42-Consolidado!D42,)</f>
        <v>4297351.1478183866</v>
      </c>
      <c r="R42" s="30">
        <f>IFERROR(Consolidado!E42/Consolidado!D42-1,)</f>
        <v>1.9042802470081721E-2</v>
      </c>
      <c r="S42" s="167">
        <f>IFERROR(Consolidado!F42-Consolidado!E42,0)</f>
        <v>381575.35341611505</v>
      </c>
      <c r="T42" s="168">
        <f>IFERROR(Consolidado!F42/Consolidado!E42-1,0)</f>
        <v>1.6592732405624755E-3</v>
      </c>
      <c r="U42" s="167">
        <f>IFERROR(Consolidado!G42-Consolidado!F42,0)</f>
        <v>4003796.0120857954</v>
      </c>
      <c r="V42" s="169">
        <f>IFERROR(Consolidado!G42/Consolidado!F42-1,0)</f>
        <v>1.738159077223167E-2</v>
      </c>
    </row>
    <row r="43" spans="1:22" x14ac:dyDescent="0.25">
      <c r="A43" s="20" t="s">
        <v>18</v>
      </c>
      <c r="B43" s="102" t="s">
        <v>1</v>
      </c>
      <c r="C43" s="21" t="s">
        <v>1</v>
      </c>
      <c r="D43" s="21" t="s">
        <v>1</v>
      </c>
      <c r="E43" s="22"/>
      <c r="F43" s="22"/>
      <c r="G43" s="22"/>
      <c r="I43" s="30">
        <f>IFERROR(Consolidado!C43/Consolidado!$C$57,)</f>
        <v>0</v>
      </c>
      <c r="J43" s="30">
        <f>IFERROR(Consolidado!D43/Consolidado!$D$57,)</f>
        <v>0</v>
      </c>
      <c r="K43" s="30">
        <f>IFERROR(Consolidado!E43/Consolidado!$E$57,)</f>
        <v>0</v>
      </c>
      <c r="L43" s="30">
        <f>IFERROR(Consolidado!F43/Consolidado!$F$57,)</f>
        <v>0</v>
      </c>
      <c r="M43" s="30">
        <f>IFERROR(Consolidado!G43/Consolidado!$G$57,)</f>
        <v>0</v>
      </c>
      <c r="O43" s="46">
        <f>IFERROR(Consolidado!D43-Consolidado!C43,)</f>
        <v>0</v>
      </c>
      <c r="P43" s="30">
        <f>IFERROR(Consolidado!D43/Consolidado!C43-1,)</f>
        <v>0</v>
      </c>
      <c r="Q43" s="46">
        <f>IFERROR(Consolidado!E43-Consolidado!D43,)</f>
        <v>0</v>
      </c>
      <c r="R43" s="30">
        <f>IFERROR(Consolidado!E43/Consolidado!D43-1,)</f>
        <v>0</v>
      </c>
      <c r="S43" s="167">
        <f>IFERROR(Consolidado!F43-Consolidado!E43,0)</f>
        <v>0</v>
      </c>
      <c r="T43" s="168">
        <f>IFERROR(Consolidado!F43/Consolidado!E43-1,0)</f>
        <v>0</v>
      </c>
      <c r="U43" s="167">
        <f>IFERROR(Consolidado!G43-Consolidado!F43,0)</f>
        <v>0</v>
      </c>
      <c r="V43" s="169">
        <f>IFERROR(Consolidado!G43/Consolidado!F43-1,0)</f>
        <v>0</v>
      </c>
    </row>
    <row r="44" spans="1:22" x14ac:dyDescent="0.25">
      <c r="A44" s="23" t="s">
        <v>19</v>
      </c>
      <c r="B44" s="104" t="s">
        <v>11</v>
      </c>
      <c r="C44" s="23" t="s">
        <v>11</v>
      </c>
      <c r="D44" s="23" t="s">
        <v>11</v>
      </c>
      <c r="E44" s="23" t="s">
        <v>11</v>
      </c>
      <c r="F44" s="23" t="s">
        <v>11</v>
      </c>
      <c r="G44" s="23" t="s">
        <v>11</v>
      </c>
      <c r="I44" s="30">
        <f>IFERROR(Consolidado!C44/Consolidado!$C$57,)</f>
        <v>0</v>
      </c>
      <c r="J44" s="30">
        <f>IFERROR(Consolidado!D44/Consolidado!$D$57,)</f>
        <v>0</v>
      </c>
      <c r="K44" s="30">
        <f>IFERROR(Consolidado!E44/Consolidado!$E$57,)</f>
        <v>0</v>
      </c>
      <c r="L44" s="30">
        <f>IFERROR(Consolidado!F44/Consolidado!$F$57,)</f>
        <v>0</v>
      </c>
      <c r="M44" s="30">
        <f>IFERROR(Consolidado!G44/Consolidado!$G$57,)</f>
        <v>0</v>
      </c>
      <c r="O44" s="46">
        <f>IFERROR(Consolidado!D44-Consolidado!C44,)</f>
        <v>0</v>
      </c>
      <c r="P44" s="30">
        <f>IFERROR(Consolidado!D44/Consolidado!C44-1,)</f>
        <v>0</v>
      </c>
      <c r="Q44" s="46">
        <f>IFERROR(Consolidado!E44-Consolidado!D44,)</f>
        <v>0</v>
      </c>
      <c r="R44" s="30">
        <f>IFERROR(Consolidado!E44/Consolidado!D44-1,)</f>
        <v>0</v>
      </c>
      <c r="S44" s="167">
        <f>IFERROR(Consolidado!F44-Consolidado!E44,0)</f>
        <v>0</v>
      </c>
      <c r="T44" s="168">
        <f>IFERROR(Consolidado!F44/Consolidado!E44-1,0)</f>
        <v>0</v>
      </c>
      <c r="U44" s="167">
        <f>IFERROR(Consolidado!G44-Consolidado!F44,0)</f>
        <v>0</v>
      </c>
      <c r="V44" s="169">
        <f>IFERROR(Consolidado!G44/Consolidado!F44-1,0)</f>
        <v>0</v>
      </c>
    </row>
    <row r="45" spans="1:22" x14ac:dyDescent="0.25">
      <c r="A45" s="23" t="s">
        <v>20</v>
      </c>
      <c r="B45" s="103">
        <v>45313000</v>
      </c>
      <c r="C45" s="24">
        <v>31456000</v>
      </c>
      <c r="D45" s="24">
        <v>26352000</v>
      </c>
      <c r="E45" s="109">
        <f>Supuestos!$M$21*Supuestos!M6</f>
        <v>22510171.075565621</v>
      </c>
      <c r="F45" s="109">
        <f>Supuestos!$M$21*Supuestos!N6</f>
        <v>20507439.443657778</v>
      </c>
      <c r="G45" s="109">
        <f>Supuestos!$M$21*Supuestos!O6</f>
        <v>18682890.997296583</v>
      </c>
      <c r="I45" s="30">
        <f>IFERROR(Consolidado!C45/Consolidado!$C$57,)</f>
        <v>9.9272247574684572E-2</v>
      </c>
      <c r="J45" s="30">
        <f>IFERROR(Consolidado!D45/Consolidado!$D$57,)</f>
        <v>8.9495669893020893E-2</v>
      </c>
      <c r="K45" s="30">
        <f>IFERROR(Consolidado!E45/Consolidado!$E$57,)</f>
        <v>7.9681802014838488E-2</v>
      </c>
      <c r="L45" s="30">
        <f>IFERROR(Consolidado!F45/Consolidado!$F$57,)</f>
        <v>7.371254367318561E-2</v>
      </c>
      <c r="M45" s="30">
        <f>IFERROR(Consolidado!G45/Consolidado!$G$57,)</f>
        <v>6.721580435746044E-2</v>
      </c>
      <c r="O45" s="46">
        <f>IFERROR(Consolidado!D45-Consolidado!C45,)</f>
        <v>-5104000</v>
      </c>
      <c r="P45" s="30">
        <f>IFERROR(Consolidado!D45/Consolidado!C45-1,)</f>
        <v>-0.16225839267548325</v>
      </c>
      <c r="Q45" s="46">
        <f>IFERROR(Consolidado!E45-Consolidado!D45,)</f>
        <v>-3841828.9244343787</v>
      </c>
      <c r="R45" s="30">
        <f>IFERROR(Consolidado!E45/Consolidado!D45-1,)</f>
        <v>-0.14578889361089775</v>
      </c>
      <c r="S45" s="167">
        <f>IFERROR(Consolidado!F45-Consolidado!E45,0)</f>
        <v>-2002731.6319078431</v>
      </c>
      <c r="T45" s="168">
        <f>IFERROR(Consolidado!F45/Consolidado!E45-1,0)</f>
        <v>-8.8970076024067701E-2</v>
      </c>
      <c r="U45" s="167">
        <f>IFERROR(Consolidado!G45-Consolidado!F45,0)</f>
        <v>-1824548.4463611953</v>
      </c>
      <c r="V45" s="169">
        <f>IFERROR(Consolidado!G45/Consolidado!F45-1,0)</f>
        <v>-8.897007602406759E-2</v>
      </c>
    </row>
    <row r="46" spans="1:22" x14ac:dyDescent="0.25">
      <c r="A46" s="23" t="s">
        <v>21</v>
      </c>
      <c r="B46" s="104" t="s">
        <v>11</v>
      </c>
      <c r="C46" s="23" t="s">
        <v>11</v>
      </c>
      <c r="D46" s="23" t="s">
        <v>11</v>
      </c>
      <c r="E46" s="23" t="s">
        <v>11</v>
      </c>
      <c r="F46" s="23" t="s">
        <v>11</v>
      </c>
      <c r="G46" s="23" t="s">
        <v>11</v>
      </c>
      <c r="I46" s="30">
        <f>IFERROR(Consolidado!C46/Consolidado!$C$57,)</f>
        <v>0</v>
      </c>
      <c r="J46" s="30">
        <f>IFERROR(Consolidado!D46/Consolidado!$D$57,)</f>
        <v>0</v>
      </c>
      <c r="K46" s="30">
        <f>IFERROR(Consolidado!E46/Consolidado!$E$57,)</f>
        <v>0</v>
      </c>
      <c r="L46" s="30">
        <f>IFERROR(Consolidado!F46/Consolidado!$F$57,)</f>
        <v>0</v>
      </c>
      <c r="M46" s="30">
        <f>IFERROR(Consolidado!G46/Consolidado!$G$57,)</f>
        <v>0</v>
      </c>
      <c r="O46" s="46">
        <f>IFERROR(Consolidado!D46-Consolidado!C46,)</f>
        <v>0</v>
      </c>
      <c r="P46" s="30">
        <f>IFERROR(Consolidado!D46/Consolidado!C46-1,)</f>
        <v>0</v>
      </c>
      <c r="Q46" s="46">
        <f>IFERROR(Consolidado!E46-Consolidado!D46,)</f>
        <v>0</v>
      </c>
      <c r="R46" s="30">
        <f>IFERROR(Consolidado!E46/Consolidado!D46-1,)</f>
        <v>0</v>
      </c>
      <c r="S46" s="167">
        <f>IFERROR(Consolidado!F46-Consolidado!E46,0)</f>
        <v>0</v>
      </c>
      <c r="T46" s="168">
        <f>IFERROR(Consolidado!F46/Consolidado!E46-1,0)</f>
        <v>0</v>
      </c>
      <c r="U46" s="167">
        <f>IFERROR(Consolidado!G46-Consolidado!F46,0)</f>
        <v>0</v>
      </c>
      <c r="V46" s="169">
        <f>IFERROR(Consolidado!G46/Consolidado!F46-1,0)</f>
        <v>0</v>
      </c>
    </row>
    <row r="47" spans="1:22" x14ac:dyDescent="0.25">
      <c r="A47" s="181" t="s">
        <v>22</v>
      </c>
      <c r="B47" s="103">
        <v>12687000</v>
      </c>
      <c r="C47" s="24">
        <v>10954000</v>
      </c>
      <c r="D47" s="24">
        <v>11587000</v>
      </c>
      <c r="E47" s="117">
        <f>Supuestos!$M$41*Supuestos!M6</f>
        <v>8856714.7724024486</v>
      </c>
      <c r="F47" s="117">
        <f>Supuestos!$M$41*Supuestos!N6</f>
        <v>8068732.1857783189</v>
      </c>
      <c r="G47" s="117">
        <f>Supuestos!$M$41*Supuestos!O6</f>
        <v>7350856.4697917802</v>
      </c>
      <c r="I47" s="30">
        <f>IFERROR(Consolidado!C47/Consolidado!$C$57,)</f>
        <v>3.4569818156570918E-2</v>
      </c>
      <c r="J47" s="30">
        <f>IFERROR(Consolidado!D47/Consolidado!$D$57,)</f>
        <v>3.9351332993717097E-2</v>
      </c>
      <c r="K47" s="30">
        <f>IFERROR(Consolidado!E47/Consolidado!$E$57,)</f>
        <v>3.1351116374344762E-2</v>
      </c>
      <c r="L47" s="30">
        <f>IFERROR(Consolidado!F47/Consolidado!$F$57,)</f>
        <v>2.900248835382337E-2</v>
      </c>
      <c r="M47" s="30">
        <f>IFERROR(Consolidado!G47/Consolidado!$G$57,)</f>
        <v>2.6446320882822262E-2</v>
      </c>
      <c r="O47" s="46">
        <f>IFERROR(Consolidado!D47-Consolidado!C47,)</f>
        <v>633000</v>
      </c>
      <c r="P47" s="30">
        <f>IFERROR(Consolidado!D47/Consolidado!C47-1,)</f>
        <v>5.7787109731604946E-2</v>
      </c>
      <c r="Q47" s="46">
        <f>IFERROR(Consolidado!E47-Consolidado!D47,)</f>
        <v>-2730285.2275975514</v>
      </c>
      <c r="R47" s="30">
        <f>IFERROR(Consolidado!E47/Consolidado!D47-1,)</f>
        <v>-0.23563348818482366</v>
      </c>
      <c r="S47" s="167">
        <f>IFERROR(Consolidado!F47-Consolidado!E47,0)</f>
        <v>-787982.58662412968</v>
      </c>
      <c r="T47" s="168">
        <f>IFERROR(Consolidado!F47/Consolidado!E47-1,0)</f>
        <v>-8.8970076024067701E-2</v>
      </c>
      <c r="U47" s="167">
        <f>IFERROR(Consolidado!G47-Consolidado!F47,0)</f>
        <v>-717875.71598653868</v>
      </c>
      <c r="V47" s="169">
        <f>IFERROR(Consolidado!G47/Consolidado!F47-1,0)</f>
        <v>-8.8970076024067701E-2</v>
      </c>
    </row>
    <row r="48" spans="1:22" x14ac:dyDescent="0.25">
      <c r="A48" s="23" t="s">
        <v>23</v>
      </c>
      <c r="B48" s="104" t="s">
        <v>11</v>
      </c>
      <c r="C48" s="23" t="s">
        <v>11</v>
      </c>
      <c r="D48" s="23" t="s">
        <v>11</v>
      </c>
      <c r="E48" s="23" t="s">
        <v>11</v>
      </c>
      <c r="F48" s="23" t="s">
        <v>11</v>
      </c>
      <c r="G48" s="23" t="s">
        <v>11</v>
      </c>
      <c r="I48" s="30">
        <f>IFERROR(Consolidado!C48/Consolidado!$C$57,)</f>
        <v>0</v>
      </c>
      <c r="J48" s="30">
        <f>IFERROR(Consolidado!D48/Consolidado!$D$57,)</f>
        <v>0</v>
      </c>
      <c r="K48" s="30">
        <f>IFERROR(Consolidado!E48/Consolidado!$E$57,)</f>
        <v>0</v>
      </c>
      <c r="L48" s="30">
        <f>IFERROR(Consolidado!F48/Consolidado!$F$57,)</f>
        <v>0</v>
      </c>
      <c r="M48" s="30">
        <f>IFERROR(Consolidado!G48/Consolidado!$G$57,)</f>
        <v>0</v>
      </c>
      <c r="O48" s="46">
        <f>IFERROR(Consolidado!D48-Consolidado!C48,)</f>
        <v>0</v>
      </c>
      <c r="P48" s="30">
        <f>IFERROR(Consolidado!D48/Consolidado!C48-1,)</f>
        <v>0</v>
      </c>
      <c r="Q48" s="46">
        <f>IFERROR(Consolidado!E48-Consolidado!D48,)</f>
        <v>0</v>
      </c>
      <c r="R48" s="30">
        <f>IFERROR(Consolidado!E48/Consolidado!D48-1,)</f>
        <v>0</v>
      </c>
      <c r="S48" s="167">
        <f>IFERROR(Consolidado!F48-Consolidado!E48,0)</f>
        <v>0</v>
      </c>
      <c r="T48" s="168">
        <f>IFERROR(Consolidado!F48/Consolidado!E48-1,0)</f>
        <v>0</v>
      </c>
      <c r="U48" s="167">
        <f>IFERROR(Consolidado!G48-Consolidado!F48,0)</f>
        <v>0</v>
      </c>
      <c r="V48" s="169">
        <f>IFERROR(Consolidado!G48/Consolidado!F48-1,0)</f>
        <v>0</v>
      </c>
    </row>
    <row r="49" spans="1:22" ht="31.5" x14ac:dyDescent="0.25">
      <c r="A49" s="23" t="s">
        <v>24</v>
      </c>
      <c r="B49" s="104" t="s">
        <v>11</v>
      </c>
      <c r="C49" s="23" t="s">
        <v>11</v>
      </c>
      <c r="D49" s="23" t="s">
        <v>11</v>
      </c>
      <c r="E49" s="23" t="s">
        <v>11</v>
      </c>
      <c r="F49" s="23" t="s">
        <v>11</v>
      </c>
      <c r="G49" s="23" t="s">
        <v>11</v>
      </c>
      <c r="I49" s="30">
        <f>IFERROR(Consolidado!C49/Consolidado!$C$57,)</f>
        <v>0</v>
      </c>
      <c r="J49" s="30">
        <f>IFERROR(Consolidado!D49/Consolidado!$D$57,)</f>
        <v>0</v>
      </c>
      <c r="K49" s="30">
        <f>IFERROR(Consolidado!E49/Consolidado!$E$57,)</f>
        <v>0</v>
      </c>
      <c r="L49" s="30">
        <f>IFERROR(Consolidado!F49/Consolidado!$F$57,)</f>
        <v>0</v>
      </c>
      <c r="M49" s="30">
        <f>IFERROR(Consolidado!G49/Consolidado!$G$57,)</f>
        <v>0</v>
      </c>
      <c r="O49" s="46">
        <f>IFERROR(Consolidado!D49-Consolidado!C49,)</f>
        <v>0</v>
      </c>
      <c r="P49" s="30">
        <f>IFERROR(Consolidado!D49/Consolidado!C49-1,)</f>
        <v>0</v>
      </c>
      <c r="Q49" s="46">
        <f>IFERROR(Consolidado!E49-Consolidado!D49,)</f>
        <v>0</v>
      </c>
      <c r="R49" s="30">
        <f>IFERROR(Consolidado!E49/Consolidado!D49-1,)</f>
        <v>0</v>
      </c>
      <c r="S49" s="167">
        <f>IFERROR(Consolidado!F49-Consolidado!E49,0)</f>
        <v>0</v>
      </c>
      <c r="T49" s="168">
        <f>IFERROR(Consolidado!F49/Consolidado!E49-1,0)</f>
        <v>0</v>
      </c>
      <c r="U49" s="167">
        <f>IFERROR(Consolidado!G49-Consolidado!F49,0)</f>
        <v>0</v>
      </c>
      <c r="V49" s="169">
        <f>IFERROR(Consolidado!G49/Consolidado!F49-1,0)</f>
        <v>0</v>
      </c>
    </row>
    <row r="50" spans="1:22" x14ac:dyDescent="0.25">
      <c r="A50" s="23" t="s">
        <v>25</v>
      </c>
      <c r="B50" s="104" t="s">
        <v>11</v>
      </c>
      <c r="C50" s="23" t="s">
        <v>11</v>
      </c>
      <c r="D50" s="23" t="s">
        <v>11</v>
      </c>
      <c r="E50" s="23" t="s">
        <v>11</v>
      </c>
      <c r="F50" s="23" t="s">
        <v>11</v>
      </c>
      <c r="G50" s="23" t="s">
        <v>11</v>
      </c>
      <c r="I50" s="30">
        <f>IFERROR(Consolidado!C50/Consolidado!$C$57,)</f>
        <v>0</v>
      </c>
      <c r="J50" s="30">
        <f>IFERROR(Consolidado!D50/Consolidado!$D$57,)</f>
        <v>0</v>
      </c>
      <c r="K50" s="30">
        <f>IFERROR(Consolidado!E50/Consolidado!$E$57,)</f>
        <v>0</v>
      </c>
      <c r="L50" s="30">
        <f>IFERROR(Consolidado!F50/Consolidado!$F$57,)</f>
        <v>0</v>
      </c>
      <c r="M50" s="30">
        <f>IFERROR(Consolidado!G50/Consolidado!$G$57,)</f>
        <v>0</v>
      </c>
      <c r="O50" s="46">
        <f>IFERROR(Consolidado!D50-Consolidado!C50,)</f>
        <v>0</v>
      </c>
      <c r="P50" s="30">
        <f>IFERROR(Consolidado!D50/Consolidado!C50-1,)</f>
        <v>0</v>
      </c>
      <c r="Q50" s="46">
        <f>IFERROR(Consolidado!E50-Consolidado!D50,)</f>
        <v>0</v>
      </c>
      <c r="R50" s="30">
        <f>IFERROR(Consolidado!E50/Consolidado!D50-1,)</f>
        <v>0</v>
      </c>
      <c r="S50" s="167">
        <f>IFERROR(Consolidado!F50-Consolidado!E50,0)</f>
        <v>0</v>
      </c>
      <c r="T50" s="168">
        <f>IFERROR(Consolidado!F50/Consolidado!E50-1,0)</f>
        <v>0</v>
      </c>
      <c r="U50" s="167">
        <f>IFERROR(Consolidado!G50-Consolidado!F50,0)</f>
        <v>0</v>
      </c>
      <c r="V50" s="169">
        <f>IFERROR(Consolidado!G50/Consolidado!F50-1,0)</f>
        <v>0</v>
      </c>
    </row>
    <row r="51" spans="1:22" x14ac:dyDescent="0.25">
      <c r="A51" s="181" t="s">
        <v>26</v>
      </c>
      <c r="B51" s="103">
        <v>8765000</v>
      </c>
      <c r="C51" s="24">
        <v>6134000</v>
      </c>
      <c r="D51" s="24">
        <v>5856000</v>
      </c>
      <c r="E51" s="117">
        <f>Supuestos!$M$44*Supuestos!M6</f>
        <v>4692465.3073741468</v>
      </c>
      <c r="F51" s="117">
        <f>Supuestos!$M$44*Supuestos!N6</f>
        <v>4274976.3122367691</v>
      </c>
      <c r="G51" s="117">
        <f>Supuestos!$M$44*Supuestos!O6</f>
        <v>3894631.3447359749</v>
      </c>
      <c r="I51" s="30">
        <f>IFERROR(Consolidado!C51/Consolidado!$C$57,)</f>
        <v>1.9358340749717547E-2</v>
      </c>
      <c r="J51" s="30">
        <f>IFERROR(Consolidado!D51/Consolidado!$D$57,)</f>
        <v>1.988792664289353E-2</v>
      </c>
      <c r="K51" s="30">
        <f>IFERROR(Consolidado!E51/Consolidado!$E$57,)</f>
        <v>1.6610450908103095E-2</v>
      </c>
      <c r="L51" s="30">
        <f>IFERROR(Consolidado!F51/Consolidado!$F$57,)</f>
        <v>1.5366100628181644E-2</v>
      </c>
      <c r="M51" s="30">
        <f>IFERROR(Consolidado!G51/Consolidado!$G$57,)</f>
        <v>1.4011791780516522E-2</v>
      </c>
      <c r="O51" s="46">
        <f>IFERROR(Consolidado!D51-Consolidado!C51,)</f>
        <v>-278000</v>
      </c>
      <c r="P51" s="30">
        <f>IFERROR(Consolidado!D51/Consolidado!C51-1,)</f>
        <v>-4.5321160743397426E-2</v>
      </c>
      <c r="Q51" s="46">
        <f>IFERROR(Consolidado!E51-Consolidado!D51,)</f>
        <v>-1163534.6926258532</v>
      </c>
      <c r="R51" s="30">
        <f>IFERROR(Consolidado!E51/Consolidado!D51-1,)</f>
        <v>-0.19869103357681916</v>
      </c>
      <c r="S51" s="167">
        <f>IFERROR(Consolidado!F51-Consolidado!E51,0)</f>
        <v>-417488.99513737764</v>
      </c>
      <c r="T51" s="168">
        <f>IFERROR(Consolidado!F51/Consolidado!E51-1,0)</f>
        <v>-8.897007602406759E-2</v>
      </c>
      <c r="U51" s="167">
        <f>IFERROR(Consolidado!G51-Consolidado!F51,0)</f>
        <v>-380344.96750079421</v>
      </c>
      <c r="V51" s="169">
        <f>IFERROR(Consolidado!G51/Consolidado!F51-1,0)</f>
        <v>-8.8970076024067812E-2</v>
      </c>
    </row>
    <row r="52" spans="1:22" x14ac:dyDescent="0.25">
      <c r="A52" s="23" t="s">
        <v>27</v>
      </c>
      <c r="B52" s="104" t="s">
        <v>11</v>
      </c>
      <c r="C52" s="23" t="s">
        <v>11</v>
      </c>
      <c r="D52" s="23" t="s">
        <v>11</v>
      </c>
      <c r="E52" s="23" t="s">
        <v>11</v>
      </c>
      <c r="F52" s="23" t="s">
        <v>11</v>
      </c>
      <c r="G52" s="23" t="s">
        <v>11</v>
      </c>
      <c r="I52" s="30">
        <f>IFERROR(Consolidado!C52/Consolidado!$C$57,)</f>
        <v>0</v>
      </c>
      <c r="J52" s="30">
        <f>IFERROR(Consolidado!D52/Consolidado!$D$57,)</f>
        <v>0</v>
      </c>
      <c r="K52" s="30">
        <f>IFERROR(Consolidado!E52/Consolidado!$E$57,)</f>
        <v>0</v>
      </c>
      <c r="L52" s="30">
        <f>IFERROR(Consolidado!F52/Consolidado!$F$57,)</f>
        <v>0</v>
      </c>
      <c r="M52" s="30">
        <f>IFERROR(Consolidado!G52/Consolidado!$G$57,)</f>
        <v>0</v>
      </c>
      <c r="O52" s="46">
        <f>IFERROR(Consolidado!D52-Consolidado!C52,)</f>
        <v>0</v>
      </c>
      <c r="P52" s="30">
        <f>IFERROR(Consolidado!D52/Consolidado!C52-1,)</f>
        <v>0</v>
      </c>
      <c r="Q52" s="46">
        <f>IFERROR(Consolidado!E52-Consolidado!D52,)</f>
        <v>0</v>
      </c>
      <c r="R52" s="30">
        <f>IFERROR(Consolidado!E52/Consolidado!D52-1,)</f>
        <v>0</v>
      </c>
      <c r="S52" s="167">
        <f>IFERROR(Consolidado!F52-Consolidado!E52,0)</f>
        <v>0</v>
      </c>
      <c r="T52" s="168">
        <f>IFERROR(Consolidado!F52/Consolidado!E52-1,0)</f>
        <v>0</v>
      </c>
      <c r="U52" s="167">
        <f>IFERROR(Consolidado!G52-Consolidado!F52,0)</f>
        <v>0</v>
      </c>
      <c r="V52" s="169">
        <f>IFERROR(Consolidado!G52/Consolidado!F52-1,0)</f>
        <v>0</v>
      </c>
    </row>
    <row r="53" spans="1:22" x14ac:dyDescent="0.25">
      <c r="A53" s="23" t="s">
        <v>28</v>
      </c>
      <c r="B53" s="104" t="s">
        <v>11</v>
      </c>
      <c r="C53" s="23" t="s">
        <v>11</v>
      </c>
      <c r="D53" s="23" t="s">
        <v>11</v>
      </c>
      <c r="E53" s="23" t="s">
        <v>11</v>
      </c>
      <c r="F53" s="23" t="s">
        <v>11</v>
      </c>
      <c r="G53" s="23" t="s">
        <v>11</v>
      </c>
      <c r="I53" s="30">
        <f>IFERROR(Consolidado!C53/Consolidado!$C$57,)</f>
        <v>0</v>
      </c>
      <c r="J53" s="30">
        <f>IFERROR(Consolidado!D53/Consolidado!$D$57,)</f>
        <v>0</v>
      </c>
      <c r="K53" s="30">
        <f>IFERROR(Consolidado!E53/Consolidado!$E$57,)</f>
        <v>0</v>
      </c>
      <c r="L53" s="30">
        <f>IFERROR(Consolidado!F53/Consolidado!$F$57,)</f>
        <v>0</v>
      </c>
      <c r="M53" s="30">
        <f>IFERROR(Consolidado!G53/Consolidado!$G$57,)</f>
        <v>0</v>
      </c>
      <c r="O53" s="46">
        <f>IFERROR(Consolidado!D53-Consolidado!C53,)</f>
        <v>0</v>
      </c>
      <c r="P53" s="30">
        <f>IFERROR(Consolidado!D53/Consolidado!C53-1,)</f>
        <v>0</v>
      </c>
      <c r="Q53" s="46">
        <f>IFERROR(Consolidado!E53-Consolidado!D53,)</f>
        <v>0</v>
      </c>
      <c r="R53" s="30">
        <f>IFERROR(Consolidado!E53/Consolidado!D53-1,)</f>
        <v>0</v>
      </c>
      <c r="S53" s="167">
        <f>IFERROR(Consolidado!F53-Consolidado!E53,0)</f>
        <v>0</v>
      </c>
      <c r="T53" s="168">
        <f>IFERROR(Consolidado!F53/Consolidado!E53-1,0)</f>
        <v>0</v>
      </c>
      <c r="U53" s="167">
        <f>IFERROR(Consolidado!G53-Consolidado!F53,0)</f>
        <v>0</v>
      </c>
      <c r="V53" s="169">
        <f>IFERROR(Consolidado!G53/Consolidado!F53-1,0)</f>
        <v>0</v>
      </c>
    </row>
    <row r="54" spans="1:22" x14ac:dyDescent="0.25">
      <c r="A54" s="181" t="s">
        <v>29</v>
      </c>
      <c r="B54" s="103" t="s">
        <v>11</v>
      </c>
      <c r="C54" s="24">
        <v>16372000</v>
      </c>
      <c r="D54" s="24">
        <v>24987000</v>
      </c>
      <c r="E54" s="24">
        <f>Supuestos!$M$27*Supuestos!M6</f>
        <v>16476075.871682124</v>
      </c>
      <c r="F54" s="24">
        <f>Supuestos!$M$27*Supuestos!N6</f>
        <v>15010198.148800258</v>
      </c>
      <c r="G54" s="24">
        <f>Supuestos!$M$27*Supuestos!O6</f>
        <v>13674739.678365178</v>
      </c>
      <c r="I54" s="30">
        <f>IFERROR(Consolidado!C54/Consolidado!$C$57,)</f>
        <v>5.1668528652490324E-2</v>
      </c>
      <c r="J54" s="30">
        <f>IFERROR(Consolidado!D54/Consolidado!$D$57,)</f>
        <v>8.4859908303616907E-2</v>
      </c>
      <c r="K54" s="30">
        <f>IFERROR(Consolidado!E54/Consolidado!$E$57,)</f>
        <v>5.8322231811640909E-2</v>
      </c>
      <c r="L54" s="30">
        <f>IFERROR(Consolidado!F54/Consolidado!$F$57,)</f>
        <v>5.3953097831957335E-2</v>
      </c>
      <c r="M54" s="30">
        <f>IFERROR(Consolidado!G54/Consolidado!$G$57,)</f>
        <v>4.9197879867371584E-2</v>
      </c>
      <c r="O54" s="46">
        <f>IFERROR(Consolidado!D54-Consolidado!C54,)</f>
        <v>8615000</v>
      </c>
      <c r="P54" s="30">
        <f>IFERROR(Consolidado!D54/Consolidado!C54-1,)</f>
        <v>0.52620327388223798</v>
      </c>
      <c r="Q54" s="46">
        <f>IFERROR(Consolidado!E54-Consolidado!D54,)</f>
        <v>-8510924.1283178758</v>
      </c>
      <c r="R54" s="30">
        <f>IFERROR(Consolidado!E54/Consolidado!D54-1,)</f>
        <v>-0.34061408445663244</v>
      </c>
      <c r="S54" s="167">
        <f>IFERROR(Consolidado!F54-Consolidado!E54,0)</f>
        <v>-1465877.7228818666</v>
      </c>
      <c r="T54" s="168">
        <f>IFERROR(Consolidado!F54/Consolidado!E54-1,0)</f>
        <v>-8.8970076024067701E-2</v>
      </c>
      <c r="U54" s="167">
        <f>IFERROR(Consolidado!G54-Consolidado!F54,0)</f>
        <v>-1335458.4704350792</v>
      </c>
      <c r="V54" s="169">
        <f>IFERROR(Consolidado!G54/Consolidado!F54-1,0)</f>
        <v>-8.8970076024067701E-2</v>
      </c>
    </row>
    <row r="55" spans="1:22" ht="63" x14ac:dyDescent="0.25">
      <c r="A55" s="23" t="s">
        <v>30</v>
      </c>
      <c r="B55" s="104" t="s">
        <v>11</v>
      </c>
      <c r="C55" s="23" t="s">
        <v>11</v>
      </c>
      <c r="D55" s="23" t="s">
        <v>11</v>
      </c>
      <c r="E55" s="23" t="s">
        <v>11</v>
      </c>
      <c r="F55" s="23" t="s">
        <v>11</v>
      </c>
      <c r="G55" s="23" t="s">
        <v>11</v>
      </c>
      <c r="I55" s="30">
        <f>IFERROR(Consolidado!C55/Consolidado!$C$57,)</f>
        <v>0</v>
      </c>
      <c r="J55" s="30">
        <f>IFERROR(Consolidado!D55/Consolidado!$D$57,)</f>
        <v>0</v>
      </c>
      <c r="K55" s="30">
        <f>IFERROR(Consolidado!E55/Consolidado!$E$57,)</f>
        <v>0</v>
      </c>
      <c r="L55" s="30">
        <f>IFERROR(Consolidado!F55/Consolidado!$F$57,)</f>
        <v>0</v>
      </c>
      <c r="M55" s="30">
        <f>IFERROR(Consolidado!G55/Consolidado!$G$57,)</f>
        <v>0</v>
      </c>
      <c r="O55" s="46">
        <f>IFERROR(Consolidado!D55-Consolidado!C55,)</f>
        <v>0</v>
      </c>
      <c r="P55" s="30">
        <f>IFERROR(Consolidado!D55/Consolidado!C55-1,)</f>
        <v>0</v>
      </c>
      <c r="Q55" s="46">
        <f>IFERROR(Consolidado!E55-Consolidado!D55,)</f>
        <v>0</v>
      </c>
      <c r="R55" s="30">
        <f>IFERROR(Consolidado!E55/Consolidado!D55-1,)</f>
        <v>0</v>
      </c>
      <c r="S55" s="167">
        <f>IFERROR(Consolidado!F55-Consolidado!E55,0)</f>
        <v>0</v>
      </c>
      <c r="T55" s="168">
        <f>IFERROR(Consolidado!F55/Consolidado!E55-1,0)</f>
        <v>0</v>
      </c>
      <c r="U55" s="167">
        <f>IFERROR(Consolidado!G55-Consolidado!F55,0)</f>
        <v>0</v>
      </c>
      <c r="V55" s="169">
        <f>IFERROR(Consolidado!G55/Consolidado!F55-1,0)</f>
        <v>0</v>
      </c>
    </row>
    <row r="56" spans="1:22" x14ac:dyDescent="0.25">
      <c r="A56" s="23" t="s">
        <v>31</v>
      </c>
      <c r="B56" s="25">
        <f t="shared" ref="B56:G56" si="15">SUM(B44:B55)</f>
        <v>66765000</v>
      </c>
      <c r="C56" s="25">
        <f t="shared" si="15"/>
        <v>64916000</v>
      </c>
      <c r="D56" s="25">
        <f t="shared" si="15"/>
        <v>68782000</v>
      </c>
      <c r="E56" s="25">
        <f t="shared" si="15"/>
        <v>52535427.027024344</v>
      </c>
      <c r="F56" s="25">
        <f t="shared" si="15"/>
        <v>47861346.09047313</v>
      </c>
      <c r="G56" s="25">
        <f t="shared" si="15"/>
        <v>43603118.490189523</v>
      </c>
      <c r="I56" s="30">
        <f>IFERROR(Consolidado!C56/Consolidado!$C$57,)</f>
        <v>0.20486893513346335</v>
      </c>
      <c r="J56" s="30">
        <f>IFERROR(Consolidado!D56/Consolidado!$D$57,)</f>
        <v>0.23359483783324844</v>
      </c>
      <c r="K56" s="30">
        <f>IFERROR(Consolidado!E56/Consolidado!$E$57,)</f>
        <v>0.18596560110892726</v>
      </c>
      <c r="L56" s="30">
        <f>IFERROR(Consolidado!F56/Consolidado!$F$57,)</f>
        <v>0.172034230487148</v>
      </c>
      <c r="M56" s="30">
        <f>IFERROR(Consolidado!G56/Consolidado!$G$57,)</f>
        <v>0.15687179688817082</v>
      </c>
      <c r="O56" s="46">
        <f>IFERROR(Consolidado!D56-Consolidado!C56,)</f>
        <v>3866000</v>
      </c>
      <c r="P56" s="30">
        <f>IFERROR(Consolidado!D56/Consolidado!C56-1,)</f>
        <v>5.9553885020642072E-2</v>
      </c>
      <c r="Q56" s="46">
        <f>IFERROR(Consolidado!E56-Consolidado!D56,)</f>
        <v>-16246572.972975656</v>
      </c>
      <c r="R56" s="30">
        <f>IFERROR(Consolidado!E56/Consolidado!D56-1,)</f>
        <v>-0.23620384654380011</v>
      </c>
      <c r="S56" s="167">
        <f>IFERROR(Consolidado!F56-Consolidado!E56,0)</f>
        <v>-4674080.9365512133</v>
      </c>
      <c r="T56" s="168">
        <f>IFERROR(Consolidado!F56/Consolidado!E56-1,0)</f>
        <v>-8.897007602406759E-2</v>
      </c>
      <c r="U56" s="167">
        <f>IFERROR(Consolidado!G56-Consolidado!F56,0)</f>
        <v>-4258227.6002836078</v>
      </c>
      <c r="V56" s="169">
        <f>IFERROR(Consolidado!G56/Consolidado!F56-1,0)</f>
        <v>-8.8970076024067701E-2</v>
      </c>
    </row>
    <row r="57" spans="1:22" x14ac:dyDescent="0.25">
      <c r="A57" s="20" t="s">
        <v>32</v>
      </c>
      <c r="B57" s="26">
        <f t="shared" ref="B57:G57" si="16">B42+B56</f>
        <v>300425000</v>
      </c>
      <c r="C57" s="26">
        <f t="shared" si="16"/>
        <v>316866000</v>
      </c>
      <c r="D57" s="26">
        <f t="shared" si="16"/>
        <v>294450000</v>
      </c>
      <c r="E57" s="26">
        <f t="shared" si="16"/>
        <v>282500778.17484272</v>
      </c>
      <c r="F57" s="26">
        <f t="shared" si="16"/>
        <v>278208272.59170765</v>
      </c>
      <c r="G57" s="26">
        <f t="shared" si="16"/>
        <v>277953841.00350982</v>
      </c>
      <c r="I57" s="30">
        <f>IFERROR(Consolidado!C57/Consolidado!$C$57,)</f>
        <v>1</v>
      </c>
      <c r="J57" s="30">
        <f>IFERROR(Consolidado!D57/Consolidado!$D$57,)</f>
        <v>1</v>
      </c>
      <c r="K57" s="30">
        <f>IFERROR(Consolidado!E57/Consolidado!$E$57,)</f>
        <v>1</v>
      </c>
      <c r="L57" s="30">
        <f>IFERROR(Consolidado!F57/Consolidado!$F$57,)</f>
        <v>1</v>
      </c>
      <c r="M57" s="30">
        <f>IFERROR(Consolidado!G57/Consolidado!$G$57,)</f>
        <v>1</v>
      </c>
      <c r="O57" s="46">
        <f>IFERROR(Consolidado!D57-Consolidado!C57,)</f>
        <v>-22416000</v>
      </c>
      <c r="P57" s="30">
        <f>IFERROR(Consolidado!D57/Consolidado!C57-1,)</f>
        <v>-7.074283766639522E-2</v>
      </c>
      <c r="Q57" s="46">
        <f>IFERROR(Consolidado!E57-Consolidado!D57,)</f>
        <v>-11949221.825157285</v>
      </c>
      <c r="R57" s="30">
        <f>IFERROR(Consolidado!E57/Consolidado!D57-1,)</f>
        <v>-4.0581497113796217E-2</v>
      </c>
      <c r="S57" s="167">
        <f>IFERROR(Consolidado!F57-Consolidado!E57,0)</f>
        <v>-4292505.5831350684</v>
      </c>
      <c r="T57" s="168">
        <f>IFERROR(Consolidado!F57/Consolidado!E57-1,0)</f>
        <v>-1.5194668173545312E-2</v>
      </c>
      <c r="U57" s="167">
        <f>IFERROR(Consolidado!G57-Consolidado!F57,0)</f>
        <v>-254431.58819782734</v>
      </c>
      <c r="V57" s="169">
        <f>IFERROR(Consolidado!G57/Consolidado!F57-1,0)</f>
        <v>-9.145363860952882E-4</v>
      </c>
    </row>
    <row r="58" spans="1:22" x14ac:dyDescent="0.25">
      <c r="A58" s="20" t="s">
        <v>33</v>
      </c>
      <c r="B58" s="102" t="s">
        <v>1</v>
      </c>
      <c r="C58" s="21" t="s">
        <v>1</v>
      </c>
      <c r="D58" s="21" t="s">
        <v>1</v>
      </c>
      <c r="E58" s="22"/>
      <c r="F58" s="22"/>
      <c r="G58" s="22"/>
      <c r="I58" s="30">
        <f>IFERROR(Consolidado!C58/Consolidado!$C$57,)</f>
        <v>0</v>
      </c>
      <c r="J58" s="30">
        <f>IFERROR(Consolidado!D58/Consolidado!$D$57,)</f>
        <v>0</v>
      </c>
      <c r="K58" s="30">
        <f>IFERROR(Consolidado!E58/Consolidado!$E$57,)</f>
        <v>0</v>
      </c>
      <c r="L58" s="30">
        <f>IFERROR(Consolidado!F58/Consolidado!$F$57,)</f>
        <v>0</v>
      </c>
      <c r="M58" s="30">
        <f>IFERROR(Consolidado!G58/Consolidado!$G$57,)</f>
        <v>0</v>
      </c>
      <c r="O58" s="46">
        <f>IFERROR(Consolidado!D58-Consolidado!C58,)</f>
        <v>0</v>
      </c>
      <c r="P58" s="30">
        <f>IFERROR(Consolidado!D58/Consolidado!C58-1,)</f>
        <v>0</v>
      </c>
      <c r="Q58" s="46">
        <f>IFERROR(Consolidado!E58-Consolidado!D58,)</f>
        <v>0</v>
      </c>
      <c r="R58" s="30">
        <f>IFERROR(Consolidado!E58/Consolidado!D58-1,)</f>
        <v>0</v>
      </c>
      <c r="S58" s="167">
        <f>IFERROR(Consolidado!F58-Consolidado!E58,0)</f>
        <v>0</v>
      </c>
      <c r="T58" s="168">
        <f>IFERROR(Consolidado!F58/Consolidado!E58-1,0)</f>
        <v>0</v>
      </c>
      <c r="U58" s="167">
        <f>IFERROR(Consolidado!G58-Consolidado!F58,0)</f>
        <v>0</v>
      </c>
      <c r="V58" s="169">
        <f>IFERROR(Consolidado!G58/Consolidado!F58-1,0)</f>
        <v>0</v>
      </c>
    </row>
    <row r="59" spans="1:22" x14ac:dyDescent="0.25">
      <c r="A59" s="20" t="s">
        <v>34</v>
      </c>
      <c r="B59" s="102" t="s">
        <v>1</v>
      </c>
      <c r="C59" s="21" t="s">
        <v>1</v>
      </c>
      <c r="D59" s="25"/>
      <c r="E59" s="25"/>
      <c r="F59" s="25"/>
      <c r="G59" s="22"/>
      <c r="I59" s="30">
        <f>IFERROR(Consolidado!C59/Consolidado!$C$57,)</f>
        <v>0</v>
      </c>
      <c r="J59" s="30">
        <f>IFERROR(Consolidado!D59/Consolidado!$D$57,)</f>
        <v>0</v>
      </c>
      <c r="K59" s="30">
        <f>IFERROR(Consolidado!E59/Consolidado!$E$57,)</f>
        <v>0</v>
      </c>
      <c r="L59" s="30">
        <f>IFERROR(Consolidado!F59/Consolidado!$F$57,)</f>
        <v>0</v>
      </c>
      <c r="M59" s="30">
        <f>IFERROR(Consolidado!G59/Consolidado!$G$57,)</f>
        <v>0</v>
      </c>
      <c r="O59" s="46">
        <f>IFERROR(Consolidado!D59-Consolidado!C59,)</f>
        <v>0</v>
      </c>
      <c r="P59" s="30">
        <f>IFERROR(Consolidado!D59/Consolidado!C59-1,)</f>
        <v>0</v>
      </c>
      <c r="Q59" s="46">
        <f>IFERROR(Consolidado!E59-Consolidado!D59,)</f>
        <v>0</v>
      </c>
      <c r="R59" s="30">
        <f>IFERROR(Consolidado!E59/Consolidado!D59-1,)</f>
        <v>0</v>
      </c>
      <c r="S59" s="167">
        <f>IFERROR(Consolidado!F59-Consolidado!E59,0)</f>
        <v>0</v>
      </c>
      <c r="T59" s="168">
        <f>IFERROR(Consolidado!F59/Consolidado!E59-1,0)</f>
        <v>0</v>
      </c>
      <c r="U59" s="167">
        <f>IFERROR(Consolidado!G59-Consolidado!F59,0)</f>
        <v>0</v>
      </c>
      <c r="V59" s="169">
        <f>IFERROR(Consolidado!G59/Consolidado!F59-1,0)</f>
        <v>0</v>
      </c>
    </row>
    <row r="60" spans="1:22" x14ac:dyDescent="0.25">
      <c r="A60" s="20" t="s">
        <v>35</v>
      </c>
      <c r="B60" s="102" t="s">
        <v>1</v>
      </c>
      <c r="C60" s="21" t="s">
        <v>1</v>
      </c>
      <c r="D60" s="21" t="s">
        <v>1</v>
      </c>
      <c r="E60" s="22"/>
      <c r="F60" s="22"/>
      <c r="G60" s="22"/>
      <c r="I60" s="30">
        <f>IFERROR(Consolidado!C60/Consolidado!$C$57,)</f>
        <v>0</v>
      </c>
      <c r="J60" s="30">
        <f>IFERROR(Consolidado!D60/Consolidado!$D$57,)</f>
        <v>0</v>
      </c>
      <c r="K60" s="30">
        <f>IFERROR(Consolidado!E60/Consolidado!$E$57,)</f>
        <v>0</v>
      </c>
      <c r="L60" s="30">
        <f>IFERROR(Consolidado!F60/Consolidado!$F$57,)</f>
        <v>0</v>
      </c>
      <c r="M60" s="30">
        <f>IFERROR(Consolidado!G60/Consolidado!$G$57,)</f>
        <v>0</v>
      </c>
      <c r="O60" s="46">
        <f>IFERROR(Consolidado!D60-Consolidado!C60,)</f>
        <v>0</v>
      </c>
      <c r="P60" s="30">
        <f>IFERROR(Consolidado!D60/Consolidado!C60-1,)</f>
        <v>0</v>
      </c>
      <c r="Q60" s="46">
        <f>IFERROR(Consolidado!E60-Consolidado!D60,)</f>
        <v>0</v>
      </c>
      <c r="R60" s="30">
        <f>IFERROR(Consolidado!E60/Consolidado!D60-1,)</f>
        <v>0</v>
      </c>
      <c r="S60" s="167">
        <f>IFERROR(Consolidado!F60-Consolidado!E60,0)</f>
        <v>0</v>
      </c>
      <c r="T60" s="168">
        <f>IFERROR(Consolidado!F60/Consolidado!E60-1,0)</f>
        <v>0</v>
      </c>
      <c r="U60" s="167">
        <f>IFERROR(Consolidado!G60-Consolidado!F60,0)</f>
        <v>0</v>
      </c>
      <c r="V60" s="169">
        <f>IFERROR(Consolidado!G60/Consolidado!F60-1,0)</f>
        <v>0</v>
      </c>
    </row>
    <row r="61" spans="1:22" x14ac:dyDescent="0.25">
      <c r="A61" s="181" t="s">
        <v>36</v>
      </c>
      <c r="B61" s="103">
        <v>8832000</v>
      </c>
      <c r="C61" s="24">
        <v>10496000</v>
      </c>
      <c r="D61" s="24">
        <v>8519000</v>
      </c>
      <c r="E61" s="117">
        <f>Supuestos!$M$47*Supuestos!M6</f>
        <v>7395335.8430817509</v>
      </c>
      <c r="F61" s="117">
        <f>Supuestos!$M$47*Supuestos!N6</f>
        <v>6737372.2508992553</v>
      </c>
      <c r="G61" s="117">
        <f>Supuestos!$M$47*Supuestos!O6</f>
        <v>6137947.7295343038</v>
      </c>
      <c r="I61" s="30">
        <f>IFERROR(Consolidado!C61/Consolidado!$C$57,)</f>
        <v>3.3124412212102279E-2</v>
      </c>
      <c r="J61" s="30">
        <f>IFERROR(Consolidado!D61/Consolidado!$D$57,)</f>
        <v>2.8931906945151978E-2</v>
      </c>
      <c r="K61" s="30">
        <f>IFERROR(Consolidado!E61/Consolidado!$E$57,)</f>
        <v>2.617810786526294E-2</v>
      </c>
      <c r="L61" s="30">
        <f>IFERROR(Consolidado!F61/Consolidado!$F$57,)</f>
        <v>2.4217009034763228E-2</v>
      </c>
      <c r="M61" s="30">
        <f>IFERROR(Consolidado!G61/Consolidado!$G$57,)</f>
        <v>2.2082615255015661E-2</v>
      </c>
      <c r="O61" s="46">
        <f>IFERROR(Consolidado!D61-Consolidado!C61,)</f>
        <v>-1977000</v>
      </c>
      <c r="P61" s="30">
        <f>IFERROR(Consolidado!D61/Consolidado!C61-1,)</f>
        <v>-0.18835746951219512</v>
      </c>
      <c r="Q61" s="46">
        <f>IFERROR(Consolidado!E61-Consolidado!D61,)</f>
        <v>-1123664.1569182491</v>
      </c>
      <c r="R61" s="30">
        <f>IFERROR(Consolidado!E61/Consolidado!D61-1,)</f>
        <v>-0.13190094575868638</v>
      </c>
      <c r="S61" s="167">
        <f>IFERROR(Consolidado!F61-Consolidado!E61,0)</f>
        <v>-657963.59218249563</v>
      </c>
      <c r="T61" s="168">
        <f>IFERROR(Consolidado!F61/Consolidado!E61-1,0)</f>
        <v>-8.897007602406759E-2</v>
      </c>
      <c r="U61" s="167">
        <f>IFERROR(Consolidado!G61-Consolidado!F61,0)</f>
        <v>-599424.52136495151</v>
      </c>
      <c r="V61" s="169">
        <f>IFERROR(Consolidado!G61/Consolidado!F61-1,0)</f>
        <v>-8.8970076024067812E-2</v>
      </c>
    </row>
    <row r="62" spans="1:22" x14ac:dyDescent="0.25">
      <c r="A62" s="23" t="s">
        <v>37</v>
      </c>
      <c r="B62" s="104" t="s">
        <v>11</v>
      </c>
      <c r="C62" s="23" t="s">
        <v>11</v>
      </c>
      <c r="D62" s="23" t="s">
        <v>11</v>
      </c>
      <c r="E62" s="23" t="s">
        <v>11</v>
      </c>
      <c r="F62" s="23" t="s">
        <v>11</v>
      </c>
      <c r="G62" s="23" t="s">
        <v>11</v>
      </c>
      <c r="I62" s="30">
        <f>IFERROR(Consolidado!C62/Consolidado!$C$57,)</f>
        <v>0</v>
      </c>
      <c r="J62" s="30">
        <f>IFERROR(Consolidado!D62/Consolidado!$D$57,)</f>
        <v>0</v>
      </c>
      <c r="K62" s="30">
        <f>IFERROR(Consolidado!E62/Consolidado!$E$57,)</f>
        <v>0</v>
      </c>
      <c r="L62" s="30">
        <f>IFERROR(Consolidado!F62/Consolidado!$F$57,)</f>
        <v>0</v>
      </c>
      <c r="M62" s="30">
        <f>IFERROR(Consolidado!G62/Consolidado!$G$57,)</f>
        <v>0</v>
      </c>
      <c r="O62" s="46">
        <f>IFERROR(Consolidado!D62-Consolidado!C62,)</f>
        <v>0</v>
      </c>
      <c r="P62" s="30">
        <f>IFERROR(Consolidado!D62/Consolidado!C62-1,)</f>
        <v>0</v>
      </c>
      <c r="Q62" s="46">
        <f>IFERROR(Consolidado!E62-Consolidado!D62,)</f>
        <v>0</v>
      </c>
      <c r="R62" s="30">
        <f>IFERROR(Consolidado!E62/Consolidado!D62-1,)</f>
        <v>0</v>
      </c>
      <c r="S62" s="167">
        <f>IFERROR(Consolidado!F62-Consolidado!E62,0)</f>
        <v>0</v>
      </c>
      <c r="T62" s="168">
        <f>IFERROR(Consolidado!F62/Consolidado!E62-1,0)</f>
        <v>0</v>
      </c>
      <c r="U62" s="167">
        <f>IFERROR(Consolidado!G62-Consolidado!F62,0)</f>
        <v>0</v>
      </c>
      <c r="V62" s="169">
        <f>IFERROR(Consolidado!G62/Consolidado!F62-1,0)</f>
        <v>0</v>
      </c>
    </row>
    <row r="63" spans="1:22" x14ac:dyDescent="0.25">
      <c r="A63" s="23" t="s">
        <v>38</v>
      </c>
      <c r="B63" s="103">
        <v>8832000</v>
      </c>
      <c r="C63" s="24">
        <v>10496000</v>
      </c>
      <c r="D63" s="24">
        <v>8519000</v>
      </c>
      <c r="E63" s="117">
        <f>E61</f>
        <v>7395335.8430817509</v>
      </c>
      <c r="F63" s="117">
        <f>F61</f>
        <v>6737372.2508992553</v>
      </c>
      <c r="G63" s="117">
        <f>G61</f>
        <v>6137947.7295343038</v>
      </c>
      <c r="I63" s="30">
        <f>IFERROR(Consolidado!C63/Consolidado!$C$57,)</f>
        <v>3.3124412212102279E-2</v>
      </c>
      <c r="J63" s="30">
        <f>IFERROR(Consolidado!D63/Consolidado!$D$57,)</f>
        <v>2.8931906945151978E-2</v>
      </c>
      <c r="K63" s="30">
        <f>IFERROR(Consolidado!E63/Consolidado!$E$57,)</f>
        <v>2.617810786526294E-2</v>
      </c>
      <c r="L63" s="30">
        <f>IFERROR(Consolidado!F63/Consolidado!$F$57,)</f>
        <v>2.4217009034763228E-2</v>
      </c>
      <c r="M63" s="30">
        <f>IFERROR(Consolidado!G63/Consolidado!$G$57,)</f>
        <v>2.2082615255015661E-2</v>
      </c>
      <c r="O63" s="46">
        <f>IFERROR(Consolidado!D63-Consolidado!C63,)</f>
        <v>-1977000</v>
      </c>
      <c r="P63" s="30">
        <f>IFERROR(Consolidado!D63/Consolidado!C63-1,)</f>
        <v>-0.18835746951219512</v>
      </c>
      <c r="Q63" s="46">
        <f>IFERROR(Consolidado!E63-Consolidado!D63,)</f>
        <v>-1123664.1569182491</v>
      </c>
      <c r="R63" s="30">
        <f>IFERROR(Consolidado!E63/Consolidado!D63-1,)</f>
        <v>-0.13190094575868638</v>
      </c>
      <c r="S63" s="167">
        <f>IFERROR(Consolidado!F63-Consolidado!E63,0)</f>
        <v>-657963.59218249563</v>
      </c>
      <c r="T63" s="168">
        <f>IFERROR(Consolidado!F63/Consolidado!E63-1,0)</f>
        <v>-8.897007602406759E-2</v>
      </c>
      <c r="U63" s="167">
        <f>IFERROR(Consolidado!G63-Consolidado!F63,0)</f>
        <v>-599424.52136495151</v>
      </c>
      <c r="V63" s="169">
        <f>IFERROR(Consolidado!G63/Consolidado!F63-1,0)</f>
        <v>-8.8970076024067812E-2</v>
      </c>
    </row>
    <row r="64" spans="1:22" ht="31.5" x14ac:dyDescent="0.25">
      <c r="A64" s="23" t="s">
        <v>39</v>
      </c>
      <c r="B64" s="103">
        <v>124701000</v>
      </c>
      <c r="C64" s="24">
        <v>90631000</v>
      </c>
      <c r="D64" s="24">
        <v>56516000</v>
      </c>
      <c r="E64" s="25">
        <f>Supuestos!$M$18*Supuestos!M7/365</f>
        <v>56483977.582281999</v>
      </c>
      <c r="F64" s="25">
        <f>Supuestos!$M$18*Supuestos!N7/365</f>
        <v>51458593.802644618</v>
      </c>
      <c r="G64" s="25">
        <f>Supuestos!$M$18*Supuestos!O7/365</f>
        <v>46880318.799931712</v>
      </c>
      <c r="I64" s="30">
        <f>IFERROR(Consolidado!C64/Consolidado!$C$57,)</f>
        <v>0.28602311387147877</v>
      </c>
      <c r="J64" s="30">
        <f>IFERROR(Consolidado!D64/Consolidado!$D$57,)</f>
        <v>0.19193751061300729</v>
      </c>
      <c r="K64" s="30">
        <f>IFERROR(Consolidado!E64/Consolidado!$E$57,)</f>
        <v>0.19994273271461033</v>
      </c>
      <c r="L64" s="30">
        <f>IFERROR(Consolidado!F64/Consolidado!$F$57,)</f>
        <v>0.18496428349621408</v>
      </c>
      <c r="M64" s="30">
        <f>IFERROR(Consolidado!G64/Consolidado!$G$57,)</f>
        <v>0.16866224489173273</v>
      </c>
      <c r="O64" s="46">
        <f>IFERROR(Consolidado!D64-Consolidado!C64,)</f>
        <v>-34115000</v>
      </c>
      <c r="P64" s="30">
        <f>IFERROR(Consolidado!D64/Consolidado!C64-1,)</f>
        <v>-0.37641645794485334</v>
      </c>
      <c r="Q64" s="46">
        <f>IFERROR(Consolidado!E64-Consolidado!D64,)</f>
        <v>-32022.41771800071</v>
      </c>
      <c r="R64" s="30">
        <f>IFERROR(Consolidado!E64/Consolidado!D64-1,)</f>
        <v>-5.6660799982310994E-4</v>
      </c>
      <c r="S64" s="167">
        <f>IFERROR(Consolidado!F64-Consolidado!E64,0)</f>
        <v>-5025383.7796373814</v>
      </c>
      <c r="T64" s="168">
        <f>IFERROR(Consolidado!F64/Consolidado!E64-1,0)</f>
        <v>-8.8970076024068034E-2</v>
      </c>
      <c r="U64" s="167">
        <f>IFERROR(Consolidado!G64-Consolidado!F64,0)</f>
        <v>-4578275.0027129054</v>
      </c>
      <c r="V64" s="169">
        <f>IFERROR(Consolidado!G64/Consolidado!F64-1,0)</f>
        <v>-8.897007602406759E-2</v>
      </c>
    </row>
    <row r="65" spans="1:22" x14ac:dyDescent="0.25">
      <c r="A65" s="181" t="s">
        <v>40</v>
      </c>
      <c r="B65" s="103">
        <v>9880000</v>
      </c>
      <c r="C65" s="24">
        <v>11560000</v>
      </c>
      <c r="D65" s="24">
        <v>11944000</v>
      </c>
      <c r="E65" s="25">
        <f>Supuestos!$M$50*Supuestos!M6</f>
        <v>9226742.300479982</v>
      </c>
      <c r="F65" s="25">
        <f>Supuestos!$M$50*Supuestos!N6</f>
        <v>8405838.3365517948</v>
      </c>
      <c r="G65" s="25">
        <f>Supuestos!$M$50*Supuestos!O6</f>
        <v>7657970.260702759</v>
      </c>
      <c r="I65" s="22"/>
      <c r="J65" s="22"/>
      <c r="K65" s="109"/>
      <c r="L65" s="15"/>
      <c r="M65" s="30">
        <f>IFERROR(Consolidado!C65/Consolidado!$C$57,)</f>
        <v>3.6482298511042524E-2</v>
      </c>
      <c r="N65" s="30">
        <f>IFERROR(Consolidado!D65/Consolidado!$D$57,)</f>
        <v>4.0563762947868912E-2</v>
      </c>
      <c r="O65" s="30">
        <f>IFERROR(Consolidado!E65/Consolidado!$E$57,)</f>
        <v>3.266094472408658E-2</v>
      </c>
      <c r="P65" s="30">
        <f>IFERROR(Consolidado!F65/Consolidado!$F$57,)</f>
        <v>3.0214192619958568E-2</v>
      </c>
      <c r="Q65" s="30">
        <f>IFERROR(Consolidado!G65/Consolidado!$G$57,)</f>
        <v>2.7551230208061991E-2</v>
      </c>
      <c r="S65" s="46">
        <f>IFERROR(Consolidado!D65-Consolidado!C65,)</f>
        <v>384000</v>
      </c>
      <c r="T65" s="30">
        <f>IFERROR(Consolidado!D65/Consolidado!C65-1,)</f>
        <v>3.321799307958484E-2</v>
      </c>
      <c r="U65" s="46">
        <f>IFERROR(Consolidado!E65-Consolidado!D65,)</f>
        <v>-2717257.699520018</v>
      </c>
      <c r="V65" s="30">
        <f>IFERROR(Consolidado!E65/Consolidado!D65-1,)</f>
        <v>-0.22749980739450926</v>
      </c>
    </row>
    <row r="66" spans="1:22" x14ac:dyDescent="0.25">
      <c r="A66" s="23" t="s">
        <v>41</v>
      </c>
      <c r="B66" s="103">
        <v>20158000</v>
      </c>
      <c r="C66" s="24">
        <v>59253000</v>
      </c>
      <c r="D66" s="24">
        <v>58076000</v>
      </c>
      <c r="E66" s="206">
        <f>D66*(1-Supuestos!N60)</f>
        <v>49364600</v>
      </c>
      <c r="F66" s="206">
        <f>E66*(1-Supuestos!O60)</f>
        <v>44428140</v>
      </c>
      <c r="G66" s="206">
        <f>F66*(1-Supuestos!P60)</f>
        <v>39985326</v>
      </c>
      <c r="I66" s="30">
        <f>IFERROR(Consolidado!C66/Consolidado!$C$57,)</f>
        <v>0.18699702713449851</v>
      </c>
      <c r="J66" s="30">
        <f>IFERROR(Consolidado!D66/Consolidado!$D$57,)</f>
        <v>0.19723552385804041</v>
      </c>
      <c r="K66" s="30">
        <f>IFERROR(Consolidado!E66/Consolidado!$E$57,)</f>
        <v>0.17474146555960185</v>
      </c>
      <c r="L66" s="30">
        <f>IFERROR(Consolidado!F66/Consolidado!$F$57,)</f>
        <v>0.15969381350928324</v>
      </c>
      <c r="M66" s="30">
        <f>IFERROR(Consolidado!G66/Consolidado!$G$57,)</f>
        <v>0.1438559936989505</v>
      </c>
      <c r="O66" s="46">
        <f>IFERROR(Consolidado!D66-Consolidado!C66,)</f>
        <v>-1177000</v>
      </c>
      <c r="P66" s="30">
        <f>IFERROR(Consolidado!D66/Consolidado!C66-1,)</f>
        <v>-1.9863973132162038E-2</v>
      </c>
      <c r="Q66" s="46">
        <f>IFERROR(Consolidado!E66-Consolidado!D66,)</f>
        <v>-8711400</v>
      </c>
      <c r="R66" s="30">
        <f>IFERROR(Consolidado!E66/Consolidado!D66-1,)</f>
        <v>-0.15000000000000002</v>
      </c>
      <c r="S66" s="167">
        <f>IFERROR(Consolidado!F66-Consolidado!E66,0)</f>
        <v>-4936460</v>
      </c>
      <c r="T66" s="168">
        <f>IFERROR(Consolidado!F66/Consolidado!E66-1,0)</f>
        <v>-9.9999999999999978E-2</v>
      </c>
      <c r="U66" s="167">
        <f>IFERROR(Consolidado!G66-Consolidado!F66,0)</f>
        <v>-4442814</v>
      </c>
      <c r="V66" s="169">
        <f>IFERROR(Consolidado!G66/Consolidado!F66-1,0)</f>
        <v>-9.9999999999999978E-2</v>
      </c>
    </row>
    <row r="67" spans="1:22" x14ac:dyDescent="0.25">
      <c r="A67" s="181" t="s">
        <v>42</v>
      </c>
      <c r="B67" s="103">
        <v>12000</v>
      </c>
      <c r="C67" s="24">
        <v>4000</v>
      </c>
      <c r="D67" s="23">
        <v>0</v>
      </c>
      <c r="E67" s="117">
        <f>Supuestos!$M$30*Supuestos!M6</f>
        <v>1447.264149890432</v>
      </c>
      <c r="F67" s="117">
        <f>Supuestos!$M$30*Supuestos!N6</f>
        <v>1318.5009484477725</v>
      </c>
      <c r="G67" s="117">
        <f>Supuestos!$M$30*Supuestos!O6</f>
        <v>1201.193818826569</v>
      </c>
      <c r="I67" s="30">
        <f>IFERROR(Consolidado!C67/Consolidado!$C$57,)</f>
        <v>1.262363270278288E-5</v>
      </c>
      <c r="J67" s="30">
        <f>IFERROR(Consolidado!D67/Consolidado!$D$57,)</f>
        <v>0</v>
      </c>
      <c r="K67" s="30">
        <f>IFERROR(Consolidado!E67/Consolidado!$E$57,)</f>
        <v>5.1230448257197537E-6</v>
      </c>
      <c r="L67" s="30">
        <f>IFERROR(Consolidado!F67/Consolidado!$F$57,)</f>
        <v>4.739258599915092E-6</v>
      </c>
      <c r="M67" s="30">
        <f>IFERROR(Consolidado!G67/Consolidado!$G$57,)</f>
        <v>4.3215586245897612E-6</v>
      </c>
      <c r="O67" s="46">
        <f>IFERROR(Consolidado!D67-Consolidado!C67,)</f>
        <v>-4000</v>
      </c>
      <c r="P67" s="30">
        <f>IFERROR(Consolidado!D67/Consolidado!C67-1,)</f>
        <v>-1</v>
      </c>
      <c r="Q67" s="46">
        <f>IFERROR(Consolidado!E67-Consolidado!D67,)</f>
        <v>1447.264149890432</v>
      </c>
      <c r="R67" s="30">
        <f>IFERROR(Consolidado!E67/Consolidado!D67-1,)</f>
        <v>0</v>
      </c>
      <c r="S67" s="167">
        <f>IFERROR(Consolidado!F67-Consolidado!E67,0)</f>
        <v>-128.76320144265947</v>
      </c>
      <c r="T67" s="168">
        <f>IFERROR(Consolidado!F67/Consolidado!E67-1,0)</f>
        <v>-8.8970076024067701E-2</v>
      </c>
      <c r="U67" s="167">
        <f>IFERROR(Consolidado!G67-Consolidado!F67,0)</f>
        <v>-117.30712962120356</v>
      </c>
      <c r="V67" s="169">
        <f>IFERROR(Consolidado!G67/Consolidado!F67-1,0)</f>
        <v>-8.897007602406759E-2</v>
      </c>
    </row>
    <row r="68" spans="1:22" ht="47.25" x14ac:dyDescent="0.25">
      <c r="A68" s="23" t="s">
        <v>43</v>
      </c>
      <c r="B68" s="25">
        <f t="shared" ref="B68:G68" si="17">SUM(B63:B67)</f>
        <v>163583000</v>
      </c>
      <c r="C68" s="25">
        <f t="shared" si="17"/>
        <v>171944000</v>
      </c>
      <c r="D68" s="25">
        <f t="shared" si="17"/>
        <v>135055000</v>
      </c>
      <c r="E68" s="25">
        <f t="shared" si="17"/>
        <v>122472102.98999362</v>
      </c>
      <c r="F68" s="25">
        <f t="shared" si="17"/>
        <v>111031262.89104411</v>
      </c>
      <c r="G68" s="25">
        <f t="shared" si="17"/>
        <v>100662763.9839876</v>
      </c>
      <c r="I68" s="30">
        <f>IFERROR(Consolidado!C68/Consolidado!$C$57,)</f>
        <v>0.54263947536182489</v>
      </c>
      <c r="J68" s="30">
        <f>IFERROR(Consolidado!D68/Consolidado!$D$57,)</f>
        <v>0.45866870436406859</v>
      </c>
      <c r="K68" s="30">
        <f>IFERROR(Consolidado!E68/Consolidado!$E$57,)</f>
        <v>0.43352837390838739</v>
      </c>
      <c r="L68" s="30">
        <f>IFERROR(Consolidado!F68/Consolidado!$F$57,)</f>
        <v>0.39909403791881903</v>
      </c>
      <c r="M68" s="30">
        <f>IFERROR(Consolidado!G68/Consolidado!$G$57,)</f>
        <v>0.36215640561238543</v>
      </c>
      <c r="O68" s="46">
        <f>IFERROR(Consolidado!D68-Consolidado!C68,)</f>
        <v>-36889000</v>
      </c>
      <c r="P68" s="30">
        <f>IFERROR(Consolidado!D68/Consolidado!C68-1,)</f>
        <v>-0.21454078071930394</v>
      </c>
      <c r="Q68" s="46">
        <f>IFERROR(Consolidado!E68-Consolidado!D68,)</f>
        <v>-12582897.010006383</v>
      </c>
      <c r="R68" s="30">
        <f>IFERROR(Consolidado!E68/Consolidado!D68-1,)</f>
        <v>-9.3168686905382159E-2</v>
      </c>
      <c r="S68" s="167">
        <f>IFERROR(Consolidado!F68-Consolidado!E68,0)</f>
        <v>-11440840.098949507</v>
      </c>
      <c r="T68" s="168">
        <f>IFERROR(Consolidado!F68/Consolidado!E68-1,0)</f>
        <v>-9.3415886717355234E-2</v>
      </c>
      <c r="U68" s="167">
        <f>IFERROR(Consolidado!G68-Consolidado!F68,0)</f>
        <v>-10368498.90705651</v>
      </c>
      <c r="V68" s="169">
        <f>IFERROR(Consolidado!G68/Consolidado!F68-1,0)</f>
        <v>-9.3383598790830691E-2</v>
      </c>
    </row>
    <row r="69" spans="1:22" ht="31.5" x14ac:dyDescent="0.25">
      <c r="A69" s="23" t="s">
        <v>44</v>
      </c>
      <c r="B69" s="104" t="s">
        <v>11</v>
      </c>
      <c r="C69" s="23" t="s">
        <v>11</v>
      </c>
      <c r="D69" s="23" t="s">
        <v>11</v>
      </c>
      <c r="E69" s="23" t="s">
        <v>11</v>
      </c>
      <c r="F69" s="23" t="s">
        <v>11</v>
      </c>
      <c r="G69" s="23" t="s">
        <v>11</v>
      </c>
      <c r="I69" s="30">
        <f>IFERROR(Consolidado!C69/Consolidado!$C$57,)</f>
        <v>0</v>
      </c>
      <c r="J69" s="30">
        <f>IFERROR(Consolidado!D69/Consolidado!$D$57,)</f>
        <v>0</v>
      </c>
      <c r="K69" s="30">
        <f>IFERROR(Consolidado!E69/Consolidado!$E$57,)</f>
        <v>0</v>
      </c>
      <c r="L69" s="30">
        <f>IFERROR(Consolidado!F69/Consolidado!$F$57,)</f>
        <v>0</v>
      </c>
      <c r="M69" s="30">
        <f>IFERROR(Consolidado!G69/Consolidado!$G$57,)</f>
        <v>0</v>
      </c>
      <c r="O69" s="46">
        <f>IFERROR(Consolidado!D69-Consolidado!C69,)</f>
        <v>0</v>
      </c>
      <c r="P69" s="30">
        <f>IFERROR(Consolidado!D69/Consolidado!C69-1,)</f>
        <v>0</v>
      </c>
      <c r="Q69" s="46">
        <f>IFERROR(Consolidado!E69-Consolidado!D69,)</f>
        <v>0</v>
      </c>
      <c r="R69" s="30">
        <f>IFERROR(Consolidado!E69/Consolidado!D69-1,)</f>
        <v>0</v>
      </c>
      <c r="S69" s="167">
        <f>IFERROR(Consolidado!F69-Consolidado!E69,0)</f>
        <v>0</v>
      </c>
      <c r="T69" s="168">
        <f>IFERROR(Consolidado!F69/Consolidado!E69-1,0)</f>
        <v>0</v>
      </c>
      <c r="U69" s="167">
        <f>IFERROR(Consolidado!G69-Consolidado!F69,0)</f>
        <v>0</v>
      </c>
      <c r="V69" s="169">
        <f>IFERROR(Consolidado!G69/Consolidado!F69-1,0)</f>
        <v>0</v>
      </c>
    </row>
    <row r="70" spans="1:22" x14ac:dyDescent="0.25">
      <c r="A70" s="23" t="s">
        <v>45</v>
      </c>
      <c r="B70" s="103">
        <v>163583000</v>
      </c>
      <c r="C70" s="24">
        <v>171944000</v>
      </c>
      <c r="D70" s="24">
        <v>135055000</v>
      </c>
      <c r="E70" s="25">
        <f>E68</f>
        <v>122472102.98999362</v>
      </c>
      <c r="F70" s="25">
        <f>F68</f>
        <v>111031262.89104411</v>
      </c>
      <c r="G70" s="25">
        <f>G68</f>
        <v>100662763.9839876</v>
      </c>
      <c r="I70" s="30">
        <f>IFERROR(Consolidado!C70/Consolidado!$C$57,)</f>
        <v>0.54263947536182489</v>
      </c>
      <c r="J70" s="30">
        <f>IFERROR(Consolidado!D70/Consolidado!$D$57,)</f>
        <v>0.45866870436406859</v>
      </c>
      <c r="K70" s="30">
        <f>IFERROR(Consolidado!E70/Consolidado!$E$57,)</f>
        <v>0.43352837390838739</v>
      </c>
      <c r="L70" s="30">
        <f>IFERROR(Consolidado!F70/Consolidado!$F$57,)</f>
        <v>0.39909403791881903</v>
      </c>
      <c r="M70" s="30">
        <f>IFERROR(Consolidado!G70/Consolidado!$G$57,)</f>
        <v>0.36215640561238543</v>
      </c>
      <c r="O70" s="46">
        <f>IFERROR(Consolidado!D70-Consolidado!C70,)</f>
        <v>-36889000</v>
      </c>
      <c r="P70" s="30">
        <f>IFERROR(Consolidado!D70/Consolidado!C70-1,)</f>
        <v>-0.21454078071930394</v>
      </c>
      <c r="Q70" s="46">
        <f>IFERROR(Consolidado!E70-Consolidado!D70,)</f>
        <v>-12582897.010006383</v>
      </c>
      <c r="R70" s="30">
        <f>IFERROR(Consolidado!E70/Consolidado!D70-1,)</f>
        <v>-9.3168686905382159E-2</v>
      </c>
      <c r="S70" s="167">
        <f>IFERROR(Consolidado!F70-Consolidado!E70,0)</f>
        <v>-11440840.098949507</v>
      </c>
      <c r="T70" s="168">
        <f>IFERROR(Consolidado!F70/Consolidado!E70-1,0)</f>
        <v>-9.3415886717355234E-2</v>
      </c>
      <c r="U70" s="167">
        <f>IFERROR(Consolidado!G70-Consolidado!F70,0)</f>
        <v>-10368498.90705651</v>
      </c>
      <c r="V70" s="169">
        <f>IFERROR(Consolidado!G70/Consolidado!F70-1,0)</f>
        <v>-9.3383598790830691E-2</v>
      </c>
    </row>
    <row r="71" spans="1:22" x14ac:dyDescent="0.25">
      <c r="A71" s="20" t="s">
        <v>46</v>
      </c>
      <c r="B71" s="102" t="s">
        <v>1</v>
      </c>
      <c r="C71" s="21" t="s">
        <v>1</v>
      </c>
      <c r="D71" s="21" t="s">
        <v>1</v>
      </c>
      <c r="E71" s="21"/>
      <c r="F71" s="21"/>
      <c r="G71" s="21"/>
      <c r="I71" s="30">
        <f>IFERROR(Consolidado!C71/Consolidado!$C$57,)</f>
        <v>0</v>
      </c>
      <c r="J71" s="30">
        <f>IFERROR(Consolidado!D71/Consolidado!$D$57,)</f>
        <v>0</v>
      </c>
      <c r="K71" s="30">
        <f>IFERROR(Consolidado!E71/Consolidado!$E$57,)</f>
        <v>0</v>
      </c>
      <c r="L71" s="30">
        <f>IFERROR(Consolidado!F71/Consolidado!$F$57,)</f>
        <v>0</v>
      </c>
      <c r="M71" s="30">
        <f>IFERROR(Consolidado!G71/Consolidado!$G$57,)</f>
        <v>0</v>
      </c>
      <c r="O71" s="46">
        <f>IFERROR(Consolidado!D71-Consolidado!C71,)</f>
        <v>0</v>
      </c>
      <c r="P71" s="30">
        <f>IFERROR(Consolidado!D71/Consolidado!C71-1,)</f>
        <v>0</v>
      </c>
      <c r="Q71" s="46">
        <f>IFERROR(Consolidado!E71-Consolidado!D71,)</f>
        <v>0</v>
      </c>
      <c r="R71" s="30">
        <f>IFERROR(Consolidado!E71/Consolidado!D71-1,)</f>
        <v>0</v>
      </c>
      <c r="S71" s="167">
        <f>IFERROR(Consolidado!F71-Consolidado!E71,0)</f>
        <v>0</v>
      </c>
      <c r="T71" s="168">
        <f>IFERROR(Consolidado!F71/Consolidado!E71-1,0)</f>
        <v>0</v>
      </c>
      <c r="U71" s="167">
        <f>IFERROR(Consolidado!G71-Consolidado!F71,0)</f>
        <v>0</v>
      </c>
      <c r="V71" s="169">
        <f>IFERROR(Consolidado!G71/Consolidado!F71-1,0)</f>
        <v>0</v>
      </c>
    </row>
    <row r="72" spans="1:22" x14ac:dyDescent="0.25">
      <c r="A72" s="20" t="s">
        <v>47</v>
      </c>
      <c r="B72" s="102" t="s">
        <v>1</v>
      </c>
      <c r="C72" s="21" t="s">
        <v>1</v>
      </c>
      <c r="D72" s="21" t="s">
        <v>1</v>
      </c>
      <c r="E72" s="21"/>
      <c r="F72" s="21"/>
      <c r="G72" s="21"/>
      <c r="I72" s="30">
        <f>IFERROR(Consolidado!C72/Consolidado!$C$57,)</f>
        <v>0</v>
      </c>
      <c r="J72" s="30">
        <f>IFERROR(Consolidado!D72/Consolidado!$D$57,)</f>
        <v>0</v>
      </c>
      <c r="K72" s="30">
        <f>IFERROR(Consolidado!E72/Consolidado!$E$57,)</f>
        <v>0</v>
      </c>
      <c r="L72" s="30">
        <f>IFERROR(Consolidado!F72/Consolidado!$F$57,)</f>
        <v>0</v>
      </c>
      <c r="M72" s="30">
        <f>IFERROR(Consolidado!G72/Consolidado!$G$57,)</f>
        <v>0</v>
      </c>
      <c r="O72" s="46">
        <f>IFERROR(Consolidado!D72-Consolidado!C72,)</f>
        <v>0</v>
      </c>
      <c r="P72" s="30">
        <f>IFERROR(Consolidado!D72/Consolidado!C72-1,)</f>
        <v>0</v>
      </c>
      <c r="Q72" s="46">
        <f>IFERROR(Consolidado!E72-Consolidado!D72,)</f>
        <v>0</v>
      </c>
      <c r="R72" s="30">
        <f>IFERROR(Consolidado!E72/Consolidado!D72-1,)</f>
        <v>0</v>
      </c>
      <c r="S72" s="167">
        <f>IFERROR(Consolidado!F72-Consolidado!E72,0)</f>
        <v>0</v>
      </c>
      <c r="T72" s="168">
        <f>IFERROR(Consolidado!F72/Consolidado!E72-1,0)</f>
        <v>0</v>
      </c>
      <c r="U72" s="167">
        <f>IFERROR(Consolidado!G72-Consolidado!F72,0)</f>
        <v>0</v>
      </c>
      <c r="V72" s="169">
        <f>IFERROR(Consolidado!G72/Consolidado!F72-1,0)</f>
        <v>0</v>
      </c>
    </row>
    <row r="73" spans="1:22" x14ac:dyDescent="0.25">
      <c r="A73" s="23" t="s">
        <v>48</v>
      </c>
      <c r="B73" s="104" t="s">
        <v>11</v>
      </c>
      <c r="C73" s="23" t="s">
        <v>11</v>
      </c>
      <c r="D73" s="23" t="s">
        <v>11</v>
      </c>
      <c r="E73" s="23" t="s">
        <v>11</v>
      </c>
      <c r="F73" s="23" t="s">
        <v>11</v>
      </c>
      <c r="G73" s="23" t="s">
        <v>11</v>
      </c>
      <c r="I73" s="30">
        <f>IFERROR(Consolidado!C73/Consolidado!$C$57,)</f>
        <v>0</v>
      </c>
      <c r="J73" s="30">
        <f>IFERROR(Consolidado!D73/Consolidado!$D$57,)</f>
        <v>0</v>
      </c>
      <c r="K73" s="30">
        <f>IFERROR(Consolidado!E73/Consolidado!$E$57,)</f>
        <v>0</v>
      </c>
      <c r="L73" s="30">
        <f>IFERROR(Consolidado!F73/Consolidado!$F$57,)</f>
        <v>0</v>
      </c>
      <c r="M73" s="30">
        <f>IFERROR(Consolidado!G73/Consolidado!$G$57,)</f>
        <v>0</v>
      </c>
      <c r="O73" s="46">
        <f>IFERROR(Consolidado!D73-Consolidado!C73,)</f>
        <v>0</v>
      </c>
      <c r="P73" s="30">
        <f>IFERROR(Consolidado!D73/Consolidado!C73-1,)</f>
        <v>0</v>
      </c>
      <c r="Q73" s="46">
        <f>IFERROR(Consolidado!E73-Consolidado!D73,)</f>
        <v>0</v>
      </c>
      <c r="R73" s="30">
        <f>IFERROR(Consolidado!E73/Consolidado!D73-1,)</f>
        <v>0</v>
      </c>
      <c r="S73" s="167">
        <f>IFERROR(Consolidado!F73-Consolidado!E73,0)</f>
        <v>0</v>
      </c>
      <c r="T73" s="168">
        <f>IFERROR(Consolidado!F73/Consolidado!E73-1,0)</f>
        <v>0</v>
      </c>
      <c r="U73" s="167">
        <f>IFERROR(Consolidado!G73-Consolidado!F73,0)</f>
        <v>0</v>
      </c>
      <c r="V73" s="169">
        <f>IFERROR(Consolidado!G73/Consolidado!F73-1,0)</f>
        <v>0</v>
      </c>
    </row>
    <row r="74" spans="1:22" x14ac:dyDescent="0.25">
      <c r="A74" s="23" t="s">
        <v>49</v>
      </c>
      <c r="B74" s="104" t="s">
        <v>11</v>
      </c>
      <c r="C74" s="23" t="s">
        <v>11</v>
      </c>
      <c r="D74" s="23" t="s">
        <v>11</v>
      </c>
      <c r="E74" s="23" t="s">
        <v>11</v>
      </c>
      <c r="F74" s="23" t="s">
        <v>11</v>
      </c>
      <c r="G74" s="23" t="s">
        <v>11</v>
      </c>
      <c r="I74" s="30">
        <f>IFERROR(Consolidado!C74/Consolidado!$C$57,)</f>
        <v>0</v>
      </c>
      <c r="J74" s="30">
        <f>IFERROR(Consolidado!D74/Consolidado!$D$57,)</f>
        <v>0</v>
      </c>
      <c r="K74" s="30">
        <f>IFERROR(Consolidado!E74/Consolidado!$E$57,)</f>
        <v>0</v>
      </c>
      <c r="L74" s="30">
        <f>IFERROR(Consolidado!F74/Consolidado!$F$57,)</f>
        <v>0</v>
      </c>
      <c r="M74" s="30">
        <f>IFERROR(Consolidado!G74/Consolidado!$G$57,)</f>
        <v>0</v>
      </c>
      <c r="O74" s="46">
        <f>IFERROR(Consolidado!D74-Consolidado!C74,)</f>
        <v>0</v>
      </c>
      <c r="P74" s="30">
        <f>IFERROR(Consolidado!D74/Consolidado!C74-1,)</f>
        <v>0</v>
      </c>
      <c r="Q74" s="46">
        <f>IFERROR(Consolidado!E74-Consolidado!D74,)</f>
        <v>0</v>
      </c>
      <c r="R74" s="30">
        <f>IFERROR(Consolidado!E74/Consolidado!D74-1,)</f>
        <v>0</v>
      </c>
      <c r="S74" s="167">
        <f>IFERROR(Consolidado!F74-Consolidado!E74,0)</f>
        <v>0</v>
      </c>
      <c r="T74" s="168">
        <f>IFERROR(Consolidado!F74/Consolidado!E74-1,0)</f>
        <v>0</v>
      </c>
      <c r="U74" s="167">
        <f>IFERROR(Consolidado!G74-Consolidado!F74,0)</f>
        <v>0</v>
      </c>
      <c r="V74" s="169">
        <f>IFERROR(Consolidado!G74/Consolidado!F74-1,0)</f>
        <v>0</v>
      </c>
    </row>
    <row r="75" spans="1:22" x14ac:dyDescent="0.25">
      <c r="A75" s="23" t="s">
        <v>50</v>
      </c>
      <c r="B75" s="104" t="s">
        <v>11</v>
      </c>
      <c r="C75" s="23" t="s">
        <v>11</v>
      </c>
      <c r="D75" s="23" t="s">
        <v>11</v>
      </c>
      <c r="E75" s="23" t="s">
        <v>11</v>
      </c>
      <c r="F75" s="23" t="s">
        <v>11</v>
      </c>
      <c r="G75" s="23" t="s">
        <v>11</v>
      </c>
      <c r="I75" s="30">
        <f>IFERROR(Consolidado!C75/Consolidado!$C$57,)</f>
        <v>0</v>
      </c>
      <c r="J75" s="30">
        <f>IFERROR(Consolidado!D75/Consolidado!$D$57,)</f>
        <v>0</v>
      </c>
      <c r="K75" s="30">
        <f>IFERROR(Consolidado!E75/Consolidado!$E$57,)</f>
        <v>0</v>
      </c>
      <c r="L75" s="30">
        <f>IFERROR(Consolidado!F75/Consolidado!$F$57,)</f>
        <v>0</v>
      </c>
      <c r="M75" s="30">
        <f>IFERROR(Consolidado!G75/Consolidado!$G$57,)</f>
        <v>0</v>
      </c>
      <c r="O75" s="46">
        <f>IFERROR(Consolidado!D75-Consolidado!C75,)</f>
        <v>0</v>
      </c>
      <c r="P75" s="30">
        <f>IFERROR(Consolidado!D75/Consolidado!C75-1,)</f>
        <v>0</v>
      </c>
      <c r="Q75" s="46">
        <f>IFERROR(Consolidado!E75-Consolidado!D75,)</f>
        <v>0</v>
      </c>
      <c r="R75" s="30">
        <f>IFERROR(Consolidado!E75/Consolidado!D75-1,)</f>
        <v>0</v>
      </c>
      <c r="S75" s="167">
        <f>IFERROR(Consolidado!F75-Consolidado!E75,0)</f>
        <v>0</v>
      </c>
      <c r="T75" s="168">
        <f>IFERROR(Consolidado!F75/Consolidado!E75-1,0)</f>
        <v>0</v>
      </c>
      <c r="U75" s="167">
        <f>IFERROR(Consolidado!G75-Consolidado!F75,0)</f>
        <v>0</v>
      </c>
      <c r="V75" s="169">
        <f>IFERROR(Consolidado!G75/Consolidado!F75-1,0)</f>
        <v>0</v>
      </c>
    </row>
    <row r="76" spans="1:22" ht="31.5" x14ac:dyDescent="0.25">
      <c r="A76" s="23" t="s">
        <v>51</v>
      </c>
      <c r="B76" s="104" t="s">
        <v>11</v>
      </c>
      <c r="C76" s="23" t="s">
        <v>11</v>
      </c>
      <c r="D76" s="23" t="s">
        <v>11</v>
      </c>
      <c r="E76" s="23" t="s">
        <v>11</v>
      </c>
      <c r="F76" s="23" t="s">
        <v>11</v>
      </c>
      <c r="G76" s="23" t="s">
        <v>11</v>
      </c>
      <c r="I76" s="30">
        <f>IFERROR(Consolidado!C76/Consolidado!$C$57,)</f>
        <v>0</v>
      </c>
      <c r="J76" s="30">
        <f>IFERROR(Consolidado!D76/Consolidado!$D$57,)</f>
        <v>0</v>
      </c>
      <c r="K76" s="30">
        <f>IFERROR(Consolidado!E76/Consolidado!$E$57,)</f>
        <v>0</v>
      </c>
      <c r="L76" s="30">
        <f>IFERROR(Consolidado!F76/Consolidado!$F$57,)</f>
        <v>0</v>
      </c>
      <c r="M76" s="30">
        <f>IFERROR(Consolidado!G76/Consolidado!$G$57,)</f>
        <v>0</v>
      </c>
      <c r="O76" s="46">
        <f>IFERROR(Consolidado!D76-Consolidado!C76,)</f>
        <v>0</v>
      </c>
      <c r="P76" s="30">
        <f>IFERROR(Consolidado!D76/Consolidado!C76-1,)</f>
        <v>0</v>
      </c>
      <c r="Q76" s="46">
        <f>IFERROR(Consolidado!E76-Consolidado!D76,)</f>
        <v>0</v>
      </c>
      <c r="R76" s="30">
        <f>IFERROR(Consolidado!E76/Consolidado!D76-1,)</f>
        <v>0</v>
      </c>
      <c r="S76" s="167">
        <f>IFERROR(Consolidado!F76-Consolidado!E76,0)</f>
        <v>0</v>
      </c>
      <c r="T76" s="168">
        <f>IFERROR(Consolidado!F76/Consolidado!E76-1,0)</f>
        <v>0</v>
      </c>
      <c r="U76" s="167">
        <f>IFERROR(Consolidado!G76-Consolidado!F76,0)</f>
        <v>0</v>
      </c>
      <c r="V76" s="169">
        <f>IFERROR(Consolidado!G76/Consolidado!F76-1,0)</f>
        <v>0</v>
      </c>
    </row>
    <row r="77" spans="1:22" x14ac:dyDescent="0.25">
      <c r="A77" s="181" t="s">
        <v>52</v>
      </c>
      <c r="B77" s="103">
        <v>14243000</v>
      </c>
      <c r="C77" s="24">
        <v>11603000</v>
      </c>
      <c r="D77" s="24">
        <v>8629000</v>
      </c>
      <c r="E77" s="117">
        <f>Supuestos!$M$53*Supuestos!M6</f>
        <v>7842321.0173779447</v>
      </c>
      <c r="F77" s="117">
        <f>Supuestos!$M$53*Supuestos!N6</f>
        <v>7144589.1202566847</v>
      </c>
      <c r="G77" s="117">
        <f>Supuestos!$M$53*Supuestos!O6</f>
        <v>6508934.48306672</v>
      </c>
      <c r="I77" s="30">
        <f>IFERROR(Consolidado!C77/Consolidado!$C$57,)</f>
        <v>3.6618002562597438E-2</v>
      </c>
      <c r="J77" s="30">
        <f>IFERROR(Consolidado!D77/Consolidado!$D$57,)</f>
        <v>2.9305484802173543E-2</v>
      </c>
      <c r="K77" s="30">
        <f>IFERROR(Consolidado!E77/Consolidado!$E$57,)</f>
        <v>2.7760351911399868E-2</v>
      </c>
      <c r="L77" s="30">
        <f>IFERROR(Consolidado!F77/Consolidado!$F$57,)</f>
        <v>2.5680721330461394E-2</v>
      </c>
      <c r="M77" s="30">
        <f>IFERROR(Consolidado!G77/Consolidado!$G$57,)</f>
        <v>2.3417321593999951E-2</v>
      </c>
      <c r="O77" s="46">
        <f>IFERROR(Consolidado!D77-Consolidado!C77,)</f>
        <v>-2974000</v>
      </c>
      <c r="P77" s="30">
        <f>IFERROR(Consolidado!D77/Consolidado!C77-1,)</f>
        <v>-0.25631302249418253</v>
      </c>
      <c r="Q77" s="46">
        <f>IFERROR(Consolidado!E77-Consolidado!D77,)</f>
        <v>-786678.98262205534</v>
      </c>
      <c r="R77" s="30">
        <f>IFERROR(Consolidado!E77/Consolidado!D77-1,)</f>
        <v>-9.1166877114619904E-2</v>
      </c>
      <c r="S77" s="167">
        <f>IFERROR(Consolidado!F77-Consolidado!E77,0)</f>
        <v>-697731.89712125994</v>
      </c>
      <c r="T77" s="168">
        <f>IFERROR(Consolidado!F77/Consolidado!E77-1,0)</f>
        <v>-8.8970076024067701E-2</v>
      </c>
      <c r="U77" s="167">
        <f>IFERROR(Consolidado!G77-Consolidado!F77,0)</f>
        <v>-635654.63718996476</v>
      </c>
      <c r="V77" s="169">
        <f>IFERROR(Consolidado!G77/Consolidado!F77-1,0)</f>
        <v>-8.8970076024067812E-2</v>
      </c>
    </row>
    <row r="78" spans="1:22" x14ac:dyDescent="0.25">
      <c r="A78" s="23" t="s">
        <v>53</v>
      </c>
      <c r="B78" s="104" t="s">
        <v>11</v>
      </c>
      <c r="C78" s="23" t="s">
        <v>11</v>
      </c>
      <c r="D78" s="23" t="s">
        <v>11</v>
      </c>
      <c r="E78" s="23" t="s">
        <v>11</v>
      </c>
      <c r="F78" s="23" t="s">
        <v>11</v>
      </c>
      <c r="G78" s="23" t="s">
        <v>11</v>
      </c>
      <c r="I78" s="30">
        <f>IFERROR(Consolidado!C78/Consolidado!$C$57,)</f>
        <v>0</v>
      </c>
      <c r="J78" s="30">
        <f>IFERROR(Consolidado!D78/Consolidado!$D$57,)</f>
        <v>0</v>
      </c>
      <c r="K78" s="30">
        <f>IFERROR(Consolidado!E78/Consolidado!$E$57,)</f>
        <v>0</v>
      </c>
      <c r="L78" s="30">
        <f>IFERROR(Consolidado!F78/Consolidado!$F$57,)</f>
        <v>0</v>
      </c>
      <c r="M78" s="30">
        <f>IFERROR(Consolidado!G78/Consolidado!$G$57,)</f>
        <v>0</v>
      </c>
      <c r="O78" s="46">
        <f>IFERROR(Consolidado!D78-Consolidado!C78,)</f>
        <v>0</v>
      </c>
      <c r="P78" s="30">
        <f>IFERROR(Consolidado!D78/Consolidado!C78-1,)</f>
        <v>0</v>
      </c>
      <c r="Q78" s="46">
        <f>IFERROR(Consolidado!E78-Consolidado!D78,)</f>
        <v>0</v>
      </c>
      <c r="R78" s="30">
        <f>IFERROR(Consolidado!E78/Consolidado!D78-1,)</f>
        <v>0</v>
      </c>
      <c r="S78" s="167">
        <f>IFERROR(Consolidado!F78-Consolidado!E78,0)</f>
        <v>0</v>
      </c>
      <c r="T78" s="168">
        <f>IFERROR(Consolidado!F78/Consolidado!E78-1,0)</f>
        <v>0</v>
      </c>
      <c r="U78" s="167">
        <f>IFERROR(Consolidado!G78-Consolidado!F78,0)</f>
        <v>0</v>
      </c>
      <c r="V78" s="169">
        <f>IFERROR(Consolidado!G78/Consolidado!F78-1,0)</f>
        <v>0</v>
      </c>
    </row>
    <row r="79" spans="1:22" x14ac:dyDescent="0.25">
      <c r="A79" s="23" t="s">
        <v>54</v>
      </c>
      <c r="B79" s="103">
        <v>58488000</v>
      </c>
      <c r="C79" s="24">
        <v>59318000</v>
      </c>
      <c r="D79" s="24">
        <v>75802000</v>
      </c>
      <c r="E79" s="206">
        <f>D79*(1-Supuestos!N60)</f>
        <v>64431700</v>
      </c>
      <c r="F79" s="206">
        <f>E79*(1-Supuestos!O60)</f>
        <v>57988530</v>
      </c>
      <c r="G79" s="206">
        <f>F79*(1-Supuestos!P60)</f>
        <v>52189677</v>
      </c>
      <c r="I79" s="30">
        <f>IFERROR(Consolidado!C79/Consolidado!$C$57,)</f>
        <v>0.18720216116591873</v>
      </c>
      <c r="J79" s="30">
        <f>IFERROR(Consolidado!D79/Consolidado!$D$57,)</f>
        <v>0.25743589743589745</v>
      </c>
      <c r="K79" s="30">
        <f>IFERROR(Consolidado!E79/Consolidado!$E$57,)</f>
        <v>0.22807618590035367</v>
      </c>
      <c r="L79" s="30">
        <f>IFERROR(Consolidado!F79/Consolidado!$F$57,)</f>
        <v>0.20843567827726925</v>
      </c>
      <c r="M79" s="30">
        <f>IFERROR(Consolidado!G79/Consolidado!$G$57,)</f>
        <v>0.18776382730160215</v>
      </c>
      <c r="O79" s="46">
        <f>IFERROR(Consolidado!D79-Consolidado!C79,)</f>
        <v>16484000</v>
      </c>
      <c r="P79" s="30">
        <f>IFERROR(Consolidado!D79/Consolidado!C79-1,)</f>
        <v>0.27789203951582997</v>
      </c>
      <c r="Q79" s="46">
        <f>IFERROR(Consolidado!E79-Consolidado!D79,)</f>
        <v>-11370300</v>
      </c>
      <c r="R79" s="30">
        <f>IFERROR(Consolidado!E79/Consolidado!D79-1,)</f>
        <v>-0.15000000000000002</v>
      </c>
      <c r="S79" s="167">
        <f>IFERROR(Consolidado!F79-Consolidado!E79,0)</f>
        <v>-6443170</v>
      </c>
      <c r="T79" s="168">
        <f>IFERROR(Consolidado!F79/Consolidado!E79-1,0)</f>
        <v>-9.9999999999999978E-2</v>
      </c>
      <c r="U79" s="167">
        <f>IFERROR(Consolidado!G79-Consolidado!F79,0)</f>
        <v>-5798853</v>
      </c>
      <c r="V79" s="169">
        <f>IFERROR(Consolidado!G79/Consolidado!F79-1,0)</f>
        <v>-9.9999999999999978E-2</v>
      </c>
    </row>
    <row r="80" spans="1:22" x14ac:dyDescent="0.25">
      <c r="A80" s="181" t="s">
        <v>55</v>
      </c>
      <c r="B80" s="103">
        <v>12268000</v>
      </c>
      <c r="C80" s="24">
        <v>9028000</v>
      </c>
      <c r="D80" s="24">
        <v>5308000</v>
      </c>
      <c r="E80" s="25">
        <f>Supuestos!$M$33*Supuestos!M6</f>
        <v>5508131.4488554951</v>
      </c>
      <c r="F80" s="25">
        <f>Supuestos!$M$33*Supuestos!N6</f>
        <v>5018072.5751002626</v>
      </c>
      <c r="G80" s="25">
        <f>Supuestos!$M$33*Supuestos!O6</f>
        <v>4571614.2765993038</v>
      </c>
      <c r="I80" s="30">
        <f>IFERROR(Consolidado!C80/Consolidado!$C$57,)</f>
        <v>2.849153901018096E-2</v>
      </c>
      <c r="J80" s="30">
        <f>IFERROR(Consolidado!D80/Consolidado!$D$57,)</f>
        <v>1.8026829682458823E-2</v>
      </c>
      <c r="K80" s="30">
        <f>IFERROR(Consolidado!E80/Consolidado!$E$57,)</f>
        <v>1.9497756729882191E-2</v>
      </c>
      <c r="L80" s="30">
        <f>IFERROR(Consolidado!F80/Consolidado!$F$57,)</f>
        <v>1.8037107697601341E-2</v>
      </c>
      <c r="M80" s="30">
        <f>IFERROR(Consolidado!G80/Consolidado!$G$57,)</f>
        <v>1.6447386587982341E-2</v>
      </c>
      <c r="O80" s="46">
        <f>IFERROR(Consolidado!D80-Consolidado!C80,)</f>
        <v>-3720000</v>
      </c>
      <c r="P80" s="30">
        <f>IFERROR(Consolidado!D80/Consolidado!C80-1,)</f>
        <v>-0.41205139565795301</v>
      </c>
      <c r="Q80" s="46">
        <f>IFERROR(Consolidado!E80-Consolidado!D80,)</f>
        <v>200131.44885549508</v>
      </c>
      <c r="R80" s="30">
        <f>IFERROR(Consolidado!E80/Consolidado!D80-1,)</f>
        <v>3.7703739422662919E-2</v>
      </c>
      <c r="S80" s="167">
        <f>IFERROR(Consolidado!F80-Consolidado!E80,0)</f>
        <v>-490058.87375523243</v>
      </c>
      <c r="T80" s="168">
        <f>IFERROR(Consolidado!F80/Consolidado!E80-1,0)</f>
        <v>-8.8970076024067812E-2</v>
      </c>
      <c r="U80" s="167">
        <f>IFERROR(Consolidado!G80-Consolidado!F80,0)</f>
        <v>-446458.29850095883</v>
      </c>
      <c r="V80" s="169">
        <f>IFERROR(Consolidado!G80/Consolidado!F80-1,0)</f>
        <v>-8.897007602406759E-2</v>
      </c>
    </row>
    <row r="81" spans="1:22" x14ac:dyDescent="0.25">
      <c r="A81" s="23" t="s">
        <v>56</v>
      </c>
      <c r="B81" s="25">
        <f t="shared" ref="B81:G81" si="18">SUM(B73:B80)</f>
        <v>84999000</v>
      </c>
      <c r="C81" s="25">
        <f t="shared" si="18"/>
        <v>79949000</v>
      </c>
      <c r="D81" s="25">
        <f t="shared" si="18"/>
        <v>89739000</v>
      </c>
      <c r="E81" s="25">
        <f t="shared" si="18"/>
        <v>77782152.466233432</v>
      </c>
      <c r="F81" s="25">
        <f t="shared" si="18"/>
        <v>70151191.69535695</v>
      </c>
      <c r="G81" s="25">
        <f t="shared" si="18"/>
        <v>63270225.759666026</v>
      </c>
      <c r="I81" s="30">
        <f>IFERROR(Consolidado!C81/Consolidado!$C$57,)</f>
        <v>0.25231170273869713</v>
      </c>
      <c r="J81" s="30">
        <f>IFERROR(Consolidado!D81/Consolidado!$D$57,)</f>
        <v>0.30476821192052977</v>
      </c>
      <c r="K81" s="30">
        <f>IFERROR(Consolidado!E81/Consolidado!$E$57,)</f>
        <v>0.27533429454163572</v>
      </c>
      <c r="L81" s="30">
        <f>IFERROR(Consolidado!F81/Consolidado!$F$57,)</f>
        <v>0.25215350730533198</v>
      </c>
      <c r="M81" s="30">
        <f>IFERROR(Consolidado!G81/Consolidado!$G$57,)</f>
        <v>0.22762853548358444</v>
      </c>
      <c r="O81" s="46">
        <f>IFERROR(Consolidado!D81-Consolidado!C81,)</f>
        <v>9790000</v>
      </c>
      <c r="P81" s="30">
        <f>IFERROR(Consolidado!D81/Consolidado!C81-1,)</f>
        <v>0.12245306382819043</v>
      </c>
      <c r="Q81" s="46">
        <f>IFERROR(Consolidado!E81-Consolidado!D81,)</f>
        <v>-11956847.533766568</v>
      </c>
      <c r="R81" s="30">
        <f>IFERROR(Consolidado!E81/Consolidado!D81-1,)</f>
        <v>-0.13324025823517716</v>
      </c>
      <c r="S81" s="167">
        <f>IFERROR(Consolidado!F81-Consolidado!E81,0)</f>
        <v>-7630960.7708764821</v>
      </c>
      <c r="T81" s="168">
        <f>IFERROR(Consolidado!F81/Consolidado!E81-1,0)</f>
        <v>-9.8106834651936592E-2</v>
      </c>
      <c r="U81" s="167">
        <f>IFERROR(Consolidado!G81-Consolidado!F81,0)</f>
        <v>-6880965.9356909245</v>
      </c>
      <c r="V81" s="169">
        <f>IFERROR(Consolidado!G81/Consolidado!F81-1,0)</f>
        <v>-9.8087655667670526E-2</v>
      </c>
    </row>
    <row r="82" spans="1:22" x14ac:dyDescent="0.25">
      <c r="A82" s="20" t="s">
        <v>57</v>
      </c>
      <c r="B82" s="26">
        <f t="shared" ref="B82:G82" si="19">B70+B81</f>
        <v>248582000</v>
      </c>
      <c r="C82" s="26">
        <f t="shared" si="19"/>
        <v>251893000</v>
      </c>
      <c r="D82" s="26">
        <f t="shared" si="19"/>
        <v>224794000</v>
      </c>
      <c r="E82" s="26">
        <f t="shared" si="19"/>
        <v>200254255.45622706</v>
      </c>
      <c r="F82" s="26">
        <f t="shared" si="19"/>
        <v>181182454.58640105</v>
      </c>
      <c r="G82" s="26">
        <f t="shared" si="19"/>
        <v>163932989.74365363</v>
      </c>
      <c r="I82" s="30">
        <f>IFERROR(Consolidado!C82/Consolidado!$C$57,)</f>
        <v>0.79495117810052196</v>
      </c>
      <c r="J82" s="30">
        <f>IFERROR(Consolidado!D82/Consolidado!$D$57,)</f>
        <v>0.76343691628459842</v>
      </c>
      <c r="K82" s="30">
        <f>IFERROR(Consolidado!E82/Consolidado!$E$57,)</f>
        <v>0.7088626684500231</v>
      </c>
      <c r="L82" s="30">
        <f>IFERROR(Consolidado!F82/Consolidado!$F$57,)</f>
        <v>0.65124754522415096</v>
      </c>
      <c r="M82" s="30">
        <f>IFERROR(Consolidado!G82/Consolidado!$G$57,)</f>
        <v>0.58978494109596991</v>
      </c>
      <c r="O82" s="46">
        <f>IFERROR(Consolidado!D82-Consolidado!C82,)</f>
        <v>-27099000</v>
      </c>
      <c r="P82" s="30">
        <f>IFERROR(Consolidado!D82/Consolidado!C82-1,)</f>
        <v>-0.10758139368700204</v>
      </c>
      <c r="Q82" s="46">
        <f>IFERROR(Consolidado!E82-Consolidado!D82,)</f>
        <v>-24539744.543772936</v>
      </c>
      <c r="R82" s="30">
        <f>IFERROR(Consolidado!E82/Consolidado!D82-1,)</f>
        <v>-0.10916547836585022</v>
      </c>
      <c r="S82" s="167">
        <f>IFERROR(Consolidado!F82-Consolidado!E82,0)</f>
        <v>-19071800.869826019</v>
      </c>
      <c r="T82" s="168">
        <f>IFERROR(Consolidado!F82/Consolidado!E82-1,0)</f>
        <v>-9.5237930531742787E-2</v>
      </c>
      <c r="U82" s="167">
        <f>IFERROR(Consolidado!G82-Consolidado!F82,0)</f>
        <v>-17249464.84274742</v>
      </c>
      <c r="V82" s="169">
        <f>IFERROR(Consolidado!G82/Consolidado!F82-1,0)</f>
        <v>-9.5204940688788486E-2</v>
      </c>
    </row>
    <row r="83" spans="1:22" x14ac:dyDescent="0.25">
      <c r="A83" s="20" t="s">
        <v>58</v>
      </c>
      <c r="B83" s="102" t="s">
        <v>1</v>
      </c>
      <c r="C83" s="21" t="s">
        <v>1</v>
      </c>
      <c r="D83" s="21" t="s">
        <v>1</v>
      </c>
      <c r="E83" s="22"/>
      <c r="F83" s="22"/>
      <c r="G83" s="22"/>
      <c r="I83" s="30">
        <f>IFERROR(Consolidado!C83/Consolidado!$C$57,)</f>
        <v>0</v>
      </c>
      <c r="J83" s="30">
        <f>IFERROR(Consolidado!D83/Consolidado!$D$57,)</f>
        <v>0</v>
      </c>
      <c r="K83" s="30">
        <f>IFERROR(Consolidado!E83/Consolidado!$E$57,)</f>
        <v>0</v>
      </c>
      <c r="L83" s="30">
        <f>IFERROR(Consolidado!F83/Consolidado!$F$57,)</f>
        <v>0</v>
      </c>
      <c r="M83" s="30">
        <f>IFERROR(Consolidado!G83/Consolidado!$G$57,)</f>
        <v>0</v>
      </c>
      <c r="O83" s="46">
        <f>IFERROR(Consolidado!D83-Consolidado!C83,)</f>
        <v>0</v>
      </c>
      <c r="P83" s="30">
        <f>IFERROR(Consolidado!D83/Consolidado!C83-1,)</f>
        <v>0</v>
      </c>
      <c r="Q83" s="46">
        <f>IFERROR(Consolidado!E83-Consolidado!D83,)</f>
        <v>0</v>
      </c>
      <c r="R83" s="30">
        <f>IFERROR(Consolidado!E83/Consolidado!D83-1,)</f>
        <v>0</v>
      </c>
      <c r="S83" s="167">
        <f>IFERROR(Consolidado!F83-Consolidado!E83,0)</f>
        <v>0</v>
      </c>
      <c r="T83" s="168">
        <f>IFERROR(Consolidado!F83/Consolidado!E83-1,0)</f>
        <v>0</v>
      </c>
      <c r="U83" s="167">
        <f>IFERROR(Consolidado!G83-Consolidado!F83,0)</f>
        <v>0</v>
      </c>
      <c r="V83" s="169">
        <f>IFERROR(Consolidado!G83/Consolidado!F83-1,0)</f>
        <v>0</v>
      </c>
    </row>
    <row r="84" spans="1:22" x14ac:dyDescent="0.25">
      <c r="A84" s="23" t="s">
        <v>59</v>
      </c>
      <c r="B84" s="103">
        <v>6182000</v>
      </c>
      <c r="C84" s="24">
        <v>6182000</v>
      </c>
      <c r="D84" s="24">
        <v>6182000</v>
      </c>
      <c r="E84" s="24">
        <v>6182000</v>
      </c>
      <c r="F84" s="24">
        <v>6182000</v>
      </c>
      <c r="G84" s="24">
        <v>6182000</v>
      </c>
      <c r="I84" s="30">
        <f>IFERROR(Consolidado!C84/Consolidado!$C$57,)</f>
        <v>1.9509824342150942E-2</v>
      </c>
      <c r="J84" s="30">
        <f>IFERROR(Consolidado!D84/Consolidado!$D$57,)</f>
        <v>2.0995075564611988E-2</v>
      </c>
      <c r="K84" s="30">
        <f>IFERROR(Consolidado!E84/Consolidado!$E$57,)</f>
        <v>2.1883125561423744E-2</v>
      </c>
      <c r="L84" s="30">
        <f>IFERROR(Consolidado!F84/Consolidado!$F$57,)</f>
        <v>2.2220762676861759E-2</v>
      </c>
      <c r="M84" s="30">
        <f>IFERROR(Consolidado!G84/Consolidado!$G$57,)</f>
        <v>2.2241102974799105E-2</v>
      </c>
      <c r="O84" s="46">
        <f>IFERROR(Consolidado!D84-Consolidado!C84,)</f>
        <v>0</v>
      </c>
      <c r="P84" s="30">
        <f>IFERROR(Consolidado!D84/Consolidado!C84-1,)</f>
        <v>0</v>
      </c>
      <c r="Q84" s="46">
        <f>IFERROR(Consolidado!E84-Consolidado!D84,)</f>
        <v>0</v>
      </c>
      <c r="R84" s="30">
        <f>IFERROR(Consolidado!E84/Consolidado!D84-1,)</f>
        <v>0</v>
      </c>
      <c r="S84" s="167">
        <f>IFERROR(Consolidado!F84-Consolidado!E84,0)</f>
        <v>0</v>
      </c>
      <c r="T84" s="168">
        <f>IFERROR(Consolidado!F84/Consolidado!E84-1,0)</f>
        <v>0</v>
      </c>
      <c r="U84" s="167">
        <f>IFERROR(Consolidado!G84-Consolidado!F84,0)</f>
        <v>0</v>
      </c>
      <c r="V84" s="169">
        <f>IFERROR(Consolidado!G84/Consolidado!F84-1,0)</f>
        <v>0</v>
      </c>
    </row>
    <row r="85" spans="1:22" x14ac:dyDescent="0.25">
      <c r="A85" s="23" t="s">
        <v>60</v>
      </c>
      <c r="B85" s="103">
        <v>20854000</v>
      </c>
      <c r="C85" s="24">
        <v>20854000</v>
      </c>
      <c r="D85" s="24">
        <v>20854000</v>
      </c>
      <c r="E85" s="24">
        <v>20854000</v>
      </c>
      <c r="F85" s="24">
        <v>20854000</v>
      </c>
      <c r="G85" s="24">
        <v>20854000</v>
      </c>
      <c r="I85" s="30">
        <f>IFERROR(Consolidado!C85/Consolidado!$C$57,)</f>
        <v>6.5813309095958547E-2</v>
      </c>
      <c r="J85" s="30">
        <f>IFERROR(Consolidado!D85/Consolidado!$D$57,)</f>
        <v>7.0823569366615727E-2</v>
      </c>
      <c r="K85" s="30">
        <f>IFERROR(Consolidado!E85/Consolidado!$E$57,)</f>
        <v>7.3819265683909868E-2</v>
      </c>
      <c r="L85" s="30">
        <f>IFERROR(Consolidado!F85/Consolidado!$F$57,)</f>
        <v>7.4958231132849426E-2</v>
      </c>
      <c r="M85" s="30">
        <f>IFERROR(Consolidado!G85/Consolidado!$G$57,)</f>
        <v>7.5026845913371165E-2</v>
      </c>
      <c r="O85" s="46">
        <f>IFERROR(Consolidado!D85-Consolidado!C85,)</f>
        <v>0</v>
      </c>
      <c r="P85" s="30">
        <f>IFERROR(Consolidado!D85/Consolidado!C85-1,)</f>
        <v>0</v>
      </c>
      <c r="Q85" s="46">
        <f>IFERROR(Consolidado!E85-Consolidado!D85,)</f>
        <v>0</v>
      </c>
      <c r="R85" s="30">
        <f>IFERROR(Consolidado!E85/Consolidado!D85-1,)</f>
        <v>0</v>
      </c>
      <c r="S85" s="167">
        <f>IFERROR(Consolidado!F85-Consolidado!E85,0)</f>
        <v>0</v>
      </c>
      <c r="T85" s="168">
        <f>IFERROR(Consolidado!F85/Consolidado!E85-1,0)</f>
        <v>0</v>
      </c>
      <c r="U85" s="167">
        <f>IFERROR(Consolidado!G85-Consolidado!F85,0)</f>
        <v>0</v>
      </c>
      <c r="V85" s="169">
        <f>IFERROR(Consolidado!G85/Consolidado!F85-1,0)</f>
        <v>0</v>
      </c>
    </row>
    <row r="86" spans="1:22" x14ac:dyDescent="0.25">
      <c r="A86" s="23" t="s">
        <v>61</v>
      </c>
      <c r="B86" s="104" t="s">
        <v>11</v>
      </c>
      <c r="C86" s="23" t="s">
        <v>11</v>
      </c>
      <c r="D86" s="23" t="s">
        <v>11</v>
      </c>
      <c r="E86" s="23" t="s">
        <v>11</v>
      </c>
      <c r="F86" s="23" t="s">
        <v>11</v>
      </c>
      <c r="G86" s="23" t="s">
        <v>11</v>
      </c>
      <c r="I86" s="30">
        <f>IFERROR(Consolidado!C86/Consolidado!$C$57,)</f>
        <v>0</v>
      </c>
      <c r="J86" s="30">
        <f>IFERROR(Consolidado!D86/Consolidado!$D$57,)</f>
        <v>0</v>
      </c>
      <c r="K86" s="30">
        <f>IFERROR(Consolidado!E86/Consolidado!$E$57,)</f>
        <v>0</v>
      </c>
      <c r="L86" s="30">
        <f>IFERROR(Consolidado!F86/Consolidado!$F$57,)</f>
        <v>0</v>
      </c>
      <c r="M86" s="30">
        <f>IFERROR(Consolidado!G86/Consolidado!$G$57,)</f>
        <v>0</v>
      </c>
      <c r="O86" s="46">
        <f>IFERROR(Consolidado!D86-Consolidado!C86,)</f>
        <v>0</v>
      </c>
      <c r="P86" s="30">
        <f>IFERROR(Consolidado!D86/Consolidado!C86-1,)</f>
        <v>0</v>
      </c>
      <c r="Q86" s="46">
        <f>IFERROR(Consolidado!E86-Consolidado!D86,)</f>
        <v>0</v>
      </c>
      <c r="R86" s="30">
        <f>IFERROR(Consolidado!E86/Consolidado!D86-1,)</f>
        <v>0</v>
      </c>
      <c r="S86" s="167">
        <f>IFERROR(Consolidado!F86-Consolidado!E86,0)</f>
        <v>0</v>
      </c>
      <c r="T86" s="168">
        <f>IFERROR(Consolidado!F86/Consolidado!E86-1,0)</f>
        <v>0</v>
      </c>
      <c r="U86" s="167">
        <f>IFERROR(Consolidado!G86-Consolidado!F86,0)</f>
        <v>0</v>
      </c>
      <c r="V86" s="169">
        <f>IFERROR(Consolidado!G86/Consolidado!F86-1,0)</f>
        <v>0</v>
      </c>
    </row>
    <row r="87" spans="1:22" x14ac:dyDescent="0.25">
      <c r="A87" s="23" t="s">
        <v>62</v>
      </c>
      <c r="B87" s="104" t="s">
        <v>11</v>
      </c>
      <c r="C87" s="23" t="s">
        <v>11</v>
      </c>
      <c r="D87" s="23" t="s">
        <v>11</v>
      </c>
      <c r="E87" s="23" t="s">
        <v>11</v>
      </c>
      <c r="F87" s="23" t="s">
        <v>11</v>
      </c>
      <c r="G87" s="23" t="s">
        <v>11</v>
      </c>
      <c r="I87" s="30">
        <f>IFERROR(Consolidado!C87/Consolidado!$C$57,)</f>
        <v>0</v>
      </c>
      <c r="J87" s="30">
        <f>IFERROR(Consolidado!D87/Consolidado!$D$57,)</f>
        <v>0</v>
      </c>
      <c r="K87" s="30">
        <f>IFERROR(Consolidado!E87/Consolidado!$E$57,)</f>
        <v>0</v>
      </c>
      <c r="L87" s="30">
        <f>IFERROR(Consolidado!F87/Consolidado!$F$57,)</f>
        <v>0</v>
      </c>
      <c r="M87" s="30">
        <f>IFERROR(Consolidado!G87/Consolidado!$G$57,)</f>
        <v>0</v>
      </c>
      <c r="O87" s="46">
        <f>IFERROR(Consolidado!D87-Consolidado!C87,)</f>
        <v>0</v>
      </c>
      <c r="P87" s="30">
        <f>IFERROR(Consolidado!D87/Consolidado!C87-1,)</f>
        <v>0</v>
      </c>
      <c r="Q87" s="46">
        <f>IFERROR(Consolidado!E87-Consolidado!D87,)</f>
        <v>0</v>
      </c>
      <c r="R87" s="30">
        <f>IFERROR(Consolidado!E87/Consolidado!D87-1,)</f>
        <v>0</v>
      </c>
      <c r="S87" s="167">
        <f>IFERROR(Consolidado!F87-Consolidado!E87,0)</f>
        <v>0</v>
      </c>
      <c r="T87" s="168">
        <f>IFERROR(Consolidado!F87/Consolidado!E87-1,0)</f>
        <v>0</v>
      </c>
      <c r="U87" s="167">
        <f>IFERROR(Consolidado!G87-Consolidado!F87,0)</f>
        <v>0</v>
      </c>
      <c r="V87" s="169">
        <f>IFERROR(Consolidado!G87/Consolidado!F87-1,0)</f>
        <v>0</v>
      </c>
    </row>
    <row r="88" spans="1:22" x14ac:dyDescent="0.25">
      <c r="A88" s="23" t="s">
        <v>63</v>
      </c>
      <c r="B88" s="104" t="s">
        <v>11</v>
      </c>
      <c r="C88" s="23" t="s">
        <v>11</v>
      </c>
      <c r="D88" s="23" t="s">
        <v>11</v>
      </c>
      <c r="E88" s="23" t="s">
        <v>11</v>
      </c>
      <c r="F88" s="23" t="s">
        <v>11</v>
      </c>
      <c r="G88" s="23" t="s">
        <v>11</v>
      </c>
      <c r="I88" s="30">
        <f>IFERROR(Consolidado!C88/Consolidado!$C$57,)</f>
        <v>0</v>
      </c>
      <c r="J88" s="30">
        <f>IFERROR(Consolidado!D88/Consolidado!$D$57,)</f>
        <v>0</v>
      </c>
      <c r="K88" s="30">
        <f>IFERROR(Consolidado!E88/Consolidado!$E$57,)</f>
        <v>0</v>
      </c>
      <c r="L88" s="30">
        <f>IFERROR(Consolidado!F88/Consolidado!$F$57,)</f>
        <v>0</v>
      </c>
      <c r="M88" s="30">
        <f>IFERROR(Consolidado!G88/Consolidado!$G$57,)</f>
        <v>0</v>
      </c>
      <c r="O88" s="46">
        <f>IFERROR(Consolidado!D88-Consolidado!C88,)</f>
        <v>0</v>
      </c>
      <c r="P88" s="30">
        <f>IFERROR(Consolidado!D88/Consolidado!C88-1,)</f>
        <v>0</v>
      </c>
      <c r="Q88" s="46">
        <f>IFERROR(Consolidado!E88-Consolidado!D88,)</f>
        <v>0</v>
      </c>
      <c r="R88" s="30">
        <f>IFERROR(Consolidado!E88/Consolidado!D88-1,)</f>
        <v>0</v>
      </c>
      <c r="S88" s="167">
        <f>IFERROR(Consolidado!F88-Consolidado!E88,0)</f>
        <v>0</v>
      </c>
      <c r="T88" s="168">
        <f>IFERROR(Consolidado!F88/Consolidado!E88-1,0)</f>
        <v>0</v>
      </c>
      <c r="U88" s="167">
        <f>IFERROR(Consolidado!G88-Consolidado!F88,0)</f>
        <v>0</v>
      </c>
      <c r="V88" s="169">
        <f>IFERROR(Consolidado!G88/Consolidado!F88-1,0)</f>
        <v>0</v>
      </c>
    </row>
    <row r="89" spans="1:22" x14ac:dyDescent="0.25">
      <c r="A89" s="23" t="s">
        <v>64</v>
      </c>
      <c r="B89" s="103">
        <v>81000</v>
      </c>
      <c r="C89" s="24">
        <v>81000</v>
      </c>
      <c r="D89" s="24">
        <v>81000</v>
      </c>
      <c r="E89" s="24">
        <v>81000</v>
      </c>
      <c r="F89" s="24">
        <v>81000</v>
      </c>
      <c r="G89" s="24">
        <v>81000</v>
      </c>
      <c r="I89" s="30">
        <f>IFERROR(Consolidado!C89/Consolidado!$C$57,)</f>
        <v>2.5562856223135331E-4</v>
      </c>
      <c r="J89" s="30">
        <f>IFERROR(Consolidado!D89/Consolidado!$D$57,)</f>
        <v>2.7508914926133469E-4</v>
      </c>
      <c r="K89" s="30">
        <f>IFERROR(Consolidado!E89/Consolidado!$E$57,)</f>
        <v>2.8672487390412867E-4</v>
      </c>
      <c r="L89" s="30">
        <f>IFERROR(Consolidado!F89/Consolidado!$F$57,)</f>
        <v>2.9114878305173123E-4</v>
      </c>
      <c r="M89" s="30">
        <f>IFERROR(Consolidado!G89/Consolidado!$G$57,)</f>
        <v>2.9141529294059003E-4</v>
      </c>
      <c r="O89" s="46">
        <f>IFERROR(Consolidado!D89-Consolidado!C89,)</f>
        <v>0</v>
      </c>
      <c r="P89" s="30">
        <f>IFERROR(Consolidado!D89/Consolidado!C89-1,)</f>
        <v>0</v>
      </c>
      <c r="Q89" s="46">
        <f>IFERROR(Consolidado!E89-Consolidado!D89,)</f>
        <v>0</v>
      </c>
      <c r="R89" s="30">
        <f>IFERROR(Consolidado!E89/Consolidado!D89-1,)</f>
        <v>0</v>
      </c>
      <c r="S89" s="167">
        <f>IFERROR(Consolidado!F89-Consolidado!E89,0)</f>
        <v>0</v>
      </c>
      <c r="T89" s="168">
        <f>IFERROR(Consolidado!F89/Consolidado!E89-1,0)</f>
        <v>0</v>
      </c>
      <c r="U89" s="167">
        <f>IFERROR(Consolidado!G89-Consolidado!F89,0)</f>
        <v>0</v>
      </c>
      <c r="V89" s="169">
        <f>IFERROR(Consolidado!G89/Consolidado!F89-1,0)</f>
        <v>0</v>
      </c>
    </row>
    <row r="90" spans="1:22" x14ac:dyDescent="0.25">
      <c r="A90" s="23" t="s">
        <v>65</v>
      </c>
      <c r="B90" s="103">
        <v>1696000</v>
      </c>
      <c r="C90" s="24">
        <v>3001000</v>
      </c>
      <c r="D90" s="24">
        <v>3001000</v>
      </c>
      <c r="E90" s="24">
        <v>3001000</v>
      </c>
      <c r="F90" s="24">
        <v>3001000</v>
      </c>
      <c r="G90" s="24">
        <v>3001000</v>
      </c>
      <c r="I90" s="30">
        <f>IFERROR(Consolidado!C90/Consolidado!$C$57,)</f>
        <v>9.4708804352628562E-3</v>
      </c>
      <c r="J90" s="30">
        <f>IFERROR(Consolidado!D90/Consolidado!$D$57,)</f>
        <v>1.0191883172015623E-2</v>
      </c>
      <c r="K90" s="30">
        <f>IFERROR(Consolidado!E90/Consolidado!$E$57,)</f>
        <v>1.0622979587485063E-2</v>
      </c>
      <c r="L90" s="30">
        <f>IFERROR(Consolidado!F90/Consolidado!$F$57,)</f>
        <v>1.0786882690595623E-2</v>
      </c>
      <c r="M90" s="30">
        <f>IFERROR(Consolidado!G90/Consolidado!$G$57,)</f>
        <v>1.0796756717465564E-2</v>
      </c>
      <c r="O90" s="46">
        <f>IFERROR(Consolidado!D90-Consolidado!C90,)</f>
        <v>0</v>
      </c>
      <c r="P90" s="30">
        <f>IFERROR(Consolidado!D90/Consolidado!C90-1,)</f>
        <v>0</v>
      </c>
      <c r="Q90" s="46">
        <f>IFERROR(Consolidado!E90-Consolidado!D90,)</f>
        <v>0</v>
      </c>
      <c r="R90" s="30">
        <f>IFERROR(Consolidado!E90/Consolidado!D90-1,)</f>
        <v>0</v>
      </c>
      <c r="S90" s="167">
        <f>IFERROR(Consolidado!F90-Consolidado!E90,0)</f>
        <v>0</v>
      </c>
      <c r="T90" s="168">
        <f>IFERROR(Consolidado!F90/Consolidado!E90-1,0)</f>
        <v>0</v>
      </c>
      <c r="U90" s="167">
        <f>IFERROR(Consolidado!G90-Consolidado!F90,0)</f>
        <v>0</v>
      </c>
      <c r="V90" s="169">
        <f>IFERROR(Consolidado!G90/Consolidado!F90-1,0)</f>
        <v>0</v>
      </c>
    </row>
    <row r="91" spans="1:22" x14ac:dyDescent="0.25">
      <c r="A91" s="23" t="s">
        <v>66</v>
      </c>
      <c r="B91" s="103">
        <v>23030000</v>
      </c>
      <c r="C91" s="24">
        <v>34855000</v>
      </c>
      <c r="D91" s="24">
        <v>39538000</v>
      </c>
      <c r="E91" s="205">
        <f>D91+Consolidado!E27</f>
        <v>52128522.718615666</v>
      </c>
      <c r="F91" s="205">
        <f>E91+Consolidado!F27</f>
        <v>66907818.005306549</v>
      </c>
      <c r="G91" s="205">
        <f>F91+Consolidado!G27</f>
        <v>83902851.259856179</v>
      </c>
      <c r="I91" s="30">
        <f>IFERROR(Consolidado!C91/Consolidado!$C$57,)</f>
        <v>0.10999917946387432</v>
      </c>
      <c r="J91" s="30">
        <f>IFERROR(Consolidado!D91/Consolidado!$D$57,)</f>
        <v>0.13427746646289693</v>
      </c>
      <c r="K91" s="30">
        <f>IFERROR(Consolidado!E91/Consolidado!$E$57,)</f>
        <v>0.18452523584325412</v>
      </c>
      <c r="L91" s="30">
        <f>IFERROR(Consolidado!F91/Consolidado!$F$57,)</f>
        <v>0.24049542949249031</v>
      </c>
      <c r="M91" s="30">
        <f>IFERROR(Consolidado!G91/Consolidado!$G$57,)</f>
        <v>0.3018589380054536</v>
      </c>
      <c r="O91" s="46">
        <f>IFERROR(Consolidado!D91-Consolidado!C91,)</f>
        <v>4683000</v>
      </c>
      <c r="P91" s="30">
        <f>IFERROR(Consolidado!D91/Consolidado!C91-1,)</f>
        <v>0.13435662028403383</v>
      </c>
      <c r="Q91" s="46">
        <f>IFERROR(Consolidado!E91-Consolidado!D91,)</f>
        <v>12590522.718615666</v>
      </c>
      <c r="R91" s="30">
        <f>IFERROR(Consolidado!E91/Consolidado!D91-1,)</f>
        <v>0.31844106223419666</v>
      </c>
      <c r="S91" s="167">
        <f>IFERROR(Consolidado!F91-Consolidado!E91,0)</f>
        <v>14779295.286690883</v>
      </c>
      <c r="T91" s="168">
        <f>IFERROR(Consolidado!F91/Consolidado!E91-1,0)</f>
        <v>0.28351648034355348</v>
      </c>
      <c r="U91" s="167">
        <f>IFERROR(Consolidado!G91-Consolidado!F91,0)</f>
        <v>16995033.25454963</v>
      </c>
      <c r="V91" s="169">
        <f>IFERROR(Consolidado!G91/Consolidado!F91-1,0)</f>
        <v>0.25400668802563153</v>
      </c>
    </row>
    <row r="92" spans="1:22" x14ac:dyDescent="0.25">
      <c r="A92" s="20" t="s">
        <v>67</v>
      </c>
      <c r="B92" s="26">
        <f t="shared" ref="B92:G92" si="20">SUM(B83:B91)</f>
        <v>51843000</v>
      </c>
      <c r="C92" s="26">
        <f t="shared" si="20"/>
        <v>64973000</v>
      </c>
      <c r="D92" s="26">
        <f t="shared" si="20"/>
        <v>69656000</v>
      </c>
      <c r="E92" s="26">
        <f t="shared" si="20"/>
        <v>82246522.718615666</v>
      </c>
      <c r="F92" s="26">
        <f t="shared" si="20"/>
        <v>97025818.005306542</v>
      </c>
      <c r="G92" s="26">
        <f t="shared" si="20"/>
        <v>114020851.25985618</v>
      </c>
      <c r="I92" s="30">
        <f>IFERROR(Consolidado!C92/Consolidado!$C$57,)</f>
        <v>0.20504882189947801</v>
      </c>
      <c r="J92" s="30">
        <f>IFERROR(Consolidado!D92/Consolidado!$D$57,)</f>
        <v>0.23656308371540161</v>
      </c>
      <c r="K92" s="30">
        <f>IFERROR(Consolidado!E92/Consolidado!$E$57,)</f>
        <v>0.2911373315499769</v>
      </c>
      <c r="L92" s="30">
        <f>IFERROR(Consolidado!F92/Consolidado!$F$57,)</f>
        <v>0.34875245477584882</v>
      </c>
      <c r="M92" s="30">
        <f>IFERROR(Consolidado!G92/Consolidado!$G$57,)</f>
        <v>0.41021505890403004</v>
      </c>
      <c r="O92" s="46">
        <f>IFERROR(Consolidado!D92-Consolidado!C92,)</f>
        <v>4683000</v>
      </c>
      <c r="P92" s="30">
        <f>IFERROR(Consolidado!D92/Consolidado!C92-1,)</f>
        <v>7.2076093146383968E-2</v>
      </c>
      <c r="Q92" s="46">
        <f>IFERROR(Consolidado!E92-Consolidado!D92,)</f>
        <v>12590522.718615666</v>
      </c>
      <c r="R92" s="30">
        <f>IFERROR(Consolidado!E92/Consolidado!D92-1,)</f>
        <v>0.18075288156965175</v>
      </c>
      <c r="S92" s="167">
        <f>IFERROR(Consolidado!F92-Consolidado!E92,0)</f>
        <v>14779295.286690876</v>
      </c>
      <c r="T92" s="168">
        <f>IFERROR(Consolidado!F92/Consolidado!E92-1,0)</f>
        <v>0.17969507765397275</v>
      </c>
      <c r="U92" s="167">
        <f>IFERROR(Consolidado!G92-Consolidado!F92,0)</f>
        <v>16995033.254549637</v>
      </c>
      <c r="V92" s="169">
        <f>IFERROR(Consolidado!G92/Consolidado!F92-1,0)</f>
        <v>0.17515990696022943</v>
      </c>
    </row>
    <row r="93" spans="1:22" x14ac:dyDescent="0.25">
      <c r="A93" s="20" t="s">
        <v>68</v>
      </c>
      <c r="B93" s="26">
        <f t="shared" ref="B93:G93" si="21">B82+B92</f>
        <v>300425000</v>
      </c>
      <c r="C93" s="26">
        <f t="shared" si="21"/>
        <v>316866000</v>
      </c>
      <c r="D93" s="26">
        <f t="shared" si="21"/>
        <v>294450000</v>
      </c>
      <c r="E93" s="26">
        <f t="shared" si="21"/>
        <v>282500778.17484272</v>
      </c>
      <c r="F93" s="26">
        <f t="shared" si="21"/>
        <v>278208272.59170759</v>
      </c>
      <c r="G93" s="26">
        <f t="shared" si="21"/>
        <v>277953841.00350982</v>
      </c>
      <c r="I93" s="30">
        <f>IFERROR(Consolidado!C93/Consolidado!$C$57,)</f>
        <v>1</v>
      </c>
      <c r="J93" s="30">
        <f>IFERROR(Consolidado!D93/Consolidado!$D$57,)</f>
        <v>1</v>
      </c>
      <c r="K93" s="30">
        <f>IFERROR(Consolidado!E93/Consolidado!$E$57,)</f>
        <v>1</v>
      </c>
      <c r="L93" s="30">
        <f>IFERROR(Consolidado!F93/Consolidado!$F$57,)</f>
        <v>0.99999999999999978</v>
      </c>
      <c r="M93" s="30">
        <f>IFERROR(Consolidado!G93/Consolidado!$G$57,)</f>
        <v>1</v>
      </c>
      <c r="O93" s="46">
        <f>IFERROR(Consolidado!D93-Consolidado!C93,)</f>
        <v>-22416000</v>
      </c>
      <c r="P93" s="30">
        <f>IFERROR(Consolidado!D93/Consolidado!C93-1,)</f>
        <v>-7.074283766639522E-2</v>
      </c>
      <c r="Q93" s="46">
        <f>IFERROR(Consolidado!E93-Consolidado!D93,)</f>
        <v>-11949221.825157285</v>
      </c>
      <c r="R93" s="30">
        <f>IFERROR(Consolidado!E93/Consolidado!D93-1,)</f>
        <v>-4.0581497113796217E-2</v>
      </c>
      <c r="S93" s="167">
        <f>IFERROR(Consolidado!F93-Consolidado!E93,0)</f>
        <v>-4292505.583135128</v>
      </c>
      <c r="T93" s="168">
        <f>IFERROR(Consolidado!F93/Consolidado!E93-1,0)</f>
        <v>-1.5194668173545534E-2</v>
      </c>
      <c r="U93" s="167">
        <f>IFERROR(Consolidado!G93-Consolidado!F93,0)</f>
        <v>-254431.58819776773</v>
      </c>
      <c r="V93" s="169">
        <f>IFERROR(Consolidado!G93/Consolidado!F93-1,0)</f>
        <v>-9.1453638609506616E-4</v>
      </c>
    </row>
    <row r="95" spans="1:22" x14ac:dyDescent="0.25">
      <c r="A95" s="295" t="s">
        <v>380</v>
      </c>
      <c r="B95" s="296">
        <f>Consolidado!B57-Consolidado!B93</f>
        <v>0</v>
      </c>
      <c r="C95" s="297">
        <f>Consolidado!C57-Consolidado!C93</f>
        <v>0</v>
      </c>
      <c r="D95" s="297">
        <f>Consolidado!D57-Consolidado!D93</f>
        <v>0</v>
      </c>
      <c r="E95" s="298">
        <f>Consolidado!E57-Consolidado!E93</f>
        <v>0</v>
      </c>
      <c r="F95" s="296">
        <f>Consolidado!F57-Consolidado!F93</f>
        <v>0</v>
      </c>
      <c r="G95" s="296">
        <f>Consolidado!G57-Consolidado!G93</f>
        <v>0</v>
      </c>
    </row>
    <row r="98" spans="1:5" x14ac:dyDescent="0.25">
      <c r="A98" s="289" t="s">
        <v>379</v>
      </c>
      <c r="B98" s="278" t="s">
        <v>190</v>
      </c>
      <c r="C98" s="274" t="s">
        <v>170</v>
      </c>
      <c r="D98" s="274" t="s">
        <v>170</v>
      </c>
      <c r="E98" s="275" t="s">
        <v>170</v>
      </c>
    </row>
    <row r="99" spans="1:5" x14ac:dyDescent="0.25">
      <c r="A99" s="280" t="s">
        <v>169</v>
      </c>
      <c r="B99" s="279">
        <v>2023</v>
      </c>
      <c r="C99" s="276">
        <v>2024</v>
      </c>
      <c r="D99" s="276">
        <v>2025</v>
      </c>
      <c r="E99" s="277">
        <v>2026</v>
      </c>
    </row>
    <row r="100" spans="1:5" x14ac:dyDescent="0.25">
      <c r="A100" s="130" t="s">
        <v>171</v>
      </c>
      <c r="B100" s="201">
        <f>Consolidado!D27</f>
        <v>4683000</v>
      </c>
      <c r="C100" s="133">
        <f>Consolidado!E27</f>
        <v>12590522.71861567</v>
      </c>
      <c r="D100" s="132">
        <f>Consolidado!F27</f>
        <v>14779295.286690881</v>
      </c>
      <c r="E100" s="132">
        <f>Consolidado!G27</f>
        <v>16995033.254549634</v>
      </c>
    </row>
    <row r="101" spans="1:5" x14ac:dyDescent="0.25">
      <c r="A101" s="131" t="s">
        <v>172</v>
      </c>
      <c r="B101" s="201">
        <f>Supuestos!L56</f>
        <v>6253000</v>
      </c>
      <c r="C101" s="133">
        <f>Supuestos!N56</f>
        <v>4867608.1528763687</v>
      </c>
      <c r="D101" s="133">
        <f>Supuestos!O56</f>
        <v>4434536.6854595868</v>
      </c>
      <c r="E101" s="133">
        <f>Supuestos!P56</f>
        <v>4039995.6194227305</v>
      </c>
    </row>
    <row r="102" spans="1:5" x14ac:dyDescent="0.25">
      <c r="A102" s="130" t="s">
        <v>195</v>
      </c>
      <c r="B102" s="201">
        <f>-(Consolidado!D33-Consolidado!C33)</f>
        <v>7748000</v>
      </c>
      <c r="C102" s="219">
        <f>-(Consolidado!E33-Consolidado!D33)</f>
        <v>15252878.823733896</v>
      </c>
      <c r="D102" s="133">
        <f>-(Consolidado!F33-Consolidado!E33)</f>
        <v>6084852.2204996496</v>
      </c>
      <c r="E102" s="133">
        <f>-(Consolidado!G33-Consolidado!F33)</f>
        <v>5543482.4558465704</v>
      </c>
    </row>
    <row r="103" spans="1:5" x14ac:dyDescent="0.25">
      <c r="A103" s="131" t="s">
        <v>196</v>
      </c>
      <c r="B103" s="201">
        <f>-(Consolidado!D34-Consolidado!C34)</f>
        <v>12040000</v>
      </c>
      <c r="C103" s="219">
        <f>-(Consolidado!E34-Consolidado!D34)</f>
        <v>16391383.131681025</v>
      </c>
      <c r="D103" s="133">
        <f>-(Consolidado!F34-Consolidado!E34)</f>
        <v>7124333.7204484791</v>
      </c>
      <c r="E103" s="133">
        <f>-(Consolidado!G34-Consolidado!F34)</f>
        <v>6490481.207719326</v>
      </c>
    </row>
    <row r="104" spans="1:5" x14ac:dyDescent="0.25">
      <c r="A104" s="130" t="s">
        <v>192</v>
      </c>
      <c r="B104" s="201">
        <f>-(Consolidado!D35-Consolidado!C35)</f>
        <v>-759000</v>
      </c>
      <c r="C104" s="219">
        <f>-(Consolidado!E35-Consolidado!D35)</f>
        <v>1392811.5545462132</v>
      </c>
      <c r="D104" s="133">
        <f>-(Consolidado!F35-Consolidado!E35)</f>
        <v>336946.44390949421</v>
      </c>
      <c r="E104" s="133">
        <f>-(Consolidado!G35-Consolidado!F35)</f>
        <v>306968.2931788275</v>
      </c>
    </row>
    <row r="105" spans="1:5" x14ac:dyDescent="0.25">
      <c r="A105" s="131" t="s">
        <v>197</v>
      </c>
      <c r="B105" s="202">
        <f>-(Consolidado!D37-Consolidado!C37)</f>
        <v>335000</v>
      </c>
      <c r="C105" s="220">
        <f>-(Consolidado!E37-Consolidado!D37)</f>
        <v>360607.68583610747</v>
      </c>
      <c r="D105" s="134">
        <f>-(Consolidado!F37-Consolidado!E37)</f>
        <v>166497.91646201746</v>
      </c>
      <c r="E105" s="134">
        <f>-(Consolidado!G37-Consolidado!F37)</f>
        <v>151684.58417654294</v>
      </c>
    </row>
    <row r="106" spans="1:5" x14ac:dyDescent="0.25">
      <c r="A106" s="131" t="s">
        <v>199</v>
      </c>
      <c r="B106" s="203">
        <f>-(Consolidado!D51-Consolidado!C51)</f>
        <v>278000</v>
      </c>
      <c r="C106" s="221">
        <f>-(Consolidado!E51-Consolidado!D51)</f>
        <v>1163534.6926258532</v>
      </c>
      <c r="D106" s="136">
        <f>-(Consolidado!F51-Consolidado!E51)</f>
        <v>417488.99513737764</v>
      </c>
      <c r="E106" s="136">
        <f>-(Consolidado!G51-Consolidado!F51)</f>
        <v>380344.96750079421</v>
      </c>
    </row>
    <row r="107" spans="1:5" x14ac:dyDescent="0.25">
      <c r="A107" s="130" t="s">
        <v>200</v>
      </c>
      <c r="B107" s="201">
        <f>-(Consolidado!D54-Consolidado!C54)</f>
        <v>-8615000</v>
      </c>
      <c r="C107" s="219">
        <f>-(Consolidado!E54-Consolidado!D54)</f>
        <v>8510924.1283178758</v>
      </c>
      <c r="D107" s="133">
        <f>-(Consolidado!F54-Consolidado!E54)</f>
        <v>1465877.7228818666</v>
      </c>
      <c r="E107" s="133">
        <f>-(Consolidado!G54-Consolidado!F54)</f>
        <v>1335458.4704350792</v>
      </c>
    </row>
    <row r="108" spans="1:5" x14ac:dyDescent="0.25">
      <c r="A108" s="131" t="s">
        <v>201</v>
      </c>
      <c r="B108" s="201">
        <f>Consolidado!D61-Consolidado!C61</f>
        <v>-1977000</v>
      </c>
      <c r="C108" s="219">
        <f>Consolidado!E61-Consolidado!D61</f>
        <v>-1123664.1569182491</v>
      </c>
      <c r="D108" s="133">
        <f>Consolidado!F61-Consolidado!E61</f>
        <v>-657963.59218249563</v>
      </c>
      <c r="E108" s="133">
        <f>Consolidado!G61-Consolidado!F61</f>
        <v>-599424.52136495151</v>
      </c>
    </row>
    <row r="109" spans="1:5" x14ac:dyDescent="0.25">
      <c r="A109" s="130" t="s">
        <v>202</v>
      </c>
      <c r="B109" s="201">
        <f>Consolidado!D64-Consolidado!C64</f>
        <v>-34115000</v>
      </c>
      <c r="C109" s="219">
        <f>Consolidado!E64-Consolidado!D64</f>
        <v>-32022.41771800071</v>
      </c>
      <c r="D109" s="133">
        <f>Consolidado!F64-Consolidado!E64</f>
        <v>-5025383.7796373814</v>
      </c>
      <c r="E109" s="133">
        <f>Consolidado!G64-Consolidado!F64</f>
        <v>-4578275.0027129054</v>
      </c>
    </row>
    <row r="110" spans="1:5" x14ac:dyDescent="0.25">
      <c r="A110" s="131" t="s">
        <v>203</v>
      </c>
      <c r="B110" s="204">
        <f>Consolidado!D65-Consolidado!C65</f>
        <v>384000</v>
      </c>
      <c r="C110" s="222">
        <f>Consolidado!E65-Consolidado!D65</f>
        <v>-2717257.699520018</v>
      </c>
      <c r="D110" s="137">
        <f>Consolidado!F65-Consolidado!E65</f>
        <v>-820903.96392818727</v>
      </c>
      <c r="E110" s="137">
        <f>Consolidado!G65-Consolidado!F65</f>
        <v>-747868.07584903575</v>
      </c>
    </row>
    <row r="111" spans="1:5" x14ac:dyDescent="0.25">
      <c r="A111" s="130" t="s">
        <v>204</v>
      </c>
      <c r="B111" s="201">
        <f>Consolidado!D67-Consolidado!C67</f>
        <v>-4000</v>
      </c>
      <c r="C111" s="219">
        <f>Consolidado!E67-Consolidado!D67</f>
        <v>1447.264149890432</v>
      </c>
      <c r="D111" s="133">
        <f>Consolidado!F67-Consolidado!E67</f>
        <v>-128.76320144265947</v>
      </c>
      <c r="E111" s="133">
        <f>Consolidado!G67-Consolidado!F67</f>
        <v>-117.30712962120356</v>
      </c>
    </row>
    <row r="112" spans="1:5" x14ac:dyDescent="0.25">
      <c r="A112" s="131" t="s">
        <v>205</v>
      </c>
      <c r="B112" s="201">
        <f>Consolidado!D77-Consolidado!C77</f>
        <v>-2974000</v>
      </c>
      <c r="C112" s="219">
        <f>Consolidado!E77-Consolidado!D77</f>
        <v>-786678.98262205534</v>
      </c>
      <c r="D112" s="133">
        <f>Consolidado!F77-Consolidado!E77</f>
        <v>-697731.89712125994</v>
      </c>
      <c r="E112" s="133">
        <f>Consolidado!G77-Consolidado!F77</f>
        <v>-635654.63718996476</v>
      </c>
    </row>
    <row r="113" spans="1:5" x14ac:dyDescent="0.25">
      <c r="A113" s="131" t="s">
        <v>206</v>
      </c>
      <c r="B113" s="202">
        <f>Consolidado!D80-Consolidado!C80</f>
        <v>-3720000</v>
      </c>
      <c r="C113" s="220">
        <f>Consolidado!E80-Consolidado!D80</f>
        <v>200131.44885549508</v>
      </c>
      <c r="D113" s="134">
        <f>Consolidado!F80-Consolidado!E80</f>
        <v>-490058.87375523243</v>
      </c>
      <c r="E113" s="134">
        <f>Consolidado!G80-Consolidado!F80</f>
        <v>-446458.29850095883</v>
      </c>
    </row>
    <row r="114" spans="1:5" x14ac:dyDescent="0.25">
      <c r="A114" s="281" t="s">
        <v>173</v>
      </c>
      <c r="B114" s="282">
        <f>SUM(B100:B113)</f>
        <v>-20443000</v>
      </c>
      <c r="C114" s="282">
        <f>SUM(C100:C113)</f>
        <v>56072226.344460078</v>
      </c>
      <c r="D114" s="282">
        <f>SUM(D100:D113)</f>
        <v>27117658.121663362</v>
      </c>
      <c r="E114" s="282">
        <f>SUM(E100:E113)</f>
        <v>28235651.010082066</v>
      </c>
    </row>
    <row r="115" spans="1:5" x14ac:dyDescent="0.25">
      <c r="A115" s="121"/>
      <c r="B115" s="156">
        <f>B114+B118</f>
        <v>-19294000</v>
      </c>
      <c r="C115" s="156">
        <f>C114+C118</f>
        <v>57098005.572902068</v>
      </c>
      <c r="D115" s="156">
        <f>D114+D118</f>
        <v>29549463.175215106</v>
      </c>
      <c r="E115" s="156">
        <f>E114+E118</f>
        <v>30451098.183143601</v>
      </c>
    </row>
    <row r="116" spans="1:5" x14ac:dyDescent="0.25">
      <c r="A116" s="121"/>
      <c r="B116" s="156"/>
      <c r="C116" s="156"/>
      <c r="D116" s="156"/>
      <c r="E116" s="156"/>
    </row>
    <row r="117" spans="1:5" x14ac:dyDescent="0.25">
      <c r="A117" s="288" t="s">
        <v>174</v>
      </c>
      <c r="B117" s="288"/>
      <c r="C117" s="288"/>
      <c r="D117" s="288"/>
      <c r="E117" s="288"/>
    </row>
    <row r="118" spans="1:5" x14ac:dyDescent="0.25">
      <c r="A118" s="138" t="s">
        <v>175</v>
      </c>
      <c r="B118" s="200">
        <f>Consolidado!D45-Consolidado!C45+Consolidado!B101</f>
        <v>1149000</v>
      </c>
      <c r="C118" s="200">
        <f>Consolidado!E45-Consolidado!D45+Consolidado!C101</f>
        <v>1025779.22844199</v>
      </c>
      <c r="D118" s="200">
        <f>Consolidado!F45-Consolidado!E45+Consolidado!D101</f>
        <v>2431805.0535517437</v>
      </c>
      <c r="E118" s="200">
        <f>Consolidado!G45-Consolidado!F45+Consolidado!E101</f>
        <v>2215447.1730615352</v>
      </c>
    </row>
    <row r="119" spans="1:5" x14ac:dyDescent="0.25">
      <c r="A119" s="283" t="s">
        <v>230</v>
      </c>
      <c r="B119" s="210">
        <f>Consolidado!D47-Consolidado!C47</f>
        <v>633000</v>
      </c>
      <c r="C119" s="210">
        <f>Consolidado!E47-Consolidado!D47</f>
        <v>-2730285.2275975514</v>
      </c>
      <c r="D119" s="210">
        <f>Consolidado!F47-Consolidado!E47</f>
        <v>-787982.58662412968</v>
      </c>
      <c r="E119" s="210">
        <f>Consolidado!G47-Consolidado!F47</f>
        <v>-717875.71598653868</v>
      </c>
    </row>
    <row r="120" spans="1:5" x14ac:dyDescent="0.25">
      <c r="A120" s="209"/>
      <c r="B120" s="210"/>
      <c r="C120" s="210"/>
      <c r="D120" s="210"/>
      <c r="E120" s="210"/>
    </row>
    <row r="121" spans="1:5" x14ac:dyDescent="0.25">
      <c r="A121" s="281" t="s">
        <v>176</v>
      </c>
      <c r="B121" s="282">
        <f>-B118-B119</f>
        <v>-1782000</v>
      </c>
      <c r="C121" s="282">
        <f>-C118-C119</f>
        <v>1704505.9991555614</v>
      </c>
      <c r="D121" s="282">
        <f>-D118-D119</f>
        <v>-1643822.4669276141</v>
      </c>
      <c r="E121" s="282">
        <f>-E118-E119</f>
        <v>-1497571.4570749965</v>
      </c>
    </row>
    <row r="122" spans="1:5" x14ac:dyDescent="0.25">
      <c r="A122" s="121"/>
      <c r="B122" s="119"/>
      <c r="C122" s="121"/>
      <c r="D122" s="121"/>
      <c r="E122" s="121"/>
    </row>
    <row r="123" spans="1:5" x14ac:dyDescent="0.25">
      <c r="A123" s="288" t="s">
        <v>177</v>
      </c>
      <c r="B123" s="288"/>
      <c r="C123" s="288"/>
      <c r="D123" s="288"/>
      <c r="E123" s="288"/>
    </row>
    <row r="124" spans="1:5" x14ac:dyDescent="0.25">
      <c r="A124" s="163" t="s">
        <v>218</v>
      </c>
      <c r="B124" s="200">
        <f>Consolidado!D66-Consolidado!C66</f>
        <v>-1177000</v>
      </c>
      <c r="C124" s="132">
        <f>Consolidado!E66-Consolidado!D66</f>
        <v>-8711400</v>
      </c>
      <c r="D124" s="132">
        <f>Consolidado!F66-Consolidado!E66</f>
        <v>-4936460</v>
      </c>
      <c r="E124" s="132">
        <f>Consolidado!G66-Consolidado!F66</f>
        <v>-4442814</v>
      </c>
    </row>
    <row r="125" spans="1:5" x14ac:dyDescent="0.25">
      <c r="A125" s="163" t="s">
        <v>217</v>
      </c>
      <c r="B125" s="200">
        <f>Consolidado!D79-Consolidado!C79</f>
        <v>16484000</v>
      </c>
      <c r="C125" s="200">
        <f>Consolidado!E79-Consolidado!D79</f>
        <v>-11370300</v>
      </c>
      <c r="D125" s="200">
        <f>Consolidado!F79-Consolidado!E79</f>
        <v>-6443170</v>
      </c>
      <c r="E125" s="200">
        <f>Consolidado!G79-Consolidado!F79</f>
        <v>-5798853</v>
      </c>
    </row>
    <row r="126" spans="1:5" x14ac:dyDescent="0.25">
      <c r="A126" s="163" t="s">
        <v>216</v>
      </c>
      <c r="B126" s="132">
        <f>Consolidado!D84-Consolidado!C84</f>
        <v>0</v>
      </c>
      <c r="C126" s="132">
        <f>Consolidado!E84-Consolidado!D84</f>
        <v>0</v>
      </c>
      <c r="D126" s="132">
        <f>Consolidado!F84-Consolidado!E84</f>
        <v>0</v>
      </c>
      <c r="E126" s="132">
        <f>Consolidado!G84-Consolidado!F84</f>
        <v>0</v>
      </c>
    </row>
    <row r="127" spans="1:5" x14ac:dyDescent="0.25">
      <c r="A127" s="163" t="s">
        <v>215</v>
      </c>
      <c r="B127" s="132">
        <f>Consolidado!D85-Consolidado!C85</f>
        <v>0</v>
      </c>
      <c r="C127" s="132">
        <f>Consolidado!E85-Consolidado!D85</f>
        <v>0</v>
      </c>
      <c r="D127" s="132">
        <f>Consolidado!F85-Consolidado!E85</f>
        <v>0</v>
      </c>
      <c r="E127" s="132">
        <f>Consolidado!G85-Consolidado!F85</f>
        <v>0</v>
      </c>
    </row>
    <row r="128" spans="1:5" x14ac:dyDescent="0.25">
      <c r="A128" s="138" t="s">
        <v>214</v>
      </c>
      <c r="B128" s="132">
        <f>Consolidado!D89-Consolidado!C89</f>
        <v>0</v>
      </c>
      <c r="C128" s="132">
        <f>Consolidado!E89-Consolidado!D89</f>
        <v>0</v>
      </c>
      <c r="D128" s="132">
        <f>Consolidado!F89-Consolidado!E89</f>
        <v>0</v>
      </c>
      <c r="E128" s="132">
        <f>Consolidado!G89-Consolidado!F89</f>
        <v>0</v>
      </c>
    </row>
    <row r="129" spans="1:5" x14ac:dyDescent="0.25">
      <c r="A129" s="138" t="s">
        <v>213</v>
      </c>
      <c r="B129" s="132">
        <f>Consolidado!D90-Consolidado!C90</f>
        <v>0</v>
      </c>
      <c r="C129" s="132">
        <f>Consolidado!E90-Consolidado!D90</f>
        <v>0</v>
      </c>
      <c r="D129" s="132">
        <f>Consolidado!F90-Consolidado!E90</f>
        <v>0</v>
      </c>
      <c r="E129" s="132">
        <f>Consolidado!G90-Consolidado!F90</f>
        <v>0</v>
      </c>
    </row>
    <row r="130" spans="1:5" x14ac:dyDescent="0.25">
      <c r="A130" s="281" t="s">
        <v>179</v>
      </c>
      <c r="B130" s="282">
        <f>SUM(B124:B129)</f>
        <v>15307000</v>
      </c>
      <c r="C130" s="282">
        <f>SUM(C124:C129)</f>
        <v>-20081700</v>
      </c>
      <c r="D130" s="282">
        <f>SUM(D124:D129)</f>
        <v>-11379630</v>
      </c>
      <c r="E130" s="282">
        <f>SUM(E124:E129)</f>
        <v>-10241667</v>
      </c>
    </row>
    <row r="131" spans="1:5" x14ac:dyDescent="0.25">
      <c r="A131" s="121"/>
      <c r="B131" s="119"/>
      <c r="C131" s="121"/>
      <c r="D131" s="121"/>
      <c r="E131" s="121"/>
    </row>
    <row r="132" spans="1:5" x14ac:dyDescent="0.25">
      <c r="A132" s="284" t="s">
        <v>180</v>
      </c>
      <c r="B132" s="285">
        <f>B114+B130+B121</f>
        <v>-6918000</v>
      </c>
      <c r="C132" s="285">
        <f>C114+C130+C121</f>
        <v>37695032.343615636</v>
      </c>
      <c r="D132" s="285">
        <f>D114+D130+D121</f>
        <v>14094205.654735748</v>
      </c>
      <c r="E132" s="285">
        <f>E114+E130+E121</f>
        <v>16496412.55300707</v>
      </c>
    </row>
    <row r="133" spans="1:5" x14ac:dyDescent="0.25">
      <c r="A133" s="131" t="s">
        <v>181</v>
      </c>
      <c r="B133" s="153">
        <f>Consolidado!C32</f>
        <v>45062000</v>
      </c>
      <c r="C133" s="151">
        <f>B134</f>
        <v>38144000</v>
      </c>
      <c r="D133" s="151">
        <f>C134</f>
        <v>75839032.343615636</v>
      </c>
      <c r="E133" s="151">
        <f>D134</f>
        <v>89933237.99835138</v>
      </c>
    </row>
    <row r="134" spans="1:5" x14ac:dyDescent="0.25">
      <c r="A134" s="130" t="s">
        <v>182</v>
      </c>
      <c r="B134" s="153">
        <f>Consolidado!D32</f>
        <v>38144000</v>
      </c>
      <c r="C134" s="151">
        <f>C132+C133</f>
        <v>75839032.343615636</v>
      </c>
      <c r="D134" s="151">
        <f>D132+D133</f>
        <v>89933237.99835138</v>
      </c>
      <c r="E134" s="151">
        <f>E132+E133</f>
        <v>106429650.55135845</v>
      </c>
    </row>
    <row r="135" spans="1:5" x14ac:dyDescent="0.25">
      <c r="A135" s="284" t="s">
        <v>183</v>
      </c>
      <c r="B135" s="286">
        <f>B134-B133-B132</f>
        <v>0</v>
      </c>
      <c r="C135" s="287">
        <f>C134-C133-C132</f>
        <v>0</v>
      </c>
      <c r="D135" s="287">
        <f>D134-D133-D132</f>
        <v>0</v>
      </c>
      <c r="E135" s="287">
        <f>E134-E133-E132</f>
        <v>0</v>
      </c>
    </row>
    <row r="136" spans="1:5" x14ac:dyDescent="0.25">
      <c r="A136" s="121"/>
    </row>
    <row r="137" spans="1:5" x14ac:dyDescent="0.25">
      <c r="A137" s="139" t="s">
        <v>229</v>
      </c>
      <c r="B137" s="292"/>
      <c r="C137" s="294">
        <f>Consolidado!E95</f>
        <v>0</v>
      </c>
      <c r="D137" s="293">
        <f>Consolidado!F95</f>
        <v>0</v>
      </c>
      <c r="E137" s="293">
        <f>Consolidado!G95</f>
        <v>0</v>
      </c>
    </row>
    <row r="140" spans="1:5" x14ac:dyDescent="0.25">
      <c r="B140" s="278" t="s">
        <v>190</v>
      </c>
      <c r="C140" s="274" t="s">
        <v>170</v>
      </c>
      <c r="D140" s="274" t="s">
        <v>170</v>
      </c>
      <c r="E140" s="275" t="s">
        <v>170</v>
      </c>
    </row>
    <row r="141" spans="1:5" x14ac:dyDescent="0.25">
      <c r="A141" s="302" t="s">
        <v>381</v>
      </c>
      <c r="B141" s="279" t="s">
        <v>191</v>
      </c>
      <c r="C141" s="276" t="s">
        <v>185</v>
      </c>
      <c r="D141" s="276" t="s">
        <v>186</v>
      </c>
      <c r="E141" s="277" t="s">
        <v>187</v>
      </c>
    </row>
    <row r="142" spans="1:5" x14ac:dyDescent="0.25">
      <c r="A142" s="131" t="s">
        <v>248</v>
      </c>
      <c r="B142" s="201">
        <f>Consolidado!D14</f>
        <v>27338000</v>
      </c>
      <c r="C142" s="133">
        <f>Consolidado!E14</f>
        <v>24017812.365697719</v>
      </c>
      <c r="D142" s="132">
        <f>Consolidado!F14</f>
        <v>21880945.773589831</v>
      </c>
      <c r="E142" s="132">
        <f>Consolidado!G14</f>
        <v>19934196.364635061</v>
      </c>
    </row>
    <row r="143" spans="1:5" x14ac:dyDescent="0.25">
      <c r="A143" s="131" t="s">
        <v>249</v>
      </c>
      <c r="B143" s="201">
        <f>B142*Supuestos!$C$27</f>
        <v>7485098.7333370214</v>
      </c>
      <c r="C143" s="133">
        <f>C142*Supuestos!$C$27</f>
        <v>6576036.9052604521</v>
      </c>
      <c r="D143" s="133">
        <f>D142*Supuestos!$C$27</f>
        <v>5990966.4018623633</v>
      </c>
      <c r="E143" s="133">
        <f>E142*Supuestos!$C$27</f>
        <v>5457949.6656310391</v>
      </c>
    </row>
    <row r="144" spans="1:5" x14ac:dyDescent="0.25">
      <c r="A144" s="131" t="s">
        <v>250</v>
      </c>
      <c r="B144" s="201">
        <f>B142-B143</f>
        <v>19852901.266662978</v>
      </c>
      <c r="C144" s="133">
        <f>C142-C143</f>
        <v>17441775.460437268</v>
      </c>
      <c r="D144" s="132">
        <f>D142-D143</f>
        <v>15889979.371727467</v>
      </c>
      <c r="E144" s="132">
        <f>E142-E143</f>
        <v>14476246.699004022</v>
      </c>
    </row>
    <row r="145" spans="1:7" x14ac:dyDescent="0.25">
      <c r="A145" s="131" t="s">
        <v>172</v>
      </c>
      <c r="B145" s="201">
        <f>Consolidado!B101</f>
        <v>6253000</v>
      </c>
      <c r="C145" s="133">
        <f>Consolidado!C101</f>
        <v>4867608.1528763687</v>
      </c>
      <c r="D145" s="133">
        <f>Consolidado!D101</f>
        <v>4434536.6854595868</v>
      </c>
      <c r="E145" s="133">
        <f>Consolidado!E101</f>
        <v>4039995.6194227305</v>
      </c>
    </row>
    <row r="146" spans="1:7" x14ac:dyDescent="0.25">
      <c r="A146" s="299" t="s">
        <v>251</v>
      </c>
      <c r="B146" s="300">
        <f>B144+B145</f>
        <v>26105901.266662978</v>
      </c>
      <c r="C146" s="300">
        <f>C144+C145</f>
        <v>22309383.613313638</v>
      </c>
      <c r="D146" s="301">
        <f>D144+D145</f>
        <v>20324516.057187054</v>
      </c>
      <c r="E146" s="301">
        <f>E144+E145</f>
        <v>18516242.318426754</v>
      </c>
    </row>
    <row r="147" spans="1:7" x14ac:dyDescent="0.25">
      <c r="A147" s="131" t="s">
        <v>252</v>
      </c>
      <c r="B147" s="201">
        <f>Consolidado!B103</f>
        <v>12040000</v>
      </c>
      <c r="C147" s="133">
        <f>Consolidado!C103</f>
        <v>16391383.131681025</v>
      </c>
      <c r="D147" s="132">
        <f>Consolidado!D103</f>
        <v>7124333.7204484791</v>
      </c>
      <c r="E147" s="132">
        <f>Consolidado!E103</f>
        <v>6490481.207719326</v>
      </c>
    </row>
    <row r="148" spans="1:7" x14ac:dyDescent="0.25">
      <c r="A148" s="131" t="s">
        <v>253</v>
      </c>
      <c r="B148" s="201">
        <f>Consolidado!B102</f>
        <v>7748000</v>
      </c>
      <c r="C148" s="133">
        <f>Consolidado!C102</f>
        <v>15252878.823733896</v>
      </c>
      <c r="D148" s="132">
        <f>Consolidado!D102</f>
        <v>6084852.2204996496</v>
      </c>
      <c r="E148" s="132">
        <f>Consolidado!E102</f>
        <v>5543482.4558465704</v>
      </c>
    </row>
    <row r="149" spans="1:7" x14ac:dyDescent="0.25">
      <c r="A149" s="131" t="s">
        <v>254</v>
      </c>
      <c r="B149" s="201">
        <v>0</v>
      </c>
      <c r="C149" s="133">
        <v>0</v>
      </c>
      <c r="D149" s="132">
        <v>0</v>
      </c>
      <c r="E149" s="132">
        <v>0</v>
      </c>
    </row>
    <row r="150" spans="1:7" x14ac:dyDescent="0.25">
      <c r="A150" s="131" t="s">
        <v>255</v>
      </c>
      <c r="B150" s="201">
        <f>Consolidado!B109</f>
        <v>-34115000</v>
      </c>
      <c r="C150" s="133">
        <f>Consolidado!C109</f>
        <v>-32022.41771800071</v>
      </c>
      <c r="D150" s="132">
        <f>Consolidado!D109</f>
        <v>-5025383.7796373814</v>
      </c>
      <c r="E150" s="132">
        <f>Consolidado!E109</f>
        <v>-4578275.0027129054</v>
      </c>
    </row>
    <row r="151" spans="1:7" x14ac:dyDescent="0.25">
      <c r="A151" s="131" t="s">
        <v>256</v>
      </c>
      <c r="B151" s="201">
        <v>0</v>
      </c>
      <c r="C151" s="133">
        <v>0</v>
      </c>
      <c r="D151" s="132">
        <v>0</v>
      </c>
      <c r="E151" s="132">
        <v>0</v>
      </c>
    </row>
    <row r="152" spans="1:7" x14ac:dyDescent="0.25">
      <c r="A152" s="131" t="s">
        <v>257</v>
      </c>
      <c r="B152" s="201">
        <f>SUM(B147:B151)</f>
        <v>-14327000</v>
      </c>
      <c r="C152" s="133">
        <f>SUM(C147:C151)</f>
        <v>31612239.53769692</v>
      </c>
      <c r="D152" s="132">
        <f>SUM(D147:D151)</f>
        <v>8183802.1613107473</v>
      </c>
      <c r="E152" s="132">
        <f>SUM(E147:E151)</f>
        <v>7455688.660852991</v>
      </c>
    </row>
    <row r="153" spans="1:7" x14ac:dyDescent="0.25">
      <c r="A153" s="131" t="s">
        <v>258</v>
      </c>
      <c r="B153" s="201">
        <f>Consolidado!B118</f>
        <v>1149000</v>
      </c>
      <c r="C153" s="133">
        <f>Consolidado!C118</f>
        <v>1025779.22844199</v>
      </c>
      <c r="D153" s="132">
        <f>Consolidado!D118</f>
        <v>2431805.0535517437</v>
      </c>
      <c r="E153" s="132">
        <f>Consolidado!E118</f>
        <v>2215447.1730615352</v>
      </c>
    </row>
    <row r="154" spans="1:7" x14ac:dyDescent="0.25">
      <c r="A154" s="299" t="s">
        <v>259</v>
      </c>
      <c r="B154" s="300">
        <f>B146+B152+B153</f>
        <v>12927901.266662978</v>
      </c>
      <c r="C154" s="300">
        <f>C146+C152+C153</f>
        <v>54947402.379452549</v>
      </c>
      <c r="D154" s="301">
        <f>D146+D152+D153</f>
        <v>30940123.272049546</v>
      </c>
      <c r="E154" s="301">
        <f>E146+E152+E153</f>
        <v>28187378.15234128</v>
      </c>
    </row>
    <row r="158" spans="1:7" x14ac:dyDescent="0.25">
      <c r="A158" s="289" t="s">
        <v>382</v>
      </c>
      <c r="B158" s="6"/>
      <c r="C158" s="74">
        <v>2022</v>
      </c>
      <c r="D158" s="75">
        <v>2023</v>
      </c>
      <c r="E158" s="76">
        <v>2024</v>
      </c>
      <c r="F158" s="77">
        <v>2025</v>
      </c>
      <c r="G158" s="76">
        <v>2026</v>
      </c>
    </row>
    <row r="159" spans="1:7" x14ac:dyDescent="0.25">
      <c r="A159" s="340" t="s">
        <v>92</v>
      </c>
      <c r="B159" s="57" t="s">
        <v>114</v>
      </c>
      <c r="C159" s="49">
        <f>Consolidado!C42/Consolidado!C70</f>
        <v>1.4653026566789187</v>
      </c>
      <c r="D159" s="53">
        <f>Consolidado!D42/Consolidado!D70</f>
        <v>1.6709340638998926</v>
      </c>
      <c r="E159" s="49">
        <f>Consolidado!E42/Consolidado!E70</f>
        <v>1.8776957815985844</v>
      </c>
      <c r="F159" s="49">
        <f>Consolidado!F42/Consolidado!F70</f>
        <v>2.0746132260719743</v>
      </c>
      <c r="G159" s="49">
        <f>Consolidado!G42/Consolidado!G70</f>
        <v>2.3280775655097092</v>
      </c>
    </row>
    <row r="160" spans="1:7" x14ac:dyDescent="0.25">
      <c r="A160" s="341"/>
      <c r="B160" s="57" t="s">
        <v>115</v>
      </c>
      <c r="C160" s="51">
        <f>(Consolidado!C42-Consolidado!C34)/Consolidado!C70</f>
        <v>0.83424254408412046</v>
      </c>
      <c r="D160" s="54">
        <f>(Consolidado!D42-Consolidado!D34)/Consolidado!D70</f>
        <v>0.95665469623486732</v>
      </c>
      <c r="E160" s="51">
        <f>(Consolidado!E42-Consolidado!E34)/Consolidado!E70</f>
        <v>1.2238683799832024</v>
      </c>
      <c r="F160" s="51">
        <f>(Consolidado!F42-Consolidado!F34)/Consolidado!F70</f>
        <v>1.4175795109870779</v>
      </c>
      <c r="G160" s="51">
        <f>(Consolidado!G42-Consolidado!G34)/Consolidado!G70</f>
        <v>1.6678453275917928</v>
      </c>
    </row>
    <row r="161" spans="1:7" x14ac:dyDescent="0.25">
      <c r="A161" s="341"/>
      <c r="B161" s="58" t="s">
        <v>116</v>
      </c>
      <c r="C161" s="50">
        <f>Consolidado!C42-Consolidado!C70</f>
        <v>80006000</v>
      </c>
      <c r="D161" s="55">
        <f>Consolidado!D42-Consolidado!D70</f>
        <v>90613000</v>
      </c>
      <c r="E161" s="50">
        <f>Consolidado!E42-Consolidado!E70</f>
        <v>107493248.15782477</v>
      </c>
      <c r="F161" s="50">
        <f>Consolidado!F42-Consolidado!F70</f>
        <v>119315663.61019039</v>
      </c>
      <c r="G161" s="50">
        <f>Consolidado!G42-Consolidado!G70</f>
        <v>133687958.5293327</v>
      </c>
    </row>
    <row r="162" spans="1:7" x14ac:dyDescent="0.25">
      <c r="A162" s="342"/>
      <c r="B162" s="57" t="s">
        <v>93</v>
      </c>
      <c r="C162" s="52">
        <f>Consolidado!C33+Consolidado!C34-Consolidado!C64</f>
        <v>109269000</v>
      </c>
      <c r="D162" s="56">
        <f>Consolidado!D33+Consolidado!D34-Consolidado!D64</f>
        <v>123596000</v>
      </c>
      <c r="E162" s="52">
        <f>Consolidado!E33+Consolidado!E34-Consolidado!E64</f>
        <v>91983760.462303072</v>
      </c>
      <c r="F162" s="52">
        <f>Consolidado!F33+Consolidado!F34-Consolidado!F64</f>
        <v>83799958.30099234</v>
      </c>
      <c r="G162" s="52">
        <f>Consolidado!G33+Consolidado!G34-Consolidado!G64</f>
        <v>76344269.640139341</v>
      </c>
    </row>
    <row r="163" spans="1:7" x14ac:dyDescent="0.25">
      <c r="A163" s="7"/>
      <c r="B163" s="6"/>
      <c r="C163" s="6"/>
      <c r="D163" s="6"/>
      <c r="E163" s="6"/>
      <c r="F163" s="6"/>
      <c r="G163" s="6"/>
    </row>
    <row r="164" spans="1:7" x14ac:dyDescent="0.25">
      <c r="A164" s="6"/>
      <c r="B164" s="6"/>
      <c r="C164" s="74">
        <v>2022</v>
      </c>
      <c r="D164" s="75">
        <v>2023</v>
      </c>
      <c r="E164" s="76">
        <v>2024</v>
      </c>
      <c r="F164" s="77">
        <v>2025</v>
      </c>
      <c r="G164" s="76">
        <v>2026</v>
      </c>
    </row>
    <row r="165" spans="1:7" x14ac:dyDescent="0.25">
      <c r="A165" s="343" t="s">
        <v>94</v>
      </c>
      <c r="B165" s="57" t="s">
        <v>118</v>
      </c>
      <c r="C165" s="59">
        <f>Consolidado!C33/(Consolidado!C6/360)</f>
        <v>61.204540465728854</v>
      </c>
      <c r="D165" s="59">
        <f>Consolidado!D33/(Consolidado!D6/360)</f>
        <v>65.382419037899922</v>
      </c>
      <c r="E165" s="63">
        <f>Consolidado!E33/(Consolidado!E6/360)</f>
        <v>63.293479751814395</v>
      </c>
      <c r="F165" s="63">
        <f>Consolidado!F33/(Consolidado!F6/360)</f>
        <v>63.293479751814388</v>
      </c>
      <c r="G165" s="63">
        <f>Consolidado!G33/(Consolidado!G6/360)</f>
        <v>63.293479751814388</v>
      </c>
    </row>
    <row r="166" spans="1:7" x14ac:dyDescent="0.25">
      <c r="A166" s="344"/>
      <c r="B166" s="57" t="s">
        <v>117</v>
      </c>
      <c r="C166" s="56">
        <f>Consolidado!C34/(Consolidado!C7/360)</f>
        <v>138.83811439721632</v>
      </c>
      <c r="D166" s="56">
        <f>Consolidado!D34/(Consolidado!D7/360)</f>
        <v>150.85736626050692</v>
      </c>
      <c r="E166" s="56">
        <f>Consolidado!E34/(Consolidado!E7/360)</f>
        <v>144.84774032886168</v>
      </c>
      <c r="F166" s="56">
        <f>Consolidado!F34/(Consolidado!F7/360)</f>
        <v>144.84774032886162</v>
      </c>
      <c r="G166" s="56">
        <f>Consolidado!G34/(Consolidado!G7/360)</f>
        <v>144.84774032886165</v>
      </c>
    </row>
    <row r="167" spans="1:7" x14ac:dyDescent="0.25">
      <c r="A167" s="344"/>
      <c r="B167" s="57" t="s">
        <v>330</v>
      </c>
      <c r="C167" s="56">
        <f>Consolidado!C64/(Consolidado!C7/360)</f>
        <v>115.96521096274076</v>
      </c>
      <c r="D167" s="56">
        <f>Consolidado!D64/(Consolidado!D7/360)</f>
        <v>88.381051671336408</v>
      </c>
      <c r="E167" s="52">
        <f>Consolidado!E64/(Consolidado!E7/360)</f>
        <v>102.17313131703861</v>
      </c>
      <c r="F167" s="52">
        <f>Consolidado!F64/(Consolidado!F7/360)</f>
        <v>102.17313131703858</v>
      </c>
      <c r="G167" s="52">
        <f>Consolidado!G64/(Consolidado!G7/360)</f>
        <v>102.1731313170386</v>
      </c>
    </row>
    <row r="168" spans="1:7" x14ac:dyDescent="0.25">
      <c r="A168" s="345"/>
      <c r="B168" s="58" t="s">
        <v>133</v>
      </c>
      <c r="C168" s="62">
        <f>C165+C166-C167</f>
        <v>84.077443900204415</v>
      </c>
      <c r="D168" s="62">
        <f>D165+D166-D167</f>
        <v>127.85873362707044</v>
      </c>
      <c r="E168" s="61">
        <f>E165+E166-E167</f>
        <v>105.96808876363747</v>
      </c>
      <c r="F168" s="61">
        <f>F165+F166-F167</f>
        <v>105.96808876363744</v>
      </c>
      <c r="G168" s="61">
        <f>G165+G166-G167</f>
        <v>105.96808876363743</v>
      </c>
    </row>
    <row r="169" spans="1:7" x14ac:dyDescent="0.25">
      <c r="A169" s="9"/>
      <c r="C169" s="12"/>
      <c r="D169" s="12"/>
      <c r="E169" s="12"/>
      <c r="F169" s="12"/>
      <c r="G169" s="12"/>
    </row>
    <row r="170" spans="1:7" x14ac:dyDescent="0.25">
      <c r="A170" s="6"/>
      <c r="B170" s="6"/>
      <c r="C170" s="11"/>
      <c r="D170" s="11"/>
      <c r="E170" s="11"/>
      <c r="F170" s="11"/>
      <c r="G170" s="11"/>
    </row>
    <row r="171" spans="1:7" x14ac:dyDescent="0.25">
      <c r="A171" s="6"/>
      <c r="B171" s="6"/>
      <c r="C171" s="74">
        <v>2022</v>
      </c>
      <c r="D171" s="75">
        <v>2023</v>
      </c>
      <c r="E171" s="76">
        <v>2024</v>
      </c>
      <c r="F171" s="77">
        <v>2025</v>
      </c>
      <c r="G171" s="76">
        <v>2026</v>
      </c>
    </row>
    <row r="172" spans="1:7" x14ac:dyDescent="0.25">
      <c r="A172" s="346" t="s">
        <v>95</v>
      </c>
      <c r="B172" s="64" t="s">
        <v>119</v>
      </c>
      <c r="C172" s="69">
        <f>Consolidado!C8/Consolidado!C6</f>
        <v>0.47661682472477795</v>
      </c>
      <c r="D172" s="69">
        <f>Consolidado!D8/Consolidado!D6</f>
        <v>0.50015741876648823</v>
      </c>
      <c r="E172" s="69">
        <f>Consolidado!E8/Consolidado!E6</f>
        <v>0.48838712174563303</v>
      </c>
      <c r="F172" s="69">
        <f>Consolidado!F8/Consolidado!F6</f>
        <v>0.48838712174563309</v>
      </c>
      <c r="G172" s="69">
        <f>Consolidado!G8/Consolidado!G6</f>
        <v>0.48838712174563315</v>
      </c>
    </row>
    <row r="173" spans="1:7" x14ac:dyDescent="0.25">
      <c r="A173" s="347"/>
      <c r="B173" s="57" t="s">
        <v>120</v>
      </c>
      <c r="C173" s="162">
        <f>Consolidado!C14/Consolidado!C6</f>
        <v>6.4126079402343147E-2</v>
      </c>
      <c r="D173" s="162">
        <f>Consolidado!D14/Consolidado!D6</f>
        <v>5.935881707939334E-2</v>
      </c>
      <c r="E173" s="162">
        <f>Consolidado!E14/Consolidado!E6</f>
        <v>6.1742448240868171E-2</v>
      </c>
      <c r="F173" s="162">
        <f>Consolidado!F14/Consolidado!F6</f>
        <v>6.1742448240868261E-2</v>
      </c>
      <c r="G173" s="162">
        <f>Consolidado!G14/Consolidado!G6</f>
        <v>6.1742448240868331E-2</v>
      </c>
    </row>
    <row r="174" spans="1:7" x14ac:dyDescent="0.25">
      <c r="A174" s="347"/>
      <c r="B174" s="57" t="s">
        <v>121</v>
      </c>
      <c r="C174" s="70">
        <f>Consolidado!C27/Consolidado!C6</f>
        <v>2.4423047588575171E-2</v>
      </c>
      <c r="D174" s="70">
        <f>Consolidado!D27/Consolidado!D6</f>
        <v>1.0168166668476078E-2</v>
      </c>
      <c r="E174" s="70">
        <f>Consolidado!E27/Consolidado!E6</f>
        <v>3.2366382310065986E-2</v>
      </c>
      <c r="F174" s="70">
        <f>Consolidado!F27/Consolidado!F6</f>
        <v>4.1703401841816819E-2</v>
      </c>
      <c r="G174" s="70">
        <f>Consolidado!G27/Consolidado!G6</f>
        <v>5.2638939733353866E-2</v>
      </c>
    </row>
    <row r="175" spans="1:7" x14ac:dyDescent="0.25">
      <c r="A175" s="347"/>
      <c r="B175" s="64" t="s">
        <v>122</v>
      </c>
      <c r="C175" s="89">
        <f>Consolidado!C14+'Datos '!D4</f>
        <v>20615000</v>
      </c>
      <c r="D175" s="89">
        <f>Consolidado!D14+'Datos '!E4</f>
        <v>22234000</v>
      </c>
      <c r="E175" s="89">
        <f>Consolidado!E14+'Datos '!F4</f>
        <v>24017812.365697719</v>
      </c>
      <c r="F175" s="89">
        <f>Consolidado!F14+'Datos '!G4</f>
        <v>21880945.773589831</v>
      </c>
      <c r="G175" s="89">
        <f>Consolidado!G14+'Datos '!H4</f>
        <v>19934196.364635061</v>
      </c>
    </row>
    <row r="176" spans="1:7" x14ac:dyDescent="0.25">
      <c r="A176" s="347"/>
      <c r="B176" s="57" t="s">
        <v>123</v>
      </c>
      <c r="C176" s="71">
        <f>C175/Consolidado!C6</f>
        <v>3.8348779498703418E-2</v>
      </c>
      <c r="D176" s="71">
        <f>D175/Consolidado!D6</f>
        <v>4.8276535918619926E-2</v>
      </c>
      <c r="E176" s="71">
        <f>E175/Consolidado!E6</f>
        <v>6.1742448240868171E-2</v>
      </c>
      <c r="F176" s="71">
        <f>F175/Consolidado!F6</f>
        <v>6.1742448240868261E-2</v>
      </c>
      <c r="G176" s="71">
        <f>G175/Consolidado!G6</f>
        <v>6.1742448240868331E-2</v>
      </c>
    </row>
    <row r="177" spans="1:7" x14ac:dyDescent="0.25">
      <c r="A177" s="347"/>
      <c r="B177" s="99" t="s">
        <v>96</v>
      </c>
      <c r="C177" s="69">
        <f>Consolidado!C27/Consolidado!C57</f>
        <v>4.1433918438709104E-2</v>
      </c>
      <c r="D177" s="69">
        <f>Consolidado!D27/Consolidado!D57</f>
        <v>1.5904228222109018E-2</v>
      </c>
      <c r="E177" s="69">
        <f>Consolidado!E27/Consolidado!E57</f>
        <v>4.4568099245458584E-2</v>
      </c>
      <c r="F177" s="69">
        <f>Consolidado!F27/Consolidado!F57</f>
        <v>5.3123133791138734E-2</v>
      </c>
      <c r="G177" s="69">
        <f>Consolidado!G27/Consolidado!G57</f>
        <v>6.1143365363082111E-2</v>
      </c>
    </row>
    <row r="178" spans="1:7" x14ac:dyDescent="0.25">
      <c r="A178" s="348"/>
      <c r="B178" s="57" t="s">
        <v>97</v>
      </c>
      <c r="C178" s="72">
        <f>Consolidado!C27/Consolidado!C92</f>
        <v>0.2020685515521832</v>
      </c>
      <c r="D178" s="71">
        <f>Consolidado!D27/Consolidado!D92</f>
        <v>6.7230389341908808E-2</v>
      </c>
      <c r="E178" s="72">
        <f>Consolidado!E27/Consolidado!E92</f>
        <v>0.15308273593147217</v>
      </c>
      <c r="F178" s="72">
        <f>Consolidado!F27/Consolidado!F92</f>
        <v>0.15232332579646554</v>
      </c>
      <c r="G178" s="72">
        <f>Consolidado!G27/Consolidado!G92</f>
        <v>0.14905197660573113</v>
      </c>
    </row>
    <row r="179" spans="1:7" x14ac:dyDescent="0.25">
      <c r="A179" s="65"/>
      <c r="B179" s="15"/>
      <c r="C179" s="13"/>
      <c r="D179" s="13"/>
      <c r="E179" s="13"/>
      <c r="F179" s="13"/>
      <c r="G179" s="13"/>
    </row>
    <row r="180" spans="1:7" x14ac:dyDescent="0.25">
      <c r="A180" s="65"/>
      <c r="B180" s="15"/>
      <c r="C180" s="13"/>
      <c r="D180" s="13"/>
      <c r="E180" s="13"/>
      <c r="F180" s="13"/>
      <c r="G180" s="13"/>
    </row>
    <row r="181" spans="1:7" x14ac:dyDescent="0.25">
      <c r="A181" s="10"/>
      <c r="B181" s="6"/>
      <c r="C181" s="74">
        <v>2022</v>
      </c>
      <c r="D181" s="75">
        <v>2023</v>
      </c>
      <c r="E181" s="76">
        <v>2024</v>
      </c>
      <c r="F181" s="77">
        <v>2025</v>
      </c>
      <c r="G181" s="76">
        <v>2026</v>
      </c>
    </row>
    <row r="182" spans="1:7" x14ac:dyDescent="0.25">
      <c r="A182" s="337" t="s">
        <v>98</v>
      </c>
      <c r="B182" s="66" t="s">
        <v>124</v>
      </c>
      <c r="C182" s="71">
        <f>Consolidado!C82/Consolidado!C57</f>
        <v>0.79495117810052196</v>
      </c>
      <c r="D182" s="71">
        <f>Consolidado!D82/Consolidado!D57</f>
        <v>0.76343691628459842</v>
      </c>
      <c r="E182" s="71">
        <f>Consolidado!E82/Consolidado!E57</f>
        <v>0.7088626684500231</v>
      </c>
      <c r="F182" s="71">
        <f>Consolidado!F82/Consolidado!F57</f>
        <v>0.65124754522415096</v>
      </c>
      <c r="G182" s="71">
        <f>Consolidado!G82/Consolidado!G57</f>
        <v>0.58978494109596991</v>
      </c>
    </row>
    <row r="183" spans="1:7" x14ac:dyDescent="0.25">
      <c r="A183" s="338"/>
      <c r="B183" s="99" t="s">
        <v>125</v>
      </c>
      <c r="C183" s="71">
        <f>Consolidado!C18/Consolidado!C14</f>
        <v>0.51984219076351823</v>
      </c>
      <c r="D183" s="71">
        <f>Consolidado!D18/Consolidado!D14</f>
        <v>0.9557026849074548</v>
      </c>
      <c r="E183" s="71">
        <f>Consolidado!E18/Consolidado!E14</f>
        <v>0.56855952540885402</v>
      </c>
      <c r="F183" s="71">
        <f>Consolidado!F18/Consolidado!F14</f>
        <v>0.46806326865274855</v>
      </c>
      <c r="G183" s="71">
        <f>Consolidado!G18/Consolidado!G14</f>
        <v>0.36991710651963355</v>
      </c>
    </row>
    <row r="184" spans="1:7" x14ac:dyDescent="0.25">
      <c r="A184" s="338"/>
      <c r="B184" s="60" t="s">
        <v>126</v>
      </c>
      <c r="C184" s="72">
        <f>Consolidado!C18/Consolidado!C175</f>
        <v>0.86926994906621391</v>
      </c>
      <c r="D184" s="72">
        <f>Consolidado!D18/Consolidado!D175</f>
        <v>1.1750922011333993</v>
      </c>
      <c r="E184" s="72">
        <f>Consolidado!E18/Consolidado!E175</f>
        <v>0.56855952540885402</v>
      </c>
      <c r="F184" s="72">
        <f>Consolidado!F18/Consolidado!F175</f>
        <v>0.46806326865274855</v>
      </c>
      <c r="G184" s="72">
        <f>Consolidado!G18/Consolidado!G175</f>
        <v>0.36991710651963355</v>
      </c>
    </row>
    <row r="185" spans="1:7" x14ac:dyDescent="0.25">
      <c r="A185" s="339"/>
      <c r="B185" s="66" t="s">
        <v>127</v>
      </c>
      <c r="C185" s="73">
        <f>C175/Consolidado!C18</f>
        <v>1.150390625</v>
      </c>
      <c r="D185" s="73">
        <f>D175/Consolidado!D18</f>
        <v>0.85099705285719751</v>
      </c>
      <c r="E185" s="73">
        <f>E175/Consolidado!E18</f>
        <v>1.7588307913421994</v>
      </c>
      <c r="F185" s="73">
        <f>F175/Consolidado!F18</f>
        <v>2.1364633094973535</v>
      </c>
      <c r="G185" s="73">
        <f>G175/Consolidado!G18</f>
        <v>2.7033083422621451</v>
      </c>
    </row>
    <row r="186" spans="1:7" x14ac:dyDescent="0.25">
      <c r="A186" s="157"/>
      <c r="B186" s="66" t="s">
        <v>208</v>
      </c>
      <c r="C186" s="174">
        <f>(Consolidado!C66+Consolidado!C79)/Consolidado!C175</f>
        <v>5.7516856657773463</v>
      </c>
      <c r="D186" s="172">
        <f>(Consolidado!D66+Consolidado!D79)/Consolidado!D175</f>
        <v>6.0213187010884228</v>
      </c>
      <c r="E186" s="172">
        <f>(Consolidado!E66+Consolidado!E79)/Consolidado!E175</f>
        <v>4.7379960450737837</v>
      </c>
      <c r="F186" s="172">
        <f>(Consolidado!F66+Consolidado!F79)/Consolidado!F175</f>
        <v>4.6806326865274857</v>
      </c>
      <c r="G186" s="172">
        <f>(Consolidado!G66+Consolidado!G79)/Consolidado!G175</f>
        <v>4.623963831495419</v>
      </c>
    </row>
    <row r="187" spans="1:7" x14ac:dyDescent="0.25">
      <c r="A187" s="157"/>
      <c r="B187" s="66" t="s">
        <v>211</v>
      </c>
      <c r="C187" s="161">
        <f>Consolidado!C18/(Consolidado!C66+Consolidado!C79)</f>
        <v>0.15113307638461343</v>
      </c>
      <c r="D187" s="173">
        <f>Consolidado!D18/(Consolidado!D66+Consolidado!D79)</f>
        <v>0.19515529063774481</v>
      </c>
      <c r="E187" s="173">
        <f>Consolidado!E18/(Consolidado!E66+Consolidado!E79)</f>
        <v>0.12</v>
      </c>
      <c r="F187" s="173">
        <f>Consolidado!F18/(Consolidado!F66+Consolidado!F79)</f>
        <v>0.1</v>
      </c>
      <c r="G187" s="161">
        <f>Consolidado!G18/(Consolidado!G66+Consolidado!G79)</f>
        <v>0.08</v>
      </c>
    </row>
    <row r="188" spans="1:7" x14ac:dyDescent="0.25">
      <c r="A188" s="10"/>
      <c r="C188" s="8"/>
      <c r="D188" s="8"/>
      <c r="E188" s="8"/>
      <c r="F188" s="8"/>
      <c r="G188" s="8"/>
    </row>
    <row r="189" spans="1:7" x14ac:dyDescent="0.25">
      <c r="A189" s="10"/>
      <c r="B189" s="6"/>
      <c r="C189" s="74">
        <v>2022</v>
      </c>
      <c r="D189" s="75">
        <v>2023</v>
      </c>
      <c r="E189" s="76">
        <v>2024</v>
      </c>
      <c r="F189" s="77">
        <v>2025</v>
      </c>
      <c r="G189" s="76">
        <v>2026</v>
      </c>
    </row>
    <row r="190" spans="1:7" x14ac:dyDescent="0.25">
      <c r="A190" s="334" t="s">
        <v>99</v>
      </c>
      <c r="B190" s="100" t="s">
        <v>123</v>
      </c>
      <c r="C190" s="68">
        <f>C176</f>
        <v>3.8348779498703418E-2</v>
      </c>
      <c r="D190" s="70">
        <f>D176</f>
        <v>4.8276535918619926E-2</v>
      </c>
      <c r="E190" s="68">
        <f>E176</f>
        <v>6.1742448240868171E-2</v>
      </c>
      <c r="F190" s="68">
        <f>F176</f>
        <v>6.1742448240868261E-2</v>
      </c>
      <c r="G190" s="68">
        <f>G176</f>
        <v>6.1742448240868331E-2</v>
      </c>
    </row>
    <row r="191" spans="1:7" x14ac:dyDescent="0.25">
      <c r="A191" s="335"/>
      <c r="B191" s="57" t="s">
        <v>128</v>
      </c>
      <c r="C191" s="67">
        <f>C162/Consolidado!C6</f>
        <v>0.20326620359174502</v>
      </c>
      <c r="D191" s="71">
        <f>D162/Consolidado!D6</f>
        <v>0.26836317052252173</v>
      </c>
      <c r="E191" s="67">
        <f>E162/Consolidado!E6</f>
        <v>0.23646210915759144</v>
      </c>
      <c r="F191" s="67">
        <f>F162/Consolidado!F6</f>
        <v>0.23646210915759147</v>
      </c>
      <c r="G191" s="67">
        <f>G162/Consolidado!G6</f>
        <v>0.23646210915759144</v>
      </c>
    </row>
    <row r="192" spans="1:7" x14ac:dyDescent="0.25">
      <c r="A192" s="335"/>
      <c r="B192" s="57" t="s">
        <v>129</v>
      </c>
      <c r="C192" s="49">
        <f>C190/C191</f>
        <v>0.18866284124500088</v>
      </c>
      <c r="D192" s="53">
        <f>D190/D191</f>
        <v>0.1798925531570601</v>
      </c>
      <c r="E192" s="49">
        <f>E190/E191</f>
        <v>0.26110926803803303</v>
      </c>
      <c r="F192" s="49">
        <f>F190/F191</f>
        <v>0.26110926803803342</v>
      </c>
      <c r="G192" s="49">
        <f>G190/G191</f>
        <v>0.26110926803803369</v>
      </c>
    </row>
    <row r="193" spans="1:7" x14ac:dyDescent="0.25">
      <c r="A193" s="335"/>
      <c r="B193" s="57" t="s">
        <v>130</v>
      </c>
      <c r="C193" s="49">
        <f>Consolidado!C6/Consolidado!C45</f>
        <v>17.089458290946084</v>
      </c>
      <c r="D193" s="53">
        <f>Consolidado!D6/Consolidado!D45</f>
        <v>17.477041590771098</v>
      </c>
      <c r="E193" s="49">
        <f>Consolidado!E6/Consolidado!E45</f>
        <v>17.28107701599178</v>
      </c>
      <c r="F193" s="49">
        <f>Consolidado!F6/Consolidado!F45</f>
        <v>17.281077015991777</v>
      </c>
      <c r="G193" s="49">
        <f>Consolidado!G6/Consolidado!G45</f>
        <v>17.281077015991777</v>
      </c>
    </row>
    <row r="194" spans="1:7" x14ac:dyDescent="0.25">
      <c r="A194" s="335"/>
      <c r="B194" s="57" t="s">
        <v>131</v>
      </c>
      <c r="C194" s="67">
        <f>(Consolidado!C14*(1-Supuestos!$C$18))/(Consolidado!C162+Consolidado!C45)</f>
        <v>0.15260325024615665</v>
      </c>
      <c r="D194" s="67">
        <f>(Consolidado!D14*(1-Supuestos!$C$18))/(Consolidado!D162+Consolidado!D45)</f>
        <v>0.11357810581230503</v>
      </c>
      <c r="E194" s="67">
        <f>(Consolidado!E14*(1-Supuestos!$C$18))/(Consolidado!E162+Consolidado!E45)</f>
        <v>0.13068313336510518</v>
      </c>
      <c r="F194" s="67">
        <f>(Consolidado!F14*(1-Supuestos!$C$18))/(Consolidado!F162+Consolidado!F45)</f>
        <v>0.13068313336510531</v>
      </c>
      <c r="G194" s="67">
        <f>(Consolidado!G14*(1-Supuestos!$C$18))/(Consolidado!G162+Consolidado!G45)</f>
        <v>0.13068313336510548</v>
      </c>
    </row>
    <row r="195" spans="1:7" x14ac:dyDescent="0.25">
      <c r="A195" s="336"/>
      <c r="B195" s="58" t="s">
        <v>132</v>
      </c>
      <c r="C195" s="101">
        <f>C178*(1-Supuestos!C30)</f>
        <v>0.2020685515521832</v>
      </c>
      <c r="D195" s="101">
        <f>D178*(1-Supuestos!D30)</f>
        <v>0.52350120592626626</v>
      </c>
      <c r="E195" s="101">
        <f>E178*(1-Supuestos!E30)</f>
        <v>0.60453364273053301</v>
      </c>
      <c r="F195" s="101">
        <f>F178*(1-Supuestos!F30)</f>
        <v>0.15232332579646554</v>
      </c>
      <c r="G195" s="101">
        <f>G178*(1-Supuestos!G30)</f>
        <v>0.14905197660573113</v>
      </c>
    </row>
  </sheetData>
  <sheetProtection algorithmName="SHA-512" hashValue="Imlq8k9Z/A4zfUhvEJTOd9GhrSjQ/oi/ERYZ9kq8M5R1jG+O4tbK0OiTgqw3n0pOt5JY6BQhrQhs7f0wJ/u/Tw==" saltValue="4pLc+d6Ccs5s0vemnp+mrQ==" spinCount="100000" sheet="1" formatCells="0" formatColumns="0" formatRows="0" insertColumns="0" insertRows="0" insertHyperlinks="0" deleteColumns="0" deleteRows="0" sort="0" autoFilter="0" pivotTables="0"/>
  <mergeCells count="5">
    <mergeCell ref="A190:A195"/>
    <mergeCell ref="A182:A185"/>
    <mergeCell ref="A159:A162"/>
    <mergeCell ref="A165:A168"/>
    <mergeCell ref="A172:A17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6C51C-D203-4530-9BFB-13202C4DC458}">
  <sheetPr>
    <tabColor theme="2" tint="-0.249977111117893"/>
  </sheetPr>
  <dimension ref="B1:H43"/>
  <sheetViews>
    <sheetView showGridLines="0" zoomScale="80" zoomScaleNormal="80" workbookViewId="0">
      <pane xSplit="2" ySplit="4" topLeftCell="C23" activePane="bottomRight" state="frozen"/>
      <selection pane="topRight" activeCell="B1" sqref="B1"/>
      <selection pane="bottomLeft" activeCell="A5" sqref="A5"/>
      <selection pane="bottomRight" activeCell="D23" sqref="D23"/>
    </sheetView>
  </sheetViews>
  <sheetFormatPr baseColWidth="10" defaultColWidth="11" defaultRowHeight="15.75" x14ac:dyDescent="0.25"/>
  <cols>
    <col min="1" max="1" width="4.875" style="121" customWidth="1"/>
    <col min="2" max="2" width="57.25" style="121" bestFit="1" customWidth="1"/>
    <col min="3" max="3" width="12.75" style="121" bestFit="1" customWidth="1"/>
    <col min="4" max="4" width="13.875" style="121" bestFit="1" customWidth="1"/>
    <col min="5" max="6" width="14.25" style="121" bestFit="1" customWidth="1"/>
    <col min="7" max="16384" width="11" style="121"/>
  </cols>
  <sheetData>
    <row r="1" spans="2:7" x14ac:dyDescent="0.25">
      <c r="B1" s="120"/>
    </row>
    <row r="2" spans="2:7" x14ac:dyDescent="0.25">
      <c r="B2" s="120"/>
    </row>
    <row r="3" spans="2:7" x14ac:dyDescent="0.25">
      <c r="B3" s="120" t="s">
        <v>168</v>
      </c>
      <c r="C3" s="142" t="s">
        <v>190</v>
      </c>
      <c r="D3" s="143" t="s">
        <v>170</v>
      </c>
      <c r="E3" s="143" t="s">
        <v>170</v>
      </c>
      <c r="F3" s="144" t="s">
        <v>170</v>
      </c>
    </row>
    <row r="4" spans="2:7" x14ac:dyDescent="0.25">
      <c r="B4" s="123" t="s">
        <v>169</v>
      </c>
      <c r="C4" s="145" t="s">
        <v>191</v>
      </c>
      <c r="D4" s="145" t="s">
        <v>185</v>
      </c>
      <c r="E4" s="145" t="s">
        <v>186</v>
      </c>
      <c r="F4" s="144" t="s">
        <v>187</v>
      </c>
    </row>
    <row r="5" spans="2:7" x14ac:dyDescent="0.25">
      <c r="B5" s="130" t="s">
        <v>171</v>
      </c>
      <c r="C5" s="133">
        <f>Consolidado!D27</f>
        <v>4683000</v>
      </c>
      <c r="D5" s="133">
        <f>Consolidado!E27</f>
        <v>12590522.71861567</v>
      </c>
      <c r="E5" s="132">
        <f>Consolidado!F27</f>
        <v>14779295.286690881</v>
      </c>
      <c r="F5" s="132">
        <f>Consolidado!G27</f>
        <v>16995033.254549634</v>
      </c>
      <c r="G5" s="121" t="s">
        <v>193</v>
      </c>
    </row>
    <row r="6" spans="2:7" x14ac:dyDescent="0.25">
      <c r="B6" s="131" t="s">
        <v>172</v>
      </c>
      <c r="C6" s="133">
        <f>Supuestos!L56</f>
        <v>6253000</v>
      </c>
      <c r="D6" s="133">
        <f>Supuestos!N44</f>
        <v>0</v>
      </c>
      <c r="E6" s="132">
        <f>Supuestos!O44</f>
        <v>0</v>
      </c>
      <c r="F6" s="133">
        <f>Consolidado!K65</f>
        <v>0</v>
      </c>
    </row>
    <row r="7" spans="2:7" x14ac:dyDescent="0.25">
      <c r="B7" s="130" t="s">
        <v>195</v>
      </c>
      <c r="C7" s="133">
        <f>-(Consolidado!D33-Consolidado!C33)</f>
        <v>7748000</v>
      </c>
      <c r="D7" s="133">
        <f>-(Consolidado!E33-Consolidado!D33)</f>
        <v>15252878.823733896</v>
      </c>
      <c r="E7" s="133">
        <f>-(Consolidado!F33-Consolidado!E33)</f>
        <v>6084852.2204996496</v>
      </c>
      <c r="F7" s="133">
        <f>-(Consolidado!G33-Consolidado!F33)</f>
        <v>5543482.4558465704</v>
      </c>
    </row>
    <row r="8" spans="2:7" x14ac:dyDescent="0.25">
      <c r="B8" s="131" t="s">
        <v>196</v>
      </c>
      <c r="C8" s="133">
        <f>-(Consolidado!D34-Consolidado!C34)</f>
        <v>12040000</v>
      </c>
      <c r="D8" s="133">
        <f>-(Consolidado!E34-Consolidado!D34)</f>
        <v>16391383.131681025</v>
      </c>
      <c r="E8" s="133">
        <f>-(Consolidado!F34-Consolidado!E34)</f>
        <v>7124333.7204484791</v>
      </c>
      <c r="F8" s="133">
        <f>-(Consolidado!G34-Consolidado!F34)</f>
        <v>6490481.207719326</v>
      </c>
    </row>
    <row r="9" spans="2:7" x14ac:dyDescent="0.25">
      <c r="B9" s="130" t="s">
        <v>192</v>
      </c>
      <c r="C9" s="133">
        <f>-(Consolidado!D35-Consolidado!C35)</f>
        <v>-759000</v>
      </c>
      <c r="D9" s="133">
        <f>-(Consolidado!E35-Consolidado!D35)</f>
        <v>1392811.5545462132</v>
      </c>
      <c r="E9" s="133">
        <f>-(Consolidado!F35-Consolidado!E35)</f>
        <v>336946.44390949421</v>
      </c>
      <c r="F9" s="133">
        <f>-(Consolidado!G35-Consolidado!F35)</f>
        <v>306968.2931788275</v>
      </c>
    </row>
    <row r="10" spans="2:7" x14ac:dyDescent="0.25">
      <c r="B10" s="131" t="s">
        <v>197</v>
      </c>
      <c r="C10" s="134">
        <f>-(Consolidado!D37-Consolidado!C37)</f>
        <v>335000</v>
      </c>
      <c r="D10" s="134">
        <f>-(Consolidado!E37-Consolidado!D37)</f>
        <v>360607.68583610747</v>
      </c>
      <c r="E10" s="134">
        <f>-(Consolidado!F37-Consolidado!E37)</f>
        <v>166497.91646201746</v>
      </c>
      <c r="F10" s="134">
        <f>-(Consolidado!G37-Consolidado!F37)</f>
        <v>151684.58417654294</v>
      </c>
    </row>
    <row r="11" spans="2:7" x14ac:dyDescent="0.25">
      <c r="B11" s="130" t="s">
        <v>198</v>
      </c>
      <c r="C11" s="133">
        <f>-(Consolidado!D47-Consolidado!C47)</f>
        <v>-633000</v>
      </c>
      <c r="D11" s="133">
        <f>-(Consolidado!E47-Consolidado!D47)</f>
        <v>2730285.2275975514</v>
      </c>
      <c r="E11" s="133">
        <f>-(Consolidado!F47-Consolidado!E47)</f>
        <v>787982.58662412968</v>
      </c>
      <c r="F11" s="133">
        <f>-(Consolidado!G47-Consolidado!F47)</f>
        <v>717875.71598653868</v>
      </c>
    </row>
    <row r="12" spans="2:7" x14ac:dyDescent="0.25">
      <c r="B12" s="131" t="s">
        <v>199</v>
      </c>
      <c r="C12" s="136">
        <f>-(Consolidado!D51-Consolidado!C51)</f>
        <v>278000</v>
      </c>
      <c r="D12" s="136">
        <f>-(Consolidado!E51-Consolidado!D51)</f>
        <v>1163534.6926258532</v>
      </c>
      <c r="E12" s="136">
        <f>-(Consolidado!F51-Consolidado!E51)</f>
        <v>417488.99513737764</v>
      </c>
      <c r="F12" s="136">
        <f>-(Consolidado!G51-Consolidado!F51)</f>
        <v>380344.96750079421</v>
      </c>
    </row>
    <row r="13" spans="2:7" x14ac:dyDescent="0.25">
      <c r="B13" s="130" t="s">
        <v>200</v>
      </c>
      <c r="C13" s="133">
        <f>-(Consolidado!D54-Consolidado!C54)</f>
        <v>-8615000</v>
      </c>
      <c r="D13" s="133">
        <f>-(Consolidado!E54-Consolidado!D54)</f>
        <v>8510924.1283178758</v>
      </c>
      <c r="E13" s="133">
        <f>-(Consolidado!F54-Consolidado!E54)</f>
        <v>1465877.7228818666</v>
      </c>
      <c r="F13" s="133">
        <f>-(Consolidado!G54-Consolidado!F54)</f>
        <v>1335458.4704350792</v>
      </c>
    </row>
    <row r="14" spans="2:7" x14ac:dyDescent="0.25">
      <c r="B14" s="131" t="s">
        <v>201</v>
      </c>
      <c r="C14" s="133">
        <f>Consolidado!D61-Consolidado!C61</f>
        <v>-1977000</v>
      </c>
      <c r="D14" s="133">
        <f>Consolidado!E61-Consolidado!D61</f>
        <v>-1123664.1569182491</v>
      </c>
      <c r="E14" s="133">
        <f>Consolidado!F61-Consolidado!E61</f>
        <v>-657963.59218249563</v>
      </c>
      <c r="F14" s="133">
        <f>Consolidado!G61-Consolidado!F61</f>
        <v>-599424.52136495151</v>
      </c>
      <c r="G14" s="121" t="s">
        <v>194</v>
      </c>
    </row>
    <row r="15" spans="2:7" x14ac:dyDescent="0.25">
      <c r="B15" s="130" t="s">
        <v>202</v>
      </c>
      <c r="C15" s="133">
        <f>Consolidado!D64-Consolidado!C64</f>
        <v>-34115000</v>
      </c>
      <c r="D15" s="133">
        <f>Consolidado!E64-Consolidado!D64</f>
        <v>-32022.41771800071</v>
      </c>
      <c r="E15" s="133">
        <f>Consolidado!F64-Consolidado!E64</f>
        <v>-5025383.7796373814</v>
      </c>
      <c r="F15" s="133">
        <f>Consolidado!G64-Consolidado!F64</f>
        <v>-4578275.0027129054</v>
      </c>
    </row>
    <row r="16" spans="2:7" x14ac:dyDescent="0.25">
      <c r="B16" s="131" t="s">
        <v>203</v>
      </c>
      <c r="C16" s="137">
        <f>Consolidado!D65-Consolidado!C65</f>
        <v>384000</v>
      </c>
      <c r="D16" s="137">
        <f>Consolidado!E65-Consolidado!D65</f>
        <v>-2717257.699520018</v>
      </c>
      <c r="E16" s="137">
        <f>Consolidado!F65-Consolidado!E65</f>
        <v>-820903.96392818727</v>
      </c>
      <c r="F16" s="137">
        <f>Consolidado!G65-Consolidado!F65</f>
        <v>-747868.07584903575</v>
      </c>
    </row>
    <row r="17" spans="2:7" x14ac:dyDescent="0.25">
      <c r="B17" s="130" t="s">
        <v>204</v>
      </c>
      <c r="C17" s="133">
        <f>Consolidado!D67-Consolidado!C67</f>
        <v>-4000</v>
      </c>
      <c r="D17" s="133">
        <f>Consolidado!E67-Consolidado!D67</f>
        <v>1447.264149890432</v>
      </c>
      <c r="E17" s="133">
        <f>Consolidado!F67-Consolidado!E67</f>
        <v>-128.76320144265947</v>
      </c>
      <c r="F17" s="133">
        <f>Consolidado!G67-Consolidado!F67</f>
        <v>-117.30712962120356</v>
      </c>
    </row>
    <row r="18" spans="2:7" x14ac:dyDescent="0.25">
      <c r="B18" s="131" t="s">
        <v>205</v>
      </c>
      <c r="C18" s="133">
        <f>Consolidado!D77-Consolidado!C77</f>
        <v>-2974000</v>
      </c>
      <c r="D18" s="133">
        <f>Consolidado!E77-Consolidado!D77</f>
        <v>-786678.98262205534</v>
      </c>
      <c r="E18" s="133">
        <f>Consolidado!F77-Consolidado!E77</f>
        <v>-697731.89712125994</v>
      </c>
      <c r="F18" s="133">
        <f>Consolidado!G77-Consolidado!F77</f>
        <v>-635654.63718996476</v>
      </c>
    </row>
    <row r="19" spans="2:7" x14ac:dyDescent="0.25">
      <c r="B19" s="131" t="s">
        <v>206</v>
      </c>
      <c r="C19" s="134">
        <f>Consolidado!D80-Consolidado!C80</f>
        <v>-3720000</v>
      </c>
      <c r="D19" s="134">
        <f>Consolidado!E80-Consolidado!D80</f>
        <v>200131.44885549508</v>
      </c>
      <c r="E19" s="134">
        <f>Consolidado!F80-Consolidado!E80</f>
        <v>-490058.87375523243</v>
      </c>
      <c r="F19" s="134">
        <f>Consolidado!G80-Consolidado!F80</f>
        <v>-446458.29850095883</v>
      </c>
    </row>
    <row r="20" spans="2:7" x14ac:dyDescent="0.25">
      <c r="B20" s="140" t="s">
        <v>173</v>
      </c>
      <c r="C20" s="141">
        <f>SUM(C5:C19)</f>
        <v>-21076000</v>
      </c>
      <c r="D20" s="141">
        <f t="shared" ref="D20:F20" si="0">SUM(D5:D19)</f>
        <v>53934903.41918125</v>
      </c>
      <c r="E20" s="141">
        <f t="shared" si="0"/>
        <v>23471104.022827908</v>
      </c>
      <c r="F20" s="141">
        <f t="shared" si="0"/>
        <v>24913531.106645875</v>
      </c>
    </row>
    <row r="21" spans="2:7" x14ac:dyDescent="0.25">
      <c r="C21" s="156">
        <f>C20+C23</f>
        <v>-9719000</v>
      </c>
      <c r="D21" s="156">
        <f t="shared" ref="D21:F21" si="1">D20+D23</f>
        <v>57776732.343615629</v>
      </c>
      <c r="E21" s="156">
        <f t="shared" si="1"/>
        <v>25473835.654735751</v>
      </c>
      <c r="F21" s="156">
        <f t="shared" si="1"/>
        <v>26738079.55300707</v>
      </c>
      <c r="G21" s="121" t="s">
        <v>209</v>
      </c>
    </row>
    <row r="22" spans="2:7" x14ac:dyDescent="0.25">
      <c r="B22" s="127" t="s">
        <v>174</v>
      </c>
      <c r="C22" s="119"/>
    </row>
    <row r="23" spans="2:7" x14ac:dyDescent="0.25">
      <c r="B23" s="138" t="s">
        <v>175</v>
      </c>
      <c r="C23" s="132">
        <f>-(Consolidado!D45-Consolidado!C45)+C6</f>
        <v>11357000</v>
      </c>
      <c r="D23" s="132">
        <f>-(Consolidado!E45-Consolidado!D45)+D6</f>
        <v>3841828.9244343787</v>
      </c>
      <c r="E23" s="132">
        <f>-(Consolidado!F45-Consolidado!E45)+E6</f>
        <v>2002731.6319078431</v>
      </c>
      <c r="F23" s="132">
        <f>-(Consolidado!G45-Consolidado!F45)+F6</f>
        <v>1824548.4463611953</v>
      </c>
    </row>
    <row r="24" spans="2:7" x14ac:dyDescent="0.25">
      <c r="B24" s="146" t="s">
        <v>176</v>
      </c>
      <c r="C24" s="147">
        <f>SUM(C23:C23)</f>
        <v>11357000</v>
      </c>
      <c r="D24" s="148">
        <f>SUM(D23:D23)</f>
        <v>3841828.9244343787</v>
      </c>
      <c r="E24" s="148">
        <f>SUM(E23:E23)</f>
        <v>2002731.6319078431</v>
      </c>
      <c r="F24" s="147">
        <f>SUM(F23:F23)</f>
        <v>1824548.4463611953</v>
      </c>
    </row>
    <row r="25" spans="2:7" x14ac:dyDescent="0.25">
      <c r="C25" s="119"/>
    </row>
    <row r="26" spans="2:7" x14ac:dyDescent="0.25">
      <c r="B26" s="164" t="s">
        <v>177</v>
      </c>
      <c r="C26" s="119"/>
    </row>
    <row r="27" spans="2:7" x14ac:dyDescent="0.25">
      <c r="B27" s="163" t="s">
        <v>218</v>
      </c>
      <c r="C27" s="132">
        <f>Consolidado!D66-Consolidado!C66</f>
        <v>-1177000</v>
      </c>
      <c r="D27" s="132">
        <f>Consolidado!E66-Consolidado!D66</f>
        <v>-8711400</v>
      </c>
      <c r="E27" s="132">
        <f>Consolidado!F66-Consolidado!E66</f>
        <v>-4936460</v>
      </c>
      <c r="F27" s="132">
        <f>Consolidado!G66-Consolidado!F66</f>
        <v>-4442814</v>
      </c>
    </row>
    <row r="28" spans="2:7" x14ac:dyDescent="0.25">
      <c r="B28" s="163" t="s">
        <v>217</v>
      </c>
      <c r="C28" s="132">
        <f>Consolidado!D79-Consolidado!C79</f>
        <v>16484000</v>
      </c>
      <c r="D28" s="132">
        <f>Consolidado!E79-Consolidado!D79</f>
        <v>-11370300</v>
      </c>
      <c r="E28" s="132">
        <f>Consolidado!F79-Consolidado!E79</f>
        <v>-6443170</v>
      </c>
      <c r="F28" s="132">
        <f>Consolidado!G79-Consolidado!F79</f>
        <v>-5798853</v>
      </c>
    </row>
    <row r="29" spans="2:7" x14ac:dyDescent="0.25">
      <c r="B29" s="163" t="s">
        <v>216</v>
      </c>
      <c r="C29" s="132">
        <f>Consolidado!D84-Consolidado!C84</f>
        <v>0</v>
      </c>
      <c r="D29" s="132">
        <f>Consolidado!E84-Consolidado!D84</f>
        <v>0</v>
      </c>
      <c r="E29" s="132">
        <f>Consolidado!F84-Consolidado!E84</f>
        <v>0</v>
      </c>
      <c r="F29" s="132">
        <f>Consolidado!G84-Consolidado!F84</f>
        <v>0</v>
      </c>
    </row>
    <row r="30" spans="2:7" x14ac:dyDescent="0.25">
      <c r="B30" s="163" t="s">
        <v>215</v>
      </c>
      <c r="C30" s="132">
        <f>Consolidado!D85-Consolidado!C85</f>
        <v>0</v>
      </c>
      <c r="D30" s="132">
        <f>Consolidado!E85-Consolidado!D85</f>
        <v>0</v>
      </c>
      <c r="E30" s="132">
        <f>Consolidado!F85-Consolidado!E85</f>
        <v>0</v>
      </c>
      <c r="F30" s="132">
        <f>Consolidado!G85-Consolidado!F85</f>
        <v>0</v>
      </c>
    </row>
    <row r="31" spans="2:7" x14ac:dyDescent="0.25">
      <c r="B31" s="138" t="s">
        <v>214</v>
      </c>
      <c r="C31" s="132">
        <f>Consolidado!D89-Consolidado!C89</f>
        <v>0</v>
      </c>
      <c r="D31" s="132">
        <f>Consolidado!E89-Consolidado!D89</f>
        <v>0</v>
      </c>
      <c r="E31" s="132">
        <f>Consolidado!F89-Consolidado!E89</f>
        <v>0</v>
      </c>
      <c r="F31" s="132">
        <f>Consolidado!G89-Consolidado!F89</f>
        <v>0</v>
      </c>
    </row>
    <row r="32" spans="2:7" x14ac:dyDescent="0.25">
      <c r="B32" s="138" t="s">
        <v>213</v>
      </c>
      <c r="C32" s="132">
        <f>Consolidado!D90-Consolidado!C90</f>
        <v>0</v>
      </c>
      <c r="D32" s="132">
        <f>Consolidado!E90-Consolidado!D90</f>
        <v>0</v>
      </c>
      <c r="E32" s="132">
        <f>Consolidado!F90-Consolidado!E90</f>
        <v>0</v>
      </c>
      <c r="F32" s="132">
        <f>Consolidado!G90-Consolidado!F90</f>
        <v>0</v>
      </c>
    </row>
    <row r="33" spans="2:8" x14ac:dyDescent="0.25">
      <c r="B33" s="138" t="s">
        <v>219</v>
      </c>
      <c r="C33" s="171">
        <f>Consolidado!D91-Consolidado!C91</f>
        <v>4683000</v>
      </c>
      <c r="D33" s="171">
        <f>Consolidado!E91-Consolidado!D91</f>
        <v>12590522.718615666</v>
      </c>
      <c r="E33" s="171">
        <f>Consolidado!F91-Consolidado!E91</f>
        <v>14779295.286690883</v>
      </c>
      <c r="F33" s="171">
        <f>Consolidado!G91-Consolidado!F91</f>
        <v>16995033.25454963</v>
      </c>
    </row>
    <row r="34" spans="2:8" x14ac:dyDescent="0.25">
      <c r="B34" s="138" t="s">
        <v>178</v>
      </c>
      <c r="C34" s="132">
        <f>(Consolidado!D92-Consolidado!C92-Consolidado!D27)/Consolidado!D27</f>
        <v>0</v>
      </c>
      <c r="D34" s="170">
        <f>(Consolidado!E92-Consolidado!D92-Consolidado!E27)/Consolidado!E27</f>
        <v>-2.9588051121609909E-16</v>
      </c>
      <c r="E34" s="170">
        <f>(Consolidado!F92-Consolidado!E92-Consolidado!F27)/Consolidado!F27</f>
        <v>-3.7809214440183385E-16</v>
      </c>
      <c r="F34" s="170">
        <f>(Consolidado!G92-Consolidado!F92-Consolidado!G27)/Consolidado!G27</f>
        <v>2.1919876487824111E-16</v>
      </c>
    </row>
    <row r="35" spans="2:8" x14ac:dyDescent="0.25">
      <c r="B35" s="149" t="s">
        <v>179</v>
      </c>
      <c r="C35" s="135">
        <f>SUM(C27:C34)</f>
        <v>19990000</v>
      </c>
      <c r="D35" s="135">
        <f>SUM(D27:D34)</f>
        <v>-7491177.281384334</v>
      </c>
      <c r="E35" s="135">
        <f t="shared" ref="E35:F35" si="2">SUM(E27:E34)</f>
        <v>3399665.2866908833</v>
      </c>
      <c r="F35" s="135">
        <f t="shared" si="2"/>
        <v>6753366.25454963</v>
      </c>
    </row>
    <row r="36" spans="2:8" x14ac:dyDescent="0.25">
      <c r="C36" s="119"/>
    </row>
    <row r="37" spans="2:8" x14ac:dyDescent="0.25">
      <c r="B37" s="139" t="s">
        <v>180</v>
      </c>
      <c r="C37" s="150">
        <f>C20+C24+C35</f>
        <v>10271000</v>
      </c>
      <c r="D37" s="150">
        <f>D20+D24+D35</f>
        <v>50285555.062231295</v>
      </c>
      <c r="E37" s="150">
        <f t="shared" ref="E37:F37" si="3">E20+E24+E35</f>
        <v>28873500.941426635</v>
      </c>
      <c r="F37" s="150">
        <f t="shared" si="3"/>
        <v>33491445.8075567</v>
      </c>
    </row>
    <row r="38" spans="2:8" x14ac:dyDescent="0.25">
      <c r="B38" s="131" t="s">
        <v>181</v>
      </c>
      <c r="C38" s="153"/>
      <c r="D38" s="151">
        <f>C39</f>
        <v>38144000</v>
      </c>
      <c r="E38" s="151">
        <f t="shared" ref="E38:F38" si="4">D39</f>
        <v>88429555.062231302</v>
      </c>
      <c r="F38" s="151">
        <f t="shared" si="4"/>
        <v>117303056.00365794</v>
      </c>
    </row>
    <row r="39" spans="2:8" x14ac:dyDescent="0.25">
      <c r="B39" s="130" t="s">
        <v>182</v>
      </c>
      <c r="C39" s="153">
        <f>Consolidado!D32</f>
        <v>38144000</v>
      </c>
      <c r="D39" s="151">
        <f>D37+D38</f>
        <v>88429555.062231302</v>
      </c>
      <c r="E39" s="151">
        <f t="shared" ref="E39:F39" si="5">E37+E38</f>
        <v>117303056.00365794</v>
      </c>
      <c r="F39" s="151">
        <f t="shared" si="5"/>
        <v>150794501.81121463</v>
      </c>
    </row>
    <row r="40" spans="2:8" x14ac:dyDescent="0.25">
      <c r="B40" s="139" t="s">
        <v>183</v>
      </c>
      <c r="C40" s="154"/>
      <c r="D40" s="152"/>
      <c r="E40" s="152"/>
      <c r="F40" s="152"/>
      <c r="H40" s="121" t="s">
        <v>184</v>
      </c>
    </row>
    <row r="43" spans="2:8" x14ac:dyDescent="0.25">
      <c r="C43" s="15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0F82A-B9D2-4D50-AEFE-821658FF4BD5}">
  <sheetPr>
    <tabColor theme="2" tint="-0.249977111117893"/>
  </sheetPr>
  <dimension ref="B1:Q43"/>
  <sheetViews>
    <sheetView showGridLines="0" zoomScale="80" zoomScaleNormal="80" workbookViewId="0">
      <pane xSplit="2" ySplit="4" topLeftCell="C5" activePane="bottomRight" state="frozen"/>
      <selection pane="topRight" activeCell="B1" sqref="B1"/>
      <selection pane="bottomLeft" activeCell="A5" sqref="A5"/>
      <selection pane="bottomRight" activeCell="C6" sqref="C6"/>
    </sheetView>
  </sheetViews>
  <sheetFormatPr baseColWidth="10" defaultColWidth="11" defaultRowHeight="15.75" x14ac:dyDescent="0.25"/>
  <cols>
    <col min="1" max="1" width="4.875" style="121" customWidth="1"/>
    <col min="2" max="2" width="57.25" style="121" bestFit="1" customWidth="1"/>
    <col min="3" max="3" width="12.75" style="121" bestFit="1" customWidth="1"/>
    <col min="4" max="4" width="13.875" style="121" bestFit="1" customWidth="1"/>
    <col min="5" max="6" width="14.25" style="121" bestFit="1" customWidth="1"/>
    <col min="7" max="7" width="48" style="121" bestFit="1" customWidth="1"/>
    <col min="8" max="16" width="0" style="121" hidden="1" customWidth="1"/>
    <col min="17" max="16384" width="11" style="121"/>
  </cols>
  <sheetData>
    <row r="1" spans="2:17" x14ac:dyDescent="0.25">
      <c r="B1" s="120"/>
    </row>
    <row r="2" spans="2:17" x14ac:dyDescent="0.25">
      <c r="B2" s="120"/>
    </row>
    <row r="3" spans="2:17" x14ac:dyDescent="0.25">
      <c r="B3" s="120" t="s">
        <v>168</v>
      </c>
      <c r="C3" s="142" t="s">
        <v>190</v>
      </c>
      <c r="D3" s="143" t="s">
        <v>170</v>
      </c>
      <c r="E3" s="143" t="s">
        <v>170</v>
      </c>
      <c r="F3" s="144" t="s">
        <v>170</v>
      </c>
    </row>
    <row r="4" spans="2:17" x14ac:dyDescent="0.25">
      <c r="B4" s="123" t="s">
        <v>169</v>
      </c>
      <c r="C4" s="145" t="s">
        <v>191</v>
      </c>
      <c r="D4" s="145" t="s">
        <v>185</v>
      </c>
      <c r="E4" s="145" t="s">
        <v>186</v>
      </c>
      <c r="F4" s="144" t="s">
        <v>187</v>
      </c>
    </row>
    <row r="5" spans="2:17" x14ac:dyDescent="0.25">
      <c r="B5" s="130" t="s">
        <v>171</v>
      </c>
      <c r="C5" s="133">
        <f>Consolidado!D27</f>
        <v>4683000</v>
      </c>
      <c r="D5" s="133">
        <f>Consolidado!E27</f>
        <v>12590522.71861567</v>
      </c>
      <c r="E5" s="132">
        <f>Consolidado!F27</f>
        <v>14779295.286690881</v>
      </c>
      <c r="F5" s="132">
        <f>Consolidado!G27</f>
        <v>16995033.254549634</v>
      </c>
      <c r="G5" s="121" t="s">
        <v>193</v>
      </c>
    </row>
    <row r="6" spans="2:17" x14ac:dyDescent="0.25">
      <c r="B6" s="131" t="s">
        <v>172</v>
      </c>
      <c r="C6" s="133">
        <f>Supuestos!L56</f>
        <v>6253000</v>
      </c>
      <c r="D6" s="133">
        <f>Supuestos!N44</f>
        <v>0</v>
      </c>
      <c r="E6" s="132">
        <f>Supuestos!O44</f>
        <v>0</v>
      </c>
      <c r="F6" s="133">
        <f>Consolidado!K65</f>
        <v>0</v>
      </c>
      <c r="G6" s="180">
        <v>6253000</v>
      </c>
      <c r="Q6" s="180"/>
    </row>
    <row r="7" spans="2:17" x14ac:dyDescent="0.25">
      <c r="B7" s="130" t="s">
        <v>195</v>
      </c>
      <c r="C7" s="133">
        <f>-(Consolidado!D33-Consolidado!C33)</f>
        <v>7748000</v>
      </c>
      <c r="D7" s="133">
        <f>-(Consolidado!E33-Consolidado!D33)</f>
        <v>15252878.823733896</v>
      </c>
      <c r="E7" s="133">
        <f>-(Consolidado!F33-Consolidado!E33)</f>
        <v>6084852.2204996496</v>
      </c>
      <c r="F7" s="133">
        <f>-(Consolidado!G33-Consolidado!F33)</f>
        <v>5543482.4558465704</v>
      </c>
    </row>
    <row r="8" spans="2:17" x14ac:dyDescent="0.25">
      <c r="B8" s="131" t="s">
        <v>196</v>
      </c>
      <c r="C8" s="133">
        <f>-(Consolidado!D34-Consolidado!C34)</f>
        <v>12040000</v>
      </c>
      <c r="D8" s="133">
        <f>-(Consolidado!E34-Consolidado!D34)</f>
        <v>16391383.131681025</v>
      </c>
      <c r="E8" s="133">
        <f>-(Consolidado!F34-Consolidado!E34)</f>
        <v>7124333.7204484791</v>
      </c>
      <c r="F8" s="133">
        <f>-(Consolidado!G34-Consolidado!F34)</f>
        <v>6490481.207719326</v>
      </c>
    </row>
    <row r="9" spans="2:17" x14ac:dyDescent="0.25">
      <c r="B9" s="130" t="s">
        <v>192</v>
      </c>
      <c r="C9" s="133">
        <f>-(Consolidado!D35-Consolidado!C35)</f>
        <v>-759000</v>
      </c>
      <c r="D9" s="133">
        <f>-(Consolidado!E35-Consolidado!D35)</f>
        <v>1392811.5545462132</v>
      </c>
      <c r="E9" s="133">
        <f>-(Consolidado!F35-Consolidado!E35)</f>
        <v>336946.44390949421</v>
      </c>
      <c r="F9" s="133">
        <f>-(Consolidado!G35-Consolidado!F35)</f>
        <v>306968.2931788275</v>
      </c>
    </row>
    <row r="10" spans="2:17" x14ac:dyDescent="0.25">
      <c r="B10" s="131" t="s">
        <v>197</v>
      </c>
      <c r="C10" s="134">
        <f>-(Consolidado!D37-Consolidado!C37)</f>
        <v>335000</v>
      </c>
      <c r="D10" s="134">
        <f>-(Consolidado!E37-Consolidado!D37)</f>
        <v>360607.68583610747</v>
      </c>
      <c r="E10" s="134">
        <f>-(Consolidado!F37-Consolidado!E37)</f>
        <v>166497.91646201746</v>
      </c>
      <c r="F10" s="134">
        <f>-(Consolidado!G37-Consolidado!F37)</f>
        <v>151684.58417654294</v>
      </c>
    </row>
    <row r="11" spans="2:17" x14ac:dyDescent="0.25">
      <c r="B11" s="130" t="s">
        <v>198</v>
      </c>
      <c r="C11" s="133">
        <f>-(Consolidado!D47-Consolidado!C47)</f>
        <v>-633000</v>
      </c>
      <c r="D11" s="133">
        <f>-(Consolidado!E47-Consolidado!D47)</f>
        <v>2730285.2275975514</v>
      </c>
      <c r="E11" s="133">
        <f>-(Consolidado!F47-Consolidado!E47)</f>
        <v>787982.58662412968</v>
      </c>
      <c r="F11" s="133">
        <f>-(Consolidado!G47-Consolidado!F47)</f>
        <v>717875.71598653868</v>
      </c>
    </row>
    <row r="12" spans="2:17" x14ac:dyDescent="0.25">
      <c r="B12" s="131" t="s">
        <v>199</v>
      </c>
      <c r="C12" s="136">
        <f>-(Consolidado!D51-Consolidado!C51)</f>
        <v>278000</v>
      </c>
      <c r="D12" s="136">
        <f>-(Consolidado!E51-Consolidado!D51)</f>
        <v>1163534.6926258532</v>
      </c>
      <c r="E12" s="136">
        <f>-(Consolidado!F51-Consolidado!E51)</f>
        <v>417488.99513737764</v>
      </c>
      <c r="F12" s="136">
        <f>-(Consolidado!G51-Consolidado!F51)</f>
        <v>380344.96750079421</v>
      </c>
    </row>
    <row r="13" spans="2:17" x14ac:dyDescent="0.25">
      <c r="B13" s="130" t="s">
        <v>200</v>
      </c>
      <c r="C13" s="133">
        <f>-(Consolidado!D54-Consolidado!C54)</f>
        <v>-8615000</v>
      </c>
      <c r="D13" s="133">
        <f>-(Consolidado!E54-Consolidado!D54)</f>
        <v>8510924.1283178758</v>
      </c>
      <c r="E13" s="133">
        <f>-(Consolidado!F54-Consolidado!E54)</f>
        <v>1465877.7228818666</v>
      </c>
      <c r="F13" s="133">
        <f>-(Consolidado!G54-Consolidado!F54)</f>
        <v>1335458.4704350792</v>
      </c>
    </row>
    <row r="14" spans="2:17" x14ac:dyDescent="0.25">
      <c r="B14" s="131" t="s">
        <v>201</v>
      </c>
      <c r="C14" s="133">
        <f>Consolidado!D61-Consolidado!C61</f>
        <v>-1977000</v>
      </c>
      <c r="D14" s="133">
        <f>Consolidado!E61-Consolidado!D61</f>
        <v>-1123664.1569182491</v>
      </c>
      <c r="E14" s="133">
        <f>Consolidado!F61-Consolidado!E61</f>
        <v>-657963.59218249563</v>
      </c>
      <c r="F14" s="133">
        <f>Consolidado!G61-Consolidado!F61</f>
        <v>-599424.52136495151</v>
      </c>
      <c r="G14" s="121" t="s">
        <v>194</v>
      </c>
    </row>
    <row r="15" spans="2:17" x14ac:dyDescent="0.25">
      <c r="B15" s="130" t="s">
        <v>202</v>
      </c>
      <c r="C15" s="133">
        <f>Consolidado!D64-Consolidado!C64</f>
        <v>-34115000</v>
      </c>
      <c r="D15" s="133">
        <f>Consolidado!E64-Consolidado!D64</f>
        <v>-32022.41771800071</v>
      </c>
      <c r="E15" s="133">
        <f>Consolidado!F64-Consolidado!E64</f>
        <v>-5025383.7796373814</v>
      </c>
      <c r="F15" s="133">
        <f>Consolidado!G64-Consolidado!F64</f>
        <v>-4578275.0027129054</v>
      </c>
    </row>
    <row r="16" spans="2:17" x14ac:dyDescent="0.25">
      <c r="B16" s="131" t="s">
        <v>203</v>
      </c>
      <c r="C16" s="137">
        <f>Consolidado!D65-Consolidado!C65</f>
        <v>384000</v>
      </c>
      <c r="D16" s="137">
        <f>Consolidado!E65-Consolidado!D65</f>
        <v>-2717257.699520018</v>
      </c>
      <c r="E16" s="137">
        <f>Consolidado!F65-Consolidado!E65</f>
        <v>-820903.96392818727</v>
      </c>
      <c r="F16" s="137">
        <f>Consolidado!G65-Consolidado!F65</f>
        <v>-747868.07584903575</v>
      </c>
    </row>
    <row r="17" spans="2:7" x14ac:dyDescent="0.25">
      <c r="B17" s="130" t="s">
        <v>204</v>
      </c>
      <c r="C17" s="133">
        <f>Consolidado!D67-Consolidado!C67</f>
        <v>-4000</v>
      </c>
      <c r="D17" s="133">
        <f>Consolidado!E67-Consolidado!D67</f>
        <v>1447.264149890432</v>
      </c>
      <c r="E17" s="133">
        <f>Consolidado!F67-Consolidado!E67</f>
        <v>-128.76320144265947</v>
      </c>
      <c r="F17" s="133">
        <f>Consolidado!G67-Consolidado!F67</f>
        <v>-117.30712962120356</v>
      </c>
    </row>
    <row r="18" spans="2:7" x14ac:dyDescent="0.25">
      <c r="B18" s="131" t="s">
        <v>205</v>
      </c>
      <c r="C18" s="133">
        <f>Consolidado!D77-Consolidado!C77</f>
        <v>-2974000</v>
      </c>
      <c r="D18" s="133">
        <f>Consolidado!E77-Consolidado!D77</f>
        <v>-786678.98262205534</v>
      </c>
      <c r="E18" s="133">
        <f>Consolidado!F77-Consolidado!E77</f>
        <v>-697731.89712125994</v>
      </c>
      <c r="F18" s="133">
        <f>Consolidado!G77-Consolidado!F77</f>
        <v>-635654.63718996476</v>
      </c>
    </row>
    <row r="19" spans="2:7" x14ac:dyDescent="0.25">
      <c r="B19" s="131" t="s">
        <v>206</v>
      </c>
      <c r="C19" s="134">
        <f>Consolidado!D80-Consolidado!C80</f>
        <v>-3720000</v>
      </c>
      <c r="D19" s="134">
        <f>Consolidado!E80-Consolidado!D80</f>
        <v>200131.44885549508</v>
      </c>
      <c r="E19" s="134">
        <f>Consolidado!F80-Consolidado!E80</f>
        <v>-490058.87375523243</v>
      </c>
      <c r="F19" s="134">
        <f>Consolidado!G80-Consolidado!F80</f>
        <v>-446458.29850095883</v>
      </c>
    </row>
    <row r="20" spans="2:7" x14ac:dyDescent="0.25">
      <c r="B20" s="140" t="s">
        <v>173</v>
      </c>
      <c r="C20" s="141">
        <f>SUM(C5:C19)</f>
        <v>-21076000</v>
      </c>
      <c r="D20" s="141">
        <f t="shared" ref="D20:F20" si="0">SUM(D5:D19)</f>
        <v>53934903.41918125</v>
      </c>
      <c r="E20" s="141">
        <f t="shared" si="0"/>
        <v>23471104.022827908</v>
      </c>
      <c r="F20" s="141">
        <f t="shared" si="0"/>
        <v>24913531.106645875</v>
      </c>
    </row>
    <row r="21" spans="2:7" x14ac:dyDescent="0.25">
      <c r="C21" s="156">
        <f>C20+C23</f>
        <v>-15972000</v>
      </c>
      <c r="D21" s="156">
        <f t="shared" ref="D21:F21" si="1">D20+D23</f>
        <v>57776732.343615629</v>
      </c>
      <c r="E21" s="156">
        <f t="shared" si="1"/>
        <v>25473835.654735751</v>
      </c>
      <c r="F21" s="156">
        <f t="shared" si="1"/>
        <v>26738079.55300707</v>
      </c>
      <c r="G21" s="121" t="s">
        <v>209</v>
      </c>
    </row>
    <row r="22" spans="2:7" x14ac:dyDescent="0.25">
      <c r="B22" s="127" t="s">
        <v>174</v>
      </c>
      <c r="C22" s="119"/>
    </row>
    <row r="23" spans="2:7" x14ac:dyDescent="0.25">
      <c r="B23" s="138" t="s">
        <v>175</v>
      </c>
      <c r="C23" s="132">
        <f>-(Consolidado!D45-Consolidado!C45)</f>
        <v>5104000</v>
      </c>
      <c r="D23" s="132">
        <f>-(Consolidado!E45-Consolidado!D45)</f>
        <v>3841828.9244343787</v>
      </c>
      <c r="E23" s="132">
        <f>-(Consolidado!F45-Consolidado!E45)</f>
        <v>2002731.6319078431</v>
      </c>
      <c r="F23" s="132">
        <f>-(Consolidado!G45-Consolidado!F45)</f>
        <v>1824548.4463611953</v>
      </c>
    </row>
    <row r="24" spans="2:7" x14ac:dyDescent="0.25">
      <c r="B24" s="146" t="s">
        <v>176</v>
      </c>
      <c r="C24" s="147">
        <f>SUM(C23:C23)</f>
        <v>5104000</v>
      </c>
      <c r="D24" s="148">
        <f>SUM(D23:D23)</f>
        <v>3841828.9244343787</v>
      </c>
      <c r="E24" s="148">
        <f>SUM(E23:E23)</f>
        <v>2002731.6319078431</v>
      </c>
      <c r="F24" s="147">
        <f>SUM(F23:F23)</f>
        <v>1824548.4463611953</v>
      </c>
    </row>
    <row r="25" spans="2:7" x14ac:dyDescent="0.25">
      <c r="C25" s="119"/>
    </row>
    <row r="26" spans="2:7" x14ac:dyDescent="0.25">
      <c r="B26" s="164" t="s">
        <v>177</v>
      </c>
      <c r="C26" s="119"/>
    </row>
    <row r="27" spans="2:7" x14ac:dyDescent="0.25">
      <c r="B27" s="163" t="s">
        <v>218</v>
      </c>
      <c r="C27" s="132">
        <f>Consolidado!D66-Consolidado!C66</f>
        <v>-1177000</v>
      </c>
      <c r="D27" s="132">
        <f>Consolidado!E66-Consolidado!D66</f>
        <v>-8711400</v>
      </c>
      <c r="E27" s="132">
        <f>Consolidado!F66-Consolidado!E66</f>
        <v>-4936460</v>
      </c>
      <c r="F27" s="132">
        <f>Consolidado!G66-Consolidado!F66</f>
        <v>-4442814</v>
      </c>
    </row>
    <row r="28" spans="2:7" x14ac:dyDescent="0.25">
      <c r="B28" s="163" t="s">
        <v>217</v>
      </c>
      <c r="C28" s="132">
        <f>Consolidado!D79-Consolidado!C79</f>
        <v>16484000</v>
      </c>
      <c r="D28" s="132">
        <f>Consolidado!E79-Consolidado!D79</f>
        <v>-11370300</v>
      </c>
      <c r="E28" s="132">
        <f>Consolidado!F79-Consolidado!E79</f>
        <v>-6443170</v>
      </c>
      <c r="F28" s="132">
        <f>Consolidado!G79-Consolidado!F79</f>
        <v>-5798853</v>
      </c>
    </row>
    <row r="29" spans="2:7" x14ac:dyDescent="0.25">
      <c r="B29" s="163" t="s">
        <v>216</v>
      </c>
      <c r="C29" s="132">
        <f>Consolidado!D84-Consolidado!C84</f>
        <v>0</v>
      </c>
      <c r="D29" s="132">
        <f>Consolidado!E84-Consolidado!D84</f>
        <v>0</v>
      </c>
      <c r="E29" s="132">
        <f>Consolidado!F84-Consolidado!E84</f>
        <v>0</v>
      </c>
      <c r="F29" s="132">
        <f>Consolidado!G84-Consolidado!F84</f>
        <v>0</v>
      </c>
    </row>
    <row r="30" spans="2:7" x14ac:dyDescent="0.25">
      <c r="B30" s="163" t="s">
        <v>215</v>
      </c>
      <c r="C30" s="132">
        <f>Consolidado!D85-Consolidado!C85</f>
        <v>0</v>
      </c>
      <c r="D30" s="132">
        <f>Consolidado!E85-Consolidado!D85</f>
        <v>0</v>
      </c>
      <c r="E30" s="132">
        <f>Consolidado!F85-Consolidado!E85</f>
        <v>0</v>
      </c>
      <c r="F30" s="132">
        <f>Consolidado!G85-Consolidado!F85</f>
        <v>0</v>
      </c>
    </row>
    <row r="31" spans="2:7" x14ac:dyDescent="0.25">
      <c r="B31" s="138" t="s">
        <v>214</v>
      </c>
      <c r="C31" s="132">
        <f>Consolidado!D89-Consolidado!C89</f>
        <v>0</v>
      </c>
      <c r="D31" s="132">
        <f>Consolidado!E89-Consolidado!D89</f>
        <v>0</v>
      </c>
      <c r="E31" s="132">
        <f>Consolidado!F89-Consolidado!E89</f>
        <v>0</v>
      </c>
      <c r="F31" s="132">
        <f>Consolidado!G89-Consolidado!F89</f>
        <v>0</v>
      </c>
    </row>
    <row r="32" spans="2:7" x14ac:dyDescent="0.25">
      <c r="B32" s="138" t="s">
        <v>213</v>
      </c>
      <c r="C32" s="132">
        <f>Consolidado!D90-Consolidado!C90</f>
        <v>0</v>
      </c>
      <c r="D32" s="132">
        <f>Consolidado!E90-Consolidado!D90</f>
        <v>0</v>
      </c>
      <c r="E32" s="132">
        <f>Consolidado!F90-Consolidado!E90</f>
        <v>0</v>
      </c>
      <c r="F32" s="132">
        <f>Consolidado!G90-Consolidado!F90</f>
        <v>0</v>
      </c>
      <c r="G32" s="156"/>
    </row>
    <row r="33" spans="2:8" x14ac:dyDescent="0.25">
      <c r="B33" s="138" t="s">
        <v>219</v>
      </c>
      <c r="C33" s="171">
        <f>Consolidado!D91-Consolidado!C91</f>
        <v>4683000</v>
      </c>
      <c r="D33" s="171">
        <f>Consolidado!E91-Consolidado!D91</f>
        <v>12590522.718615666</v>
      </c>
      <c r="E33" s="171">
        <f>Consolidado!F91-Consolidado!E91</f>
        <v>14779295.286690883</v>
      </c>
      <c r="F33" s="171">
        <f>Consolidado!G91-Consolidado!F91</f>
        <v>16995033.25454963</v>
      </c>
    </row>
    <row r="34" spans="2:8" x14ac:dyDescent="0.25">
      <c r="B34" s="138" t="s">
        <v>178</v>
      </c>
      <c r="C34" s="132">
        <f>(Consolidado!D92-Consolidado!C92-Consolidado!D27)/Consolidado!D27</f>
        <v>0</v>
      </c>
      <c r="D34" s="170">
        <f>(Consolidado!E92-Consolidado!D92-Consolidado!E27)/Consolidado!E27</f>
        <v>-2.9588051121609909E-16</v>
      </c>
      <c r="E34" s="170">
        <f>(Consolidado!F92-Consolidado!E92-Consolidado!F27)/Consolidado!F27</f>
        <v>-3.7809214440183385E-16</v>
      </c>
      <c r="F34" s="170">
        <f>(Consolidado!G92-Consolidado!F92-Consolidado!G27)/Consolidado!G27</f>
        <v>2.1919876487824111E-16</v>
      </c>
    </row>
    <row r="35" spans="2:8" x14ac:dyDescent="0.25">
      <c r="B35" s="149" t="s">
        <v>179</v>
      </c>
      <c r="C35" s="135">
        <f>SUM(C27:C34)</f>
        <v>19990000</v>
      </c>
      <c r="D35" s="135">
        <f>SUM(D27:D34)</f>
        <v>-7491177.281384334</v>
      </c>
      <c r="E35" s="135">
        <f t="shared" ref="E35:F35" si="2">SUM(E27:E34)</f>
        <v>3399665.2866908833</v>
      </c>
      <c r="F35" s="135">
        <f t="shared" si="2"/>
        <v>6753366.25454963</v>
      </c>
    </row>
    <row r="36" spans="2:8" x14ac:dyDescent="0.25">
      <c r="C36" s="119"/>
    </row>
    <row r="37" spans="2:8" x14ac:dyDescent="0.25">
      <c r="B37" s="139" t="s">
        <v>180</v>
      </c>
      <c r="C37" s="150">
        <f>C20+C35+C24</f>
        <v>4018000</v>
      </c>
      <c r="D37" s="150">
        <f t="shared" ref="D37:F37" si="3">D20+D35</f>
        <v>46443726.137796916</v>
      </c>
      <c r="E37" s="150">
        <f t="shared" si="3"/>
        <v>26870769.309518792</v>
      </c>
      <c r="F37" s="150">
        <f t="shared" si="3"/>
        <v>31666897.361195505</v>
      </c>
    </row>
    <row r="38" spans="2:8" x14ac:dyDescent="0.25">
      <c r="B38" s="131" t="s">
        <v>181</v>
      </c>
      <c r="C38" s="153">
        <f>Consolidado!C32</f>
        <v>45062000</v>
      </c>
      <c r="D38" s="151">
        <f>C39</f>
        <v>38144000</v>
      </c>
      <c r="E38" s="151">
        <f t="shared" ref="E38:F38" si="4">D39</f>
        <v>84587726.137796909</v>
      </c>
      <c r="F38" s="151">
        <f t="shared" si="4"/>
        <v>111458495.44731569</v>
      </c>
    </row>
    <row r="39" spans="2:8" x14ac:dyDescent="0.25">
      <c r="B39" s="130" t="s">
        <v>182</v>
      </c>
      <c r="C39" s="153">
        <f>Consolidado!D32</f>
        <v>38144000</v>
      </c>
      <c r="D39" s="151">
        <f>D37+D38</f>
        <v>84587726.137796909</v>
      </c>
      <c r="E39" s="151">
        <f t="shared" ref="E39:F39" si="5">E37+E38</f>
        <v>111458495.44731569</v>
      </c>
      <c r="F39" s="151">
        <f t="shared" si="5"/>
        <v>143125392.8085112</v>
      </c>
    </row>
    <row r="40" spans="2:8" x14ac:dyDescent="0.25">
      <c r="B40" s="139" t="s">
        <v>183</v>
      </c>
      <c r="C40" s="154"/>
      <c r="D40" s="152"/>
      <c r="E40" s="152"/>
      <c r="F40" s="152"/>
      <c r="H40" s="121" t="s">
        <v>184</v>
      </c>
    </row>
    <row r="41" spans="2:8" x14ac:dyDescent="0.25">
      <c r="C41" s="156">
        <f>C39-C38-C37</f>
        <v>-10936000</v>
      </c>
      <c r="D41" s="156">
        <f t="shared" ref="D41:F41" si="6">D39-D38-D37</f>
        <v>0</v>
      </c>
      <c r="E41" s="156">
        <f t="shared" si="6"/>
        <v>0</v>
      </c>
      <c r="F41" s="156">
        <f t="shared" si="6"/>
        <v>0</v>
      </c>
    </row>
    <row r="43" spans="2:8" x14ac:dyDescent="0.25">
      <c r="D43" s="156">
        <f>Consolidado!E95</f>
        <v>0</v>
      </c>
      <c r="E43" s="156">
        <f>Consolidado!F95</f>
        <v>0</v>
      </c>
      <c r="F43" s="156">
        <f>Consolidado!G95</f>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77795-D98E-46E1-AA08-039168EE6ADD}">
  <dimension ref="B3:P30"/>
  <sheetViews>
    <sheetView topLeftCell="A2" zoomScale="80" zoomScaleNormal="80" workbookViewId="0">
      <selection activeCell="G26" sqref="G26"/>
    </sheetView>
  </sheetViews>
  <sheetFormatPr baseColWidth="10" defaultRowHeight="15.75" x14ac:dyDescent="0.25"/>
  <cols>
    <col min="2" max="2" width="63.375" bestFit="1" customWidth="1"/>
    <col min="3" max="4" width="13" bestFit="1" customWidth="1"/>
    <col min="5" max="5" width="13.375" bestFit="1" customWidth="1"/>
    <col min="6" max="12" width="13" customWidth="1"/>
    <col min="13" max="13" width="15.625" bestFit="1" customWidth="1"/>
    <col min="14" max="14" width="12" bestFit="1" customWidth="1"/>
    <col min="15" max="16" width="11.75" bestFit="1" customWidth="1"/>
  </cols>
  <sheetData>
    <row r="3" spans="2:16" x14ac:dyDescent="0.25">
      <c r="C3" s="218">
        <v>2024</v>
      </c>
      <c r="D3" s="218">
        <v>2025</v>
      </c>
      <c r="E3" s="218">
        <v>2026</v>
      </c>
      <c r="M3" s="211" t="s">
        <v>242</v>
      </c>
      <c r="N3" s="158">
        <f>Consolidado!D32</f>
        <v>38144000</v>
      </c>
    </row>
    <row r="4" spans="2:16" x14ac:dyDescent="0.25">
      <c r="B4" s="211" t="s">
        <v>231</v>
      </c>
      <c r="C4" s="213">
        <f>Consolidado!E27</f>
        <v>12590522.71861567</v>
      </c>
      <c r="D4" s="158">
        <f>Consolidado!F27</f>
        <v>14779295.286690881</v>
      </c>
      <c r="E4" s="158">
        <f>Consolidado!G27</f>
        <v>16995033.254549634</v>
      </c>
      <c r="M4" s="211" t="s">
        <v>243</v>
      </c>
      <c r="N4" s="158">
        <f>Consolidado!E57-Consolidado!D57</f>
        <v>-11949221.825157285</v>
      </c>
      <c r="O4" s="158">
        <f>N4-N5</f>
        <v>-49644254.168772921</v>
      </c>
      <c r="P4" s="86" cm="1">
        <f t="array" ref="P4">SUMPRODUCT($C$4:$C$30*(LEFT($B$4:$B$30,2)="(-"))-C5</f>
        <v>-49644254.168772899</v>
      </c>
    </row>
    <row r="5" spans="2:16" x14ac:dyDescent="0.25">
      <c r="B5" s="211" t="s">
        <v>233</v>
      </c>
      <c r="C5" s="213">
        <f>Consolidado!C101</f>
        <v>4867608.1528763687</v>
      </c>
      <c r="D5" s="158">
        <f>Supuestos!O56</f>
        <v>4434536.6854595868</v>
      </c>
      <c r="E5" s="158">
        <f>Supuestos!P56</f>
        <v>4039995.6194227305</v>
      </c>
      <c r="G5" s="156"/>
      <c r="H5" s="156"/>
      <c r="I5" s="156"/>
      <c r="M5" s="211" t="s">
        <v>244</v>
      </c>
      <c r="N5" s="158">
        <f>Consolidado!E32-Consolidado!D32</f>
        <v>37695032.343615636</v>
      </c>
    </row>
    <row r="6" spans="2:16" x14ac:dyDescent="0.25">
      <c r="B6" t="str">
        <f>"(-) Inc. "&amp;Consolidado!A33</f>
        <v>(-) Inc. Cuentas comerciales por cobrar y otras cuentas por cobrar corrientes</v>
      </c>
      <c r="C6" s="213">
        <f>Consolidado!E33-Consolidado!D33</f>
        <v>-15252878.823733896</v>
      </c>
      <c r="D6" s="213">
        <f>Consolidado!F33-Consolidado!E33</f>
        <v>-6084852.2204996496</v>
      </c>
      <c r="E6" s="213">
        <f>Consolidado!G33-Consolidado!F33</f>
        <v>-5543482.4558465704</v>
      </c>
      <c r="G6" s="158">
        <f>C6+C7+C13</f>
        <v>-31676284.373132922</v>
      </c>
      <c r="H6" s="158">
        <f t="shared" ref="H6:I6" si="0">D6+D7+D13</f>
        <v>-18234569.72058551</v>
      </c>
      <c r="I6" s="158">
        <f t="shared" si="0"/>
        <v>-16612238.666278802</v>
      </c>
      <c r="M6" s="211" t="s">
        <v>245</v>
      </c>
      <c r="N6" s="158">
        <f>Consolidado!E82-Consolidado!D82</f>
        <v>-24539744.543772936</v>
      </c>
      <c r="P6" s="158" cm="1">
        <f t="array" ref="P6">SUMPRODUCT($C$4:$C$30*(LEFT($B$4:$B$30,2)="(+"))-C5</f>
        <v>-24539744.54377294</v>
      </c>
    </row>
    <row r="7" spans="2:16" x14ac:dyDescent="0.25">
      <c r="B7" t="str">
        <f>"(-) Inc. "&amp;Consolidado!A34</f>
        <v>(-) Inc. Inventarios corrientes</v>
      </c>
      <c r="C7" s="213">
        <f>Consolidado!E34-Consolidado!D34</f>
        <v>-16391383.131681025</v>
      </c>
      <c r="D7" s="213">
        <f>Consolidado!F34-Consolidado!E34</f>
        <v>-7124333.7204484791</v>
      </c>
      <c r="E7" s="213">
        <f>Consolidado!G34-Consolidado!F34</f>
        <v>-6490481.207719326</v>
      </c>
      <c r="M7" s="211" t="s">
        <v>246</v>
      </c>
      <c r="N7" s="158">
        <f>Consolidado!E92-Consolidado!D92</f>
        <v>12590522.718615666</v>
      </c>
    </row>
    <row r="8" spans="2:16" x14ac:dyDescent="0.25">
      <c r="B8" t="str">
        <f>"(-) Inc. "&amp;Consolidado!A35</f>
        <v>(-) Inc. Activos por impuestos corrientes, corriente</v>
      </c>
      <c r="C8" s="213">
        <f>Consolidado!E35-Consolidado!D35</f>
        <v>-1392811.5545462132</v>
      </c>
      <c r="D8" s="213">
        <f>Consolidado!F35-Consolidado!E35</f>
        <v>-336946.44390949421</v>
      </c>
      <c r="E8" s="213">
        <f>Consolidado!G35-Consolidado!F35</f>
        <v>-306968.2931788275</v>
      </c>
      <c r="M8" s="158"/>
    </row>
    <row r="9" spans="2:16" x14ac:dyDescent="0.25">
      <c r="B9" t="str">
        <f>"(-) Inc. "&amp;Consolidado!A37</f>
        <v>(-) Inc. Otros activos financieros corrientes</v>
      </c>
      <c r="C9" s="213">
        <f>Consolidado!E37-Consolidado!D37</f>
        <v>-360607.68583610747</v>
      </c>
      <c r="D9" s="213">
        <f>Consolidado!F37-Consolidado!E37</f>
        <v>-166497.91646201746</v>
      </c>
      <c r="E9" s="213">
        <f>Consolidado!G37-Consolidado!F37</f>
        <v>-151684.58417654294</v>
      </c>
      <c r="M9" s="212" t="s">
        <v>247</v>
      </c>
      <c r="N9" s="158">
        <f>SUM(N6,N7,O4)</f>
        <v>-61593475.993930191</v>
      </c>
    </row>
    <row r="10" spans="2:16" x14ac:dyDescent="0.25">
      <c r="B10" t="str">
        <f>"(-) Inc. "&amp;Consolidado!A51</f>
        <v>(-) Inc. Activos por impuestos diferidos</v>
      </c>
      <c r="C10" s="213">
        <f>Consolidado!E51-Consolidado!D51</f>
        <v>-1163534.6926258532</v>
      </c>
      <c r="D10" s="213">
        <f>Consolidado!F51-Consolidado!E51</f>
        <v>-417488.99513737764</v>
      </c>
      <c r="E10" s="213">
        <f>Consolidado!G51-Consolidado!F51</f>
        <v>-380344.96750079421</v>
      </c>
    </row>
    <row r="11" spans="2:16" x14ac:dyDescent="0.25">
      <c r="B11" t="str">
        <f>"(-) Inc. "&amp;Consolidado!A54</f>
        <v>(-) Inc. Otros activos no financieros no corrientes</v>
      </c>
      <c r="C11" s="213">
        <f>Consolidado!E54-Consolidado!D54</f>
        <v>-8510924.1283178758</v>
      </c>
      <c r="D11" s="213">
        <f>Consolidado!F54-Consolidado!E54</f>
        <v>-1465877.7228818666</v>
      </c>
      <c r="E11" s="213">
        <f>Consolidado!G54-Consolidado!F54</f>
        <v>-1335458.4704350792</v>
      </c>
      <c r="M11" s="158"/>
    </row>
    <row r="12" spans="2:16" x14ac:dyDescent="0.25">
      <c r="B12" t="str">
        <f>"(+) Inc. "&amp;Consolidado!A61</f>
        <v>(+) Inc. Provisiones corrientes por beneficios a los empleados</v>
      </c>
      <c r="C12" s="213">
        <f>Consolidado!E61-Consolidado!D61</f>
        <v>-1123664.1569182491</v>
      </c>
      <c r="D12" s="213">
        <f>Consolidado!F61-Consolidado!E61</f>
        <v>-657963.59218249563</v>
      </c>
      <c r="E12" s="213">
        <f>Consolidado!G61-Consolidado!F61</f>
        <v>-599424.52136495151</v>
      </c>
    </row>
    <row r="13" spans="2:16" x14ac:dyDescent="0.25">
      <c r="B13" t="str">
        <f>"(+) Inc. "&amp;Consolidado!A64</f>
        <v>(+) Inc. Cuentas por pagar comerciales y otras cuentas por pagar corrientes</v>
      </c>
      <c r="C13" s="213">
        <f>Consolidado!E64-Consolidado!D64</f>
        <v>-32022.41771800071</v>
      </c>
      <c r="D13" s="213">
        <f>Consolidado!F64-Consolidado!E64</f>
        <v>-5025383.7796373814</v>
      </c>
      <c r="E13" s="213">
        <f>Consolidado!G64-Consolidado!F64</f>
        <v>-4578275.0027129054</v>
      </c>
    </row>
    <row r="14" spans="2:16" x14ac:dyDescent="0.25">
      <c r="B14" t="str">
        <f>"(+) Inc. "&amp;Consolidado!A65</f>
        <v>(+) Inc. Pasivos por impuestos corrientes, corriente</v>
      </c>
      <c r="C14" s="213">
        <f>Consolidado!E65-Consolidado!D65</f>
        <v>-2717257.699520018</v>
      </c>
      <c r="D14" s="213">
        <f>Consolidado!F65-Consolidado!E65</f>
        <v>-820903.96392818727</v>
      </c>
      <c r="E14" s="213">
        <f>Consolidado!G65-Consolidado!F65</f>
        <v>-747868.07584903575</v>
      </c>
    </row>
    <row r="15" spans="2:16" x14ac:dyDescent="0.25">
      <c r="B15" t="str">
        <f>"(+) Inc. "&amp;Consolidado!A67</f>
        <v>(+) Inc. Otros pasivos no financieros corrientes</v>
      </c>
      <c r="C15" s="213">
        <f>Consolidado!E67-Consolidado!D67</f>
        <v>1447.264149890432</v>
      </c>
      <c r="D15" s="213">
        <f>Consolidado!F67-Consolidado!E67</f>
        <v>-128.76320144265947</v>
      </c>
      <c r="E15" s="213">
        <f>Consolidado!G67-Consolidado!F67</f>
        <v>-117.30712962120356</v>
      </c>
    </row>
    <row r="16" spans="2:16" x14ac:dyDescent="0.25">
      <c r="B16" t="str">
        <f>"(+) Inc. "&amp;Consolidado!A77</f>
        <v>(+) Inc. Pasivo por impuestos diferidos</v>
      </c>
      <c r="C16" s="213">
        <f>Consolidado!E77-Consolidado!D77</f>
        <v>-786678.98262205534</v>
      </c>
      <c r="D16" s="213">
        <f>Consolidado!F77-Consolidado!E77</f>
        <v>-697731.89712125994</v>
      </c>
      <c r="E16" s="213">
        <f>Consolidado!G77-Consolidado!F77</f>
        <v>-635654.63718996476</v>
      </c>
    </row>
    <row r="17" spans="2:12" x14ac:dyDescent="0.25">
      <c r="B17" t="str">
        <f>"(+) Inc. "&amp;Consolidado!A80</f>
        <v>(+) Inc. Otros pasivos no financieros no corrientes</v>
      </c>
      <c r="C17" s="213">
        <f>Consolidado!E80-Consolidado!D80</f>
        <v>200131.44885549508</v>
      </c>
      <c r="D17" s="213">
        <f>Consolidado!F80-Consolidado!E80</f>
        <v>-490058.87375523243</v>
      </c>
      <c r="E17" s="213">
        <f>Consolidado!G80-Consolidado!F80</f>
        <v>-446458.29850095883</v>
      </c>
    </row>
    <row r="18" spans="2:12" x14ac:dyDescent="0.25">
      <c r="B18" s="215" t="s">
        <v>232</v>
      </c>
      <c r="C18" s="214">
        <f>C4+C5-SUM(C6:C11)+SUM(C12:C17)</f>
        <v>56072226.34446007</v>
      </c>
      <c r="D18" s="214">
        <f>D4+D5-SUM(D6:D11)+SUM(D12:D17)</f>
        <v>27117658.121663351</v>
      </c>
      <c r="E18" s="214">
        <f>E4+E5-SUM(E6:E11)+SUM(E12:E17)</f>
        <v>28235651.010082062</v>
      </c>
      <c r="F18" s="214"/>
      <c r="G18" s="214"/>
      <c r="H18" s="214"/>
      <c r="I18" s="214"/>
      <c r="J18" s="214"/>
      <c r="K18" s="214"/>
      <c r="L18" s="214"/>
    </row>
    <row r="19" spans="2:12" x14ac:dyDescent="0.25">
      <c r="B19" t="str">
        <f>"(-) Inc. "&amp;Consolidado!A45</f>
        <v>(-) Inc. Propiedades, planta y equipo</v>
      </c>
      <c r="C19" s="158">
        <f>Consolidado!E45-Consolidado!D45+C5</f>
        <v>1025779.22844199</v>
      </c>
      <c r="D19" s="158">
        <f>Consolidado!F45-Consolidado!E45+D5</f>
        <v>2431805.0535517437</v>
      </c>
      <c r="E19" s="158">
        <f>Consolidado!G45-Consolidado!F45+E5</f>
        <v>2215447.1730615352</v>
      </c>
    </row>
    <row r="20" spans="2:12" x14ac:dyDescent="0.25">
      <c r="B20" t="str">
        <f>"(-) Inc. "&amp;Consolidado!A47</f>
        <v>(-) Inc. Activos intangibles distintos de la plusvalía</v>
      </c>
      <c r="C20" s="158">
        <f>Consolidado!E47-Consolidado!D47</f>
        <v>-2730285.2275975514</v>
      </c>
      <c r="D20" s="158">
        <f>Consolidado!F47-Consolidado!E47</f>
        <v>-787982.58662412968</v>
      </c>
      <c r="E20" s="158">
        <f>Consolidado!G47-Consolidado!F47</f>
        <v>-717875.71598653868</v>
      </c>
    </row>
    <row r="21" spans="2:12" x14ac:dyDescent="0.25">
      <c r="B21" s="215" t="s">
        <v>234</v>
      </c>
      <c r="C21" s="214">
        <f>-C19-C20</f>
        <v>1704505.9991555614</v>
      </c>
      <c r="D21" s="214">
        <f>-D19-D20</f>
        <v>-1643822.4669276141</v>
      </c>
      <c r="E21" s="214">
        <f>-E19-E20</f>
        <v>-1497571.4570749965</v>
      </c>
      <c r="F21" s="214"/>
      <c r="G21" s="214"/>
      <c r="H21" s="214"/>
      <c r="I21" s="214"/>
      <c r="J21" s="214"/>
      <c r="K21" s="214"/>
      <c r="L21" s="214"/>
    </row>
    <row r="22" spans="2:12" x14ac:dyDescent="0.25">
      <c r="B22" t="str">
        <f>"(+) Inc. "&amp;Consolidado!A66</f>
        <v>(+) Inc. Otros pasivos financieros corrientes</v>
      </c>
      <c r="C22" s="158">
        <f>Consolidado!E66-Consolidado!D66</f>
        <v>-8711400</v>
      </c>
      <c r="D22" s="158">
        <f>Consolidado!F66-Consolidado!E66</f>
        <v>-4936460</v>
      </c>
      <c r="E22" s="158">
        <f>Consolidado!G66-Consolidado!F66</f>
        <v>-4442814</v>
      </c>
    </row>
    <row r="23" spans="2:12" x14ac:dyDescent="0.25">
      <c r="B23" t="str">
        <f>"(+) Inc. "&amp;Consolidado!A79</f>
        <v>(+) Inc. Otros pasivos financieros no corrientes</v>
      </c>
      <c r="C23" s="158">
        <f>Consolidado!E79-Consolidado!D79</f>
        <v>-11370300</v>
      </c>
      <c r="D23" s="158">
        <f>Consolidado!F79-Consolidado!E79</f>
        <v>-6443170</v>
      </c>
      <c r="E23" s="158">
        <f>Consolidado!G79-Consolidado!F79</f>
        <v>-5798853</v>
      </c>
    </row>
    <row r="24" spans="2:12" x14ac:dyDescent="0.25">
      <c r="B24" s="211" t="s">
        <v>235</v>
      </c>
      <c r="C24" s="158">
        <f>Consolidado!E92-Consolidado!D92-'EFE - Final'!C4</f>
        <v>0</v>
      </c>
      <c r="D24" s="158">
        <f>Consolidado!F92-Consolidado!E92-'EFE - Final'!D4</f>
        <v>0</v>
      </c>
      <c r="E24" s="158">
        <f>Consolidado!G92-Consolidado!F92-'EFE - Final'!E4</f>
        <v>0</v>
      </c>
    </row>
    <row r="25" spans="2:12" x14ac:dyDescent="0.25">
      <c r="B25" s="216" t="s">
        <v>236</v>
      </c>
      <c r="C25" s="217">
        <f>C22+C23+C24</f>
        <v>-20081700</v>
      </c>
      <c r="D25" s="217">
        <f t="shared" ref="D25:E25" si="1">D22+D23+D24</f>
        <v>-11379630</v>
      </c>
      <c r="E25" s="217">
        <f t="shared" si="1"/>
        <v>-10241667</v>
      </c>
      <c r="F25" s="217"/>
      <c r="G25" s="217"/>
      <c r="H25" s="217"/>
      <c r="I25" s="217"/>
      <c r="J25" s="217"/>
      <c r="K25" s="217"/>
      <c r="L25" s="217"/>
    </row>
    <row r="26" spans="2:12" x14ac:dyDescent="0.25">
      <c r="B26" s="211" t="s">
        <v>237</v>
      </c>
      <c r="C26" s="158">
        <f>C25+C21+C18</f>
        <v>37695032.343615636</v>
      </c>
      <c r="D26" s="158">
        <f>D25+D21+D18</f>
        <v>14094205.654735737</v>
      </c>
      <c r="E26" s="158">
        <f t="shared" ref="E26" si="2">E25+E21+E18</f>
        <v>16496412.553007066</v>
      </c>
    </row>
    <row r="27" spans="2:12" x14ac:dyDescent="0.25">
      <c r="B27" s="211" t="s">
        <v>238</v>
      </c>
      <c r="C27" s="158">
        <f>Consolidado!D32</f>
        <v>38144000</v>
      </c>
      <c r="D27" s="158">
        <f>Consolidado!E32</f>
        <v>75839032.343615636</v>
      </c>
      <c r="E27" s="158">
        <f>Consolidado!F32</f>
        <v>89933237.99835138</v>
      </c>
    </row>
    <row r="28" spans="2:12" x14ac:dyDescent="0.25">
      <c r="B28" s="211" t="s">
        <v>239</v>
      </c>
      <c r="C28" s="158">
        <f>C26+C27</f>
        <v>75839032.343615636</v>
      </c>
      <c r="D28" s="158">
        <f>D26+D27</f>
        <v>89933237.998351365</v>
      </c>
      <c r="E28" s="158">
        <f>E26+E27</f>
        <v>106429650.55135845</v>
      </c>
    </row>
    <row r="29" spans="2:12" x14ac:dyDescent="0.25">
      <c r="B29" s="211" t="s">
        <v>240</v>
      </c>
      <c r="C29" s="158">
        <f>Consolidado!E32</f>
        <v>75839032.343615636</v>
      </c>
      <c r="D29" s="158">
        <f>Consolidado!F32</f>
        <v>89933237.99835138</v>
      </c>
      <c r="E29" s="158">
        <f>Consolidado!G32</f>
        <v>106429650.55135845</v>
      </c>
    </row>
    <row r="30" spans="2:12" x14ac:dyDescent="0.25">
      <c r="B30" s="211" t="s">
        <v>241</v>
      </c>
      <c r="C30" s="158">
        <f>C29-C28</f>
        <v>0</v>
      </c>
      <c r="D30" s="158">
        <f t="shared" ref="D30:E30" si="3">D29-D28</f>
        <v>0</v>
      </c>
      <c r="E30" s="158">
        <f t="shared" si="3"/>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DD76C-52A5-40B2-A2F0-938BD8AE4286}">
  <dimension ref="B3:P30"/>
  <sheetViews>
    <sheetView topLeftCell="A2" zoomScale="80" zoomScaleNormal="80" workbookViewId="0">
      <selection activeCell="D4" sqref="D4"/>
    </sheetView>
  </sheetViews>
  <sheetFormatPr baseColWidth="10" defaultRowHeight="15.75" x14ac:dyDescent="0.25"/>
  <cols>
    <col min="2" max="2" width="63.375" bestFit="1" customWidth="1"/>
    <col min="3" max="4" width="13" bestFit="1" customWidth="1"/>
    <col min="5" max="12" width="13" customWidth="1"/>
    <col min="13" max="13" width="15.625" bestFit="1" customWidth="1"/>
    <col min="14" max="14" width="12" bestFit="1" customWidth="1"/>
    <col min="15" max="16" width="11.75" bestFit="1" customWidth="1"/>
  </cols>
  <sheetData>
    <row r="3" spans="2:16" x14ac:dyDescent="0.25">
      <c r="C3">
        <v>2024</v>
      </c>
      <c r="D3">
        <v>2025</v>
      </c>
      <c r="E3">
        <v>2026</v>
      </c>
      <c r="M3" s="211" t="s">
        <v>242</v>
      </c>
      <c r="N3" s="158">
        <f>Consolidado!D32</f>
        <v>38144000</v>
      </c>
    </row>
    <row r="4" spans="2:16" x14ac:dyDescent="0.25">
      <c r="B4" s="211" t="s">
        <v>231</v>
      </c>
      <c r="C4" s="213">
        <f>Consolidado!E27</f>
        <v>12590522.71861567</v>
      </c>
      <c r="M4" s="211" t="s">
        <v>243</v>
      </c>
      <c r="N4" s="158">
        <f>Consolidado!E57-Consolidado!D57</f>
        <v>-11949221.825157285</v>
      </c>
      <c r="O4" s="158">
        <f>N4-N5</f>
        <v>-49644254.168772921</v>
      </c>
      <c r="P4" s="86" cm="1">
        <f t="array" ref="P4">SUMPRODUCT($C$4:$C$30*(LEFT($B$4:$B$30,2)="(-"))-C5</f>
        <v>-49644254.168772899</v>
      </c>
    </row>
    <row r="5" spans="2:16" x14ac:dyDescent="0.25">
      <c r="B5" s="211" t="s">
        <v>233</v>
      </c>
      <c r="C5" s="213">
        <f>Consolidado!C101</f>
        <v>4867608.1528763687</v>
      </c>
      <c r="M5" s="211" t="s">
        <v>244</v>
      </c>
      <c r="N5" s="158">
        <f>Consolidado!E32-Consolidado!D32</f>
        <v>37695032.343615636</v>
      </c>
    </row>
    <row r="6" spans="2:16" x14ac:dyDescent="0.25">
      <c r="B6" t="str">
        <f>"(-) Inc. "&amp;Consolidado!A33</f>
        <v>(-) Inc. Cuentas comerciales por cobrar y otras cuentas por cobrar corrientes</v>
      </c>
      <c r="C6" s="213">
        <f>Consolidado!E33-Consolidado!D33</f>
        <v>-15252878.823733896</v>
      </c>
      <c r="M6" s="211" t="s">
        <v>245</v>
      </c>
      <c r="N6" s="158">
        <f>Consolidado!E82-Consolidado!D82</f>
        <v>-24539744.543772936</v>
      </c>
      <c r="P6" s="158" cm="1">
        <f t="array" ref="P6">SUMPRODUCT($C$4:$C$30*(LEFT($B$4:$B$30,2)="(+"))-C5</f>
        <v>-24539744.54377294</v>
      </c>
    </row>
    <row r="7" spans="2:16" x14ac:dyDescent="0.25">
      <c r="B7" t="str">
        <f>"(-) Inc. "&amp;Consolidado!A34</f>
        <v>(-) Inc. Inventarios corrientes</v>
      </c>
      <c r="C7" s="213">
        <f>Consolidado!E34-Consolidado!D34</f>
        <v>-16391383.131681025</v>
      </c>
      <c r="M7" s="211" t="s">
        <v>246</v>
      </c>
      <c r="N7" s="158">
        <f>Consolidado!E92-Consolidado!D92</f>
        <v>12590522.718615666</v>
      </c>
    </row>
    <row r="8" spans="2:16" x14ac:dyDescent="0.25">
      <c r="B8" t="str">
        <f>"(-) Inc. "&amp;Consolidado!A35</f>
        <v>(-) Inc. Activos por impuestos corrientes, corriente</v>
      </c>
      <c r="C8" s="213">
        <f>Consolidado!E35-Consolidado!D35</f>
        <v>-1392811.5545462132</v>
      </c>
      <c r="M8" s="158"/>
    </row>
    <row r="9" spans="2:16" x14ac:dyDescent="0.25">
      <c r="B9" t="str">
        <f>"(-) Inc. "&amp;Consolidado!A37</f>
        <v>(-) Inc. Otros activos financieros corrientes</v>
      </c>
      <c r="C9" s="213">
        <f>Consolidado!E37-Consolidado!D37</f>
        <v>-360607.68583610747</v>
      </c>
      <c r="M9" s="212" t="s">
        <v>247</v>
      </c>
      <c r="N9" s="158">
        <f>SUM(N6,N7,O4)</f>
        <v>-61593475.993930191</v>
      </c>
    </row>
    <row r="10" spans="2:16" x14ac:dyDescent="0.25">
      <c r="B10" t="str">
        <f>"(-) Inc. "&amp;Consolidado!A51</f>
        <v>(-) Inc. Activos por impuestos diferidos</v>
      </c>
      <c r="C10" s="213">
        <f>Consolidado!E51-Consolidado!D51</f>
        <v>-1163534.6926258532</v>
      </c>
    </row>
    <row r="11" spans="2:16" x14ac:dyDescent="0.25">
      <c r="B11" t="str">
        <f>"(-) Inc. "&amp;Consolidado!A54</f>
        <v>(-) Inc. Otros activos no financieros no corrientes</v>
      </c>
      <c r="C11" s="213">
        <f>Consolidado!E54-Consolidado!D54</f>
        <v>-8510924.1283178758</v>
      </c>
      <c r="M11" s="158"/>
    </row>
    <row r="12" spans="2:16" x14ac:dyDescent="0.25">
      <c r="B12" t="str">
        <f>"(+) Inc. "&amp;Consolidado!A61</f>
        <v>(+) Inc. Provisiones corrientes por beneficios a los empleados</v>
      </c>
      <c r="C12" s="213">
        <f>Consolidado!E61-Consolidado!D61</f>
        <v>-1123664.1569182491</v>
      </c>
    </row>
    <row r="13" spans="2:16" x14ac:dyDescent="0.25">
      <c r="B13" t="str">
        <f>"(+) Inc. "&amp;Consolidado!A64</f>
        <v>(+) Inc. Cuentas por pagar comerciales y otras cuentas por pagar corrientes</v>
      </c>
      <c r="C13" s="213">
        <f>Consolidado!E64-Consolidado!D64</f>
        <v>-32022.41771800071</v>
      </c>
    </row>
    <row r="14" spans="2:16" x14ac:dyDescent="0.25">
      <c r="B14" t="str">
        <f>"(+) Inc. "&amp;Consolidado!A65</f>
        <v>(+) Inc. Pasivos por impuestos corrientes, corriente</v>
      </c>
      <c r="C14" s="213">
        <f>Consolidado!E65-Consolidado!D65</f>
        <v>-2717257.699520018</v>
      </c>
    </row>
    <row r="15" spans="2:16" x14ac:dyDescent="0.25">
      <c r="B15" t="str">
        <f>"(+) Inc. "&amp;Consolidado!A67</f>
        <v>(+) Inc. Otros pasivos no financieros corrientes</v>
      </c>
      <c r="C15" s="213">
        <f>Consolidado!E67-Consolidado!D67</f>
        <v>1447.264149890432</v>
      </c>
    </row>
    <row r="16" spans="2:16" x14ac:dyDescent="0.25">
      <c r="B16" t="str">
        <f>"(+) Inc. "&amp;Consolidado!A77</f>
        <v>(+) Inc. Pasivo por impuestos diferidos</v>
      </c>
      <c r="C16" s="213">
        <f>Consolidado!E77-Consolidado!D77</f>
        <v>-786678.98262205534</v>
      </c>
    </row>
    <row r="17" spans="2:12" x14ac:dyDescent="0.25">
      <c r="B17" t="str">
        <f>"(+) Inc. "&amp;Consolidado!A80</f>
        <v>(+) Inc. Otros pasivos no financieros no corrientes</v>
      </c>
      <c r="C17" s="213">
        <f>Consolidado!E80-Consolidado!D80</f>
        <v>200131.44885549508</v>
      </c>
    </row>
    <row r="18" spans="2:12" x14ac:dyDescent="0.25">
      <c r="B18" s="215" t="s">
        <v>232</v>
      </c>
      <c r="C18" s="214">
        <f>C4+C5-SUM(C6:C11)+SUM(C12:C17)</f>
        <v>56072226.34446007</v>
      </c>
      <c r="D18" s="214">
        <f>C4+C5-C6-C7-C8-C9-C10-C11+C12+C13+C14+C15+C16+C17</f>
        <v>56072226.344460078</v>
      </c>
      <c r="E18" s="214"/>
      <c r="F18" s="214"/>
      <c r="G18" s="214"/>
      <c r="H18" s="214"/>
      <c r="I18" s="214"/>
      <c r="J18" s="214"/>
      <c r="K18" s="214"/>
      <c r="L18" s="214"/>
    </row>
    <row r="19" spans="2:12" x14ac:dyDescent="0.25">
      <c r="B19" t="str">
        <f>"(-) Inc. "&amp;Consolidado!A45</f>
        <v>(-) Inc. Propiedades, planta y equipo</v>
      </c>
      <c r="C19" s="158">
        <f>Consolidado!E45-Consolidado!D45+C5</f>
        <v>1025779.22844199</v>
      </c>
    </row>
    <row r="20" spans="2:12" x14ac:dyDescent="0.25">
      <c r="B20" t="str">
        <f>"(-) Inc. "&amp;Consolidado!A47</f>
        <v>(-) Inc. Activos intangibles distintos de la plusvalía</v>
      </c>
      <c r="C20" s="158">
        <f>Consolidado!E47-Consolidado!D47</f>
        <v>-2730285.2275975514</v>
      </c>
    </row>
    <row r="21" spans="2:12" x14ac:dyDescent="0.25">
      <c r="B21" s="215" t="s">
        <v>234</v>
      </c>
      <c r="C21" s="214">
        <f>-C19-C20</f>
        <v>1704505.9991555614</v>
      </c>
      <c r="D21" s="214">
        <f>-C19-C20</f>
        <v>1704505.9991555614</v>
      </c>
      <c r="E21" s="214"/>
      <c r="F21" s="214"/>
      <c r="G21" s="214"/>
      <c r="H21" s="214"/>
      <c r="I21" s="214"/>
      <c r="J21" s="214"/>
      <c r="K21" s="214"/>
      <c r="L21" s="214"/>
    </row>
    <row r="22" spans="2:12" x14ac:dyDescent="0.25">
      <c r="B22" t="str">
        <f>"(+) Inc. "&amp;Consolidado!A66</f>
        <v>(+) Inc. Otros pasivos financieros corrientes</v>
      </c>
      <c r="C22" s="158">
        <f>Consolidado!E66-Consolidado!D66</f>
        <v>-8711400</v>
      </c>
    </row>
    <row r="23" spans="2:12" x14ac:dyDescent="0.25">
      <c r="B23" t="str">
        <f>"(+) Inc. "&amp;Consolidado!A79</f>
        <v>(+) Inc. Otros pasivos financieros no corrientes</v>
      </c>
      <c r="C23" s="158">
        <f>Consolidado!E79-Consolidado!D79</f>
        <v>-11370300</v>
      </c>
    </row>
    <row r="24" spans="2:12" x14ac:dyDescent="0.25">
      <c r="B24" s="211" t="s">
        <v>235</v>
      </c>
      <c r="C24" s="158">
        <f>Consolidado!E92-Consolidado!D92-'EFE (2)'!C4</f>
        <v>0</v>
      </c>
    </row>
    <row r="25" spans="2:12" x14ac:dyDescent="0.25">
      <c r="B25" s="216" t="s">
        <v>236</v>
      </c>
      <c r="C25" s="217">
        <f>C22+C23+C24</f>
        <v>-20081700</v>
      </c>
      <c r="D25" s="217">
        <f>SUM(C22:C24)</f>
        <v>-20081700</v>
      </c>
      <c r="E25" s="217"/>
      <c r="F25" s="217"/>
      <c r="G25" s="217"/>
      <c r="H25" s="217"/>
      <c r="I25" s="217"/>
      <c r="J25" s="217"/>
      <c r="K25" s="217"/>
      <c r="L25" s="217"/>
    </row>
    <row r="26" spans="2:12" x14ac:dyDescent="0.25">
      <c r="B26" s="211" t="s">
        <v>237</v>
      </c>
      <c r="C26" s="158">
        <f>C25+C21+C18</f>
        <v>37695032.343615636</v>
      </c>
    </row>
    <row r="27" spans="2:12" x14ac:dyDescent="0.25">
      <c r="B27" s="211" t="s">
        <v>238</v>
      </c>
      <c r="C27" s="158">
        <f>Consolidado!D32</f>
        <v>38144000</v>
      </c>
    </row>
    <row r="28" spans="2:12" x14ac:dyDescent="0.25">
      <c r="B28" s="211" t="s">
        <v>239</v>
      </c>
      <c r="C28" s="158">
        <f>C26+C27</f>
        <v>75839032.343615636</v>
      </c>
    </row>
    <row r="29" spans="2:12" x14ac:dyDescent="0.25">
      <c r="B29" s="211" t="s">
        <v>240</v>
      </c>
      <c r="C29" s="158">
        <f>Consolidado!E32</f>
        <v>75839032.343615636</v>
      </c>
    </row>
    <row r="30" spans="2:12" x14ac:dyDescent="0.25">
      <c r="B30" s="211" t="s">
        <v>241</v>
      </c>
      <c r="C30" s="158">
        <f>C29-C28</f>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12C1E-38E2-4331-8E84-04808D2F0CD7}">
  <sheetPr>
    <tabColor rgb="FF92D050"/>
  </sheetPr>
  <dimension ref="B4:V70"/>
  <sheetViews>
    <sheetView showGridLines="0" tabSelected="1" zoomScale="70" zoomScaleNormal="70" workbookViewId="0">
      <selection activeCell="H23" sqref="H23"/>
    </sheetView>
  </sheetViews>
  <sheetFormatPr baseColWidth="10" defaultColWidth="9.5" defaultRowHeight="15" x14ac:dyDescent="0.25"/>
  <cols>
    <col min="1" max="1" width="9.5" style="238"/>
    <col min="2" max="2" width="12.5" style="238" bestFit="1" customWidth="1"/>
    <col min="3" max="3" width="13" style="238" bestFit="1" customWidth="1"/>
    <col min="4" max="4" width="9.5" style="238"/>
    <col min="5" max="5" width="12.5" style="238" customWidth="1"/>
    <col min="6" max="6" width="18.375" style="238" customWidth="1"/>
    <col min="7" max="7" width="15.75" style="238" customWidth="1"/>
    <col min="8" max="8" width="15.375" style="238" customWidth="1"/>
    <col min="9" max="10" width="15.875" style="238" bestFit="1" customWidth="1"/>
    <col min="11" max="12" width="14.75" style="238" bestFit="1" customWidth="1"/>
    <col min="13" max="13" width="13.375" style="238" bestFit="1" customWidth="1"/>
    <col min="14" max="14" width="25.125" style="238" customWidth="1"/>
    <col min="15" max="15" width="9.5" style="238"/>
    <col min="16" max="16" width="16.375" style="238" bestFit="1" customWidth="1"/>
    <col min="17" max="18" width="16" style="238" bestFit="1" customWidth="1"/>
    <col min="19" max="20" width="16.375" style="238" bestFit="1" customWidth="1"/>
    <col min="21" max="16384" width="9.5" style="238"/>
  </cols>
  <sheetData>
    <row r="4" spans="2:20" x14ac:dyDescent="0.25">
      <c r="B4" s="241" t="s">
        <v>332</v>
      </c>
    </row>
    <row r="5" spans="2:20" x14ac:dyDescent="0.25">
      <c r="B5" s="303" t="s">
        <v>328</v>
      </c>
      <c r="C5" s="304">
        <f>C10*C8*(1-C20)+C9*C19</f>
        <v>0.17862575522287677</v>
      </c>
      <c r="F5" s="305" t="s">
        <v>384</v>
      </c>
      <c r="G5" s="306"/>
      <c r="H5" s="305">
        <v>2024</v>
      </c>
      <c r="I5" s="305">
        <v>2025</v>
      </c>
      <c r="J5" s="305">
        <v>2026</v>
      </c>
      <c r="K5" s="305"/>
      <c r="L5" s="305"/>
      <c r="N5" s="310"/>
      <c r="O5" s="310"/>
      <c r="P5" s="305">
        <f>H5</f>
        <v>2024</v>
      </c>
      <c r="Q5" s="305">
        <f t="shared" ref="Q5:R5" si="0">I5</f>
        <v>2025</v>
      </c>
      <c r="R5" s="305">
        <f t="shared" si="0"/>
        <v>2026</v>
      </c>
      <c r="S5" s="305"/>
      <c r="T5" s="305"/>
    </row>
    <row r="6" spans="2:20" x14ac:dyDescent="0.25">
      <c r="B6" s="238" t="s">
        <v>333</v>
      </c>
      <c r="C6" s="265">
        <f>Consolidado!D82</f>
        <v>224794000</v>
      </c>
      <c r="F6" s="238" t="s">
        <v>334</v>
      </c>
      <c r="H6" s="265">
        <f>Consolidado!E14*(1-Supuestos!$C$27)</f>
        <v>17441775.460437268</v>
      </c>
      <c r="I6" s="265">
        <f>Consolidado!F14*(1-Supuestos!$C$27)</f>
        <v>15889979.371727468</v>
      </c>
      <c r="J6" s="265">
        <f>Consolidado!G14*(1-Supuestos!$C$27)</f>
        <v>14476246.699004024</v>
      </c>
      <c r="K6" s="242"/>
      <c r="L6" s="242"/>
      <c r="N6" s="243" t="s">
        <v>335</v>
      </c>
      <c r="O6" s="243"/>
      <c r="P6" s="244">
        <f>Consolidado!E45</f>
        <v>22510171.075565621</v>
      </c>
      <c r="Q6" s="244">
        <f>P12</f>
        <v>50280581.688828163</v>
      </c>
      <c r="R6" s="244">
        <f>Q12</f>
        <v>56461652.218231067</v>
      </c>
      <c r="S6" s="244"/>
      <c r="T6" s="244"/>
    </row>
    <row r="7" spans="2:20" x14ac:dyDescent="0.25">
      <c r="B7" s="238" t="s">
        <v>336</v>
      </c>
      <c r="C7" s="265">
        <f>Consolidado!D92</f>
        <v>69656000</v>
      </c>
      <c r="F7" s="238" t="s">
        <v>172</v>
      </c>
      <c r="H7" s="265">
        <f>Supuestos!N56</f>
        <v>4867608.1528763687</v>
      </c>
      <c r="I7" s="265">
        <f>Supuestos!O56</f>
        <v>4434536.6854595868</v>
      </c>
      <c r="J7" s="265">
        <f>Supuestos!P56</f>
        <v>4039995.6194227305</v>
      </c>
      <c r="K7" s="242"/>
      <c r="L7" s="242"/>
      <c r="N7" s="245" t="s">
        <v>337</v>
      </c>
      <c r="P7" s="246">
        <f>H8</f>
        <v>31612239.53769692</v>
      </c>
      <c r="Q7" s="246">
        <f t="shared" ref="Q7:R8" si="1">I8</f>
        <v>8183802.1613107473</v>
      </c>
      <c r="R7" s="246">
        <f t="shared" si="1"/>
        <v>7455688.660852991</v>
      </c>
      <c r="S7" s="246">
        <f t="shared" ref="S7:T8" si="2">K8</f>
        <v>0</v>
      </c>
      <c r="T7" s="246">
        <f t="shared" si="2"/>
        <v>0</v>
      </c>
    </row>
    <row r="8" spans="2:20" ht="15.75" x14ac:dyDescent="0.25">
      <c r="B8" s="238" t="s">
        <v>338</v>
      </c>
      <c r="C8" s="247">
        <f>C6/SUM($C$6:$C$7)</f>
        <v>0.76343691628459842</v>
      </c>
      <c r="F8" s="238" t="s">
        <v>339</v>
      </c>
      <c r="H8" s="267">
        <f>Consolidado!C152</f>
        <v>31612239.53769692</v>
      </c>
      <c r="I8" s="267">
        <f>Consolidado!D152</f>
        <v>8183802.1613107473</v>
      </c>
      <c r="J8" s="267">
        <f>Consolidado!E152</f>
        <v>7455688.660852991</v>
      </c>
      <c r="K8" s="248"/>
      <c r="L8" s="248"/>
      <c r="N8" s="245" t="s">
        <v>340</v>
      </c>
      <c r="P8" s="246">
        <f>H9</f>
        <v>1025779.22844199</v>
      </c>
      <c r="Q8" s="246">
        <f t="shared" si="1"/>
        <v>2431805.0535517437</v>
      </c>
      <c r="R8" s="246">
        <f t="shared" si="1"/>
        <v>2215447.1730615352</v>
      </c>
      <c r="S8" s="246">
        <f t="shared" si="2"/>
        <v>0</v>
      </c>
      <c r="T8" s="246">
        <f t="shared" si="2"/>
        <v>0</v>
      </c>
    </row>
    <row r="9" spans="2:20" ht="15.75" x14ac:dyDescent="0.25">
      <c r="B9" s="238" t="s">
        <v>341</v>
      </c>
      <c r="C9" s="247">
        <f>C7/SUM($C$6:$C$7)</f>
        <v>0.23656308371540161</v>
      </c>
      <c r="F9" s="238" t="s">
        <v>342</v>
      </c>
      <c r="H9" s="267">
        <f>Consolidado!C118</f>
        <v>1025779.22844199</v>
      </c>
      <c r="I9" s="267">
        <f>Consolidado!D118</f>
        <v>2431805.0535517437</v>
      </c>
      <c r="J9" s="267">
        <f>Consolidado!E118</f>
        <v>2215447.1730615352</v>
      </c>
      <c r="K9" s="248"/>
      <c r="L9" s="248"/>
      <c r="N9" s="249" t="s">
        <v>343</v>
      </c>
      <c r="O9" s="250"/>
      <c r="P9" s="251">
        <f>P7+P8</f>
        <v>32638018.766138911</v>
      </c>
      <c r="Q9" s="251">
        <f t="shared" ref="Q9:T9" si="3">Q7+Q8</f>
        <v>10615607.214862492</v>
      </c>
      <c r="R9" s="251">
        <f>R7+R8</f>
        <v>9671135.8339145258</v>
      </c>
      <c r="S9" s="251">
        <f t="shared" si="3"/>
        <v>0</v>
      </c>
      <c r="T9" s="251">
        <f t="shared" si="3"/>
        <v>0</v>
      </c>
    </row>
    <row r="10" spans="2:20" x14ac:dyDescent="0.25">
      <c r="B10" s="243" t="s">
        <v>344</v>
      </c>
      <c r="C10" s="252">
        <f>Consolidado!D18/(Consolidado!D66+Consolidado!D79)</f>
        <v>0.19515529063774481</v>
      </c>
      <c r="F10" s="307" t="s">
        <v>345</v>
      </c>
      <c r="G10" s="307"/>
      <c r="H10" s="308">
        <f>H6+H7-H8-H9</f>
        <v>-10328635.152825274</v>
      </c>
      <c r="I10" s="308">
        <f t="shared" ref="I10:J10" si="4">I6+I7-I8-I9</f>
        <v>9708908.8423245624</v>
      </c>
      <c r="J10" s="308">
        <f t="shared" si="4"/>
        <v>8845106.4845122285</v>
      </c>
      <c r="K10" s="309">
        <f t="shared" ref="K10:L10" si="5">K6+K7-K8-K9</f>
        <v>0</v>
      </c>
      <c r="L10" s="309">
        <f t="shared" si="5"/>
        <v>0</v>
      </c>
      <c r="N10" s="245" t="s">
        <v>346</v>
      </c>
      <c r="P10" s="265">
        <f>H7</f>
        <v>4867608.1528763687</v>
      </c>
      <c r="Q10" s="242">
        <f t="shared" ref="Q10:T10" si="6">I7</f>
        <v>4434536.6854595868</v>
      </c>
      <c r="R10" s="242">
        <f t="shared" si="6"/>
        <v>4039995.6194227305</v>
      </c>
      <c r="S10" s="242">
        <f t="shared" si="6"/>
        <v>0</v>
      </c>
      <c r="T10" s="242">
        <f t="shared" si="6"/>
        <v>0</v>
      </c>
    </row>
    <row r="11" spans="2:20" x14ac:dyDescent="0.25">
      <c r="B11" s="238" t="s">
        <v>347</v>
      </c>
      <c r="C11" s="239">
        <f>C12+(C13-C12)*C15+C16</f>
        <v>0.29558090520950686</v>
      </c>
      <c r="K11" s="265"/>
      <c r="N11" s="249" t="s">
        <v>348</v>
      </c>
      <c r="O11" s="250"/>
      <c r="P11" s="251">
        <f>P9-P10</f>
        <v>27770410.613262542</v>
      </c>
      <c r="Q11" s="251">
        <f t="shared" ref="Q11:T11" si="7">Q9-Q10</f>
        <v>6181070.5294029051</v>
      </c>
      <c r="R11" s="251">
        <f t="shared" si="7"/>
        <v>5631140.2144917957</v>
      </c>
      <c r="S11" s="251">
        <f t="shared" si="7"/>
        <v>0</v>
      </c>
      <c r="T11" s="251">
        <f t="shared" si="7"/>
        <v>0</v>
      </c>
    </row>
    <row r="12" spans="2:20" x14ac:dyDescent="0.25">
      <c r="B12" s="253" t="s">
        <v>349</v>
      </c>
      <c r="C12" s="254">
        <v>4.5699999999999998E-2</v>
      </c>
      <c r="N12" s="243" t="s">
        <v>350</v>
      </c>
      <c r="O12" s="243"/>
      <c r="P12" s="244">
        <f>P6+P11</f>
        <v>50280581.688828163</v>
      </c>
      <c r="Q12" s="244">
        <f t="shared" ref="Q12:T12" si="8">Q6+Q11</f>
        <v>56461652.218231067</v>
      </c>
      <c r="R12" s="244">
        <f>R6+R11</f>
        <v>62092792.432722867</v>
      </c>
      <c r="S12" s="244">
        <f t="shared" si="8"/>
        <v>0</v>
      </c>
      <c r="T12" s="244">
        <f t="shared" si="8"/>
        <v>0</v>
      </c>
    </row>
    <row r="13" spans="2:20" ht="15.75" x14ac:dyDescent="0.25">
      <c r="B13" s="253" t="s">
        <v>351</v>
      </c>
      <c r="C13" s="254">
        <v>9.4E-2</v>
      </c>
      <c r="F13" s="310" t="s">
        <v>352</v>
      </c>
      <c r="G13" s="310"/>
      <c r="H13" s="305" t="s">
        <v>264</v>
      </c>
      <c r="L13" s="255"/>
    </row>
    <row r="14" spans="2:20" ht="15.75" x14ac:dyDescent="0.25">
      <c r="B14" s="253" t="s">
        <v>353</v>
      </c>
      <c r="C14" s="266">
        <f>Valoración!C62</f>
        <v>0.99</v>
      </c>
      <c r="F14" s="238" t="s">
        <v>354</v>
      </c>
      <c r="H14" s="268">
        <f>NPV(C5,H10:J10)</f>
        <v>3628027.8481854429</v>
      </c>
      <c r="I14" s="256">
        <f>H14/SUM($H$14:$H$15)</f>
        <v>8.8965408145491517E-2</v>
      </c>
      <c r="N14" s="257" t="s">
        <v>327</v>
      </c>
      <c r="O14" s="257"/>
      <c r="P14" s="258">
        <f>H6/P6</f>
        <v>0.77483975585463216</v>
      </c>
      <c r="Q14" s="258">
        <f t="shared" ref="Q14:R14" si="9">I6/Q6</f>
        <v>0.31602616433648106</v>
      </c>
      <c r="R14" s="258">
        <f t="shared" si="9"/>
        <v>0.25639077374235514</v>
      </c>
      <c r="S14" s="258"/>
      <c r="T14" s="258"/>
    </row>
    <row r="15" spans="2:20" x14ac:dyDescent="0.25">
      <c r="B15" s="253" t="s">
        <v>355</v>
      </c>
      <c r="C15" s="259">
        <f>C14*(1+((1-C20)*(C6/C7)))</f>
        <v>3.3101636689338902</v>
      </c>
      <c r="F15" s="238" t="s">
        <v>356</v>
      </c>
      <c r="H15" s="268">
        <f>PV(C5,3,,-J10*(1+C21)/(C5-C21))</f>
        <v>37152180.142905526</v>
      </c>
      <c r="I15" s="256">
        <f>H15/SUM($H$14:$H$15)</f>
        <v>0.91103459185450852</v>
      </c>
      <c r="N15" s="238" t="s">
        <v>328</v>
      </c>
      <c r="P15" s="239">
        <f>$C$5</f>
        <v>0.17862575522287677</v>
      </c>
      <c r="Q15" s="239">
        <f t="shared" ref="Q15:R15" si="10">$C$5</f>
        <v>0.17862575522287677</v>
      </c>
      <c r="R15" s="239">
        <f t="shared" si="10"/>
        <v>0.17862575522287677</v>
      </c>
      <c r="S15" s="239"/>
      <c r="T15" s="239"/>
    </row>
    <row r="16" spans="2:20" x14ac:dyDescent="0.25">
      <c r="B16" s="253" t="s">
        <v>357</v>
      </c>
      <c r="C16" s="254">
        <v>0.09</v>
      </c>
      <c r="F16" s="310" t="s">
        <v>358</v>
      </c>
      <c r="G16" s="310"/>
      <c r="H16" s="311">
        <f>H14+H15</f>
        <v>40780207.991090968</v>
      </c>
      <c r="N16" s="260" t="s">
        <v>335</v>
      </c>
      <c r="O16" s="260"/>
      <c r="P16" s="261">
        <f>P6</f>
        <v>22510171.075565621</v>
      </c>
      <c r="Q16" s="261">
        <f t="shared" ref="Q16:T16" si="11">Q6</f>
        <v>50280581.688828163</v>
      </c>
      <c r="R16" s="261">
        <f t="shared" si="11"/>
        <v>56461652.218231067</v>
      </c>
      <c r="S16" s="261">
        <f t="shared" si="11"/>
        <v>0</v>
      </c>
      <c r="T16" s="261">
        <f t="shared" si="11"/>
        <v>0</v>
      </c>
    </row>
    <row r="17" spans="2:20" x14ac:dyDescent="0.25">
      <c r="B17" s="238" t="s">
        <v>359</v>
      </c>
      <c r="C17" s="239">
        <v>2.9000000000000001E-2</v>
      </c>
      <c r="F17" s="238" t="s">
        <v>360</v>
      </c>
      <c r="H17" s="265">
        <f>Consolidado!D37+Consolidado!D54</f>
        <v>27219000</v>
      </c>
      <c r="N17" s="310" t="s">
        <v>291</v>
      </c>
      <c r="O17" s="310"/>
      <c r="P17" s="313">
        <f>(P14-P15)*P16</f>
        <v>13420879.151868202</v>
      </c>
      <c r="Q17" s="313">
        <f>(Q14-Q15)*Q16</f>
        <v>6908572.4945149906</v>
      </c>
      <c r="R17" s="313">
        <f>(R14-R15)*R16</f>
        <v>4390741.4303910863</v>
      </c>
      <c r="S17" s="313">
        <f t="shared" ref="S17:T17" si="12">(S14-S15)*S16</f>
        <v>0</v>
      </c>
      <c r="T17" s="313">
        <f t="shared" si="12"/>
        <v>0</v>
      </c>
    </row>
    <row r="18" spans="2:20" x14ac:dyDescent="0.25">
      <c r="B18" s="238" t="s">
        <v>361</v>
      </c>
      <c r="C18" s="239">
        <v>3.0700000000000002E-2</v>
      </c>
      <c r="F18" s="238" t="s">
        <v>362</v>
      </c>
      <c r="H18" s="265">
        <f>Consolidado!D66+Consolidado!D79+Consolidado!D80</f>
        <v>139186000</v>
      </c>
      <c r="N18" s="250" t="s">
        <v>363</v>
      </c>
      <c r="O18" s="250"/>
      <c r="P18" s="250"/>
      <c r="Q18" s="262">
        <f>Q17-P17</f>
        <v>-6512306.6573532112</v>
      </c>
      <c r="R18" s="262">
        <f t="shared" ref="R18:T18" si="13">R17-Q17</f>
        <v>-2517831.0641239043</v>
      </c>
      <c r="S18" s="262">
        <f>S17-R17</f>
        <v>-4390741.4303910863</v>
      </c>
      <c r="T18" s="262">
        <f t="shared" si="13"/>
        <v>0</v>
      </c>
    </row>
    <row r="19" spans="2:20" x14ac:dyDescent="0.25">
      <c r="B19" s="243" t="s">
        <v>364</v>
      </c>
      <c r="C19" s="263">
        <f>((1+((1+C11)/(1+C17)-1))*(1+C18))-1</f>
        <v>0.29772132069916291</v>
      </c>
      <c r="F19" s="310" t="s">
        <v>365</v>
      </c>
      <c r="G19" s="310"/>
      <c r="H19" s="311">
        <f>H16+H17-H18</f>
        <v>-71186792.008909032</v>
      </c>
    </row>
    <row r="20" spans="2:20" x14ac:dyDescent="0.25">
      <c r="B20" s="238" t="s">
        <v>282</v>
      </c>
      <c r="C20" s="240">
        <f>Supuestos!C27</f>
        <v>0.27379832955362576</v>
      </c>
    </row>
    <row r="21" spans="2:20" x14ac:dyDescent="0.25">
      <c r="B21" s="238" t="s">
        <v>366</v>
      </c>
      <c r="C21" s="240">
        <v>2.9000000000000001E-2</v>
      </c>
      <c r="N21" s="310" t="s">
        <v>352</v>
      </c>
      <c r="O21" s="310"/>
      <c r="P21" s="305" t="s">
        <v>264</v>
      </c>
    </row>
    <row r="22" spans="2:20" x14ac:dyDescent="0.25">
      <c r="N22" s="238" t="s">
        <v>367</v>
      </c>
      <c r="P22" s="264">
        <f>J10*(1+C21)/(C5-C21)</f>
        <v>60829197.212777086</v>
      </c>
    </row>
    <row r="23" spans="2:20" x14ac:dyDescent="0.25">
      <c r="B23" s="314" t="s">
        <v>368</v>
      </c>
      <c r="N23" s="238" t="s">
        <v>350</v>
      </c>
      <c r="P23" s="242">
        <f>+R12</f>
        <v>62092792.432722867</v>
      </c>
    </row>
    <row r="24" spans="2:20" x14ac:dyDescent="0.25">
      <c r="B24" s="315"/>
      <c r="C24" s="316"/>
      <c r="D24" s="317"/>
      <c r="N24" s="238" t="s">
        <v>369</v>
      </c>
      <c r="P24" s="264">
        <f>P22-P23</f>
        <v>-1263595.2199457809</v>
      </c>
    </row>
    <row r="25" spans="2:20" x14ac:dyDescent="0.25">
      <c r="B25" s="318"/>
      <c r="C25" s="319"/>
      <c r="D25" s="320"/>
      <c r="N25" s="238" t="s">
        <v>370</v>
      </c>
      <c r="P25" s="264">
        <f>NPV(C5,P17:R17)</f>
        <v>19041793.23305371</v>
      </c>
    </row>
    <row r="26" spans="2:20" x14ac:dyDescent="0.25">
      <c r="B26" s="321" t="s">
        <v>371</v>
      </c>
      <c r="C26" s="322">
        <f>H19/'[1]Estados Financieros'!G10</f>
        <v>-2.9320116627124819</v>
      </c>
      <c r="D26" s="320"/>
      <c r="N26" s="238" t="s">
        <v>372</v>
      </c>
      <c r="P26" s="264">
        <f>PV(C5,3,,-P24)</f>
        <v>-771756.3175283724</v>
      </c>
    </row>
    <row r="27" spans="2:20" x14ac:dyDescent="0.25">
      <c r="B27" s="321" t="s">
        <v>373</v>
      </c>
      <c r="C27" s="322">
        <f>H19/'[1]Estados Financieros'!G159</f>
        <v>-1.1013213498205485</v>
      </c>
      <c r="D27" s="320"/>
      <c r="N27" s="238" t="s">
        <v>374</v>
      </c>
      <c r="P27" s="264">
        <f>+P25+P26</f>
        <v>18270036.91552534</v>
      </c>
    </row>
    <row r="28" spans="2:20" x14ac:dyDescent="0.25">
      <c r="B28" s="321" t="s">
        <v>375</v>
      </c>
      <c r="C28" s="322">
        <f>H19/'[1]Estados Financieros'!G5</f>
        <v>-0.2005261746729832</v>
      </c>
      <c r="D28" s="320"/>
      <c r="N28" s="238" t="s">
        <v>335</v>
      </c>
      <c r="P28" s="242">
        <f>P6</f>
        <v>22510171.075565621</v>
      </c>
    </row>
    <row r="29" spans="2:20" x14ac:dyDescent="0.25">
      <c r="B29" s="321"/>
      <c r="D29" s="320"/>
      <c r="N29" s="310" t="s">
        <v>358</v>
      </c>
      <c r="O29" s="306"/>
      <c r="P29" s="312">
        <f>P27+P28</f>
        <v>40780207.991090961</v>
      </c>
      <c r="Q29" s="264">
        <f>P29-H16</f>
        <v>0</v>
      </c>
    </row>
    <row r="30" spans="2:20" x14ac:dyDescent="0.25">
      <c r="B30" s="321"/>
      <c r="D30" s="320"/>
      <c r="N30" s="238" t="s">
        <v>360</v>
      </c>
      <c r="P30" s="265">
        <f>H17</f>
        <v>27219000</v>
      </c>
    </row>
    <row r="31" spans="2:20" x14ac:dyDescent="0.25">
      <c r="B31" s="321"/>
      <c r="D31" s="320"/>
      <c r="N31" s="238" t="s">
        <v>362</v>
      </c>
      <c r="P31" s="265">
        <f>H18</f>
        <v>139186000</v>
      </c>
    </row>
    <row r="32" spans="2:20" x14ac:dyDescent="0.25">
      <c r="B32" s="321"/>
      <c r="D32" s="320"/>
      <c r="N32" s="310" t="s">
        <v>365</v>
      </c>
      <c r="O32" s="310"/>
      <c r="P32" s="309">
        <f>P29+P30-P31</f>
        <v>-71186792.008909047</v>
      </c>
      <c r="Q32" s="265"/>
    </row>
    <row r="33" spans="2:22" x14ac:dyDescent="0.25">
      <c r="B33" s="323"/>
      <c r="C33" s="324"/>
      <c r="D33" s="325"/>
    </row>
    <row r="42" spans="2:22" ht="15.75" customHeight="1" thickBot="1" x14ac:dyDescent="0.3">
      <c r="B42" s="349" t="s">
        <v>385</v>
      </c>
      <c r="C42" s="349"/>
      <c r="D42" s="349"/>
      <c r="E42" s="349"/>
      <c r="F42" s="349"/>
      <c r="G42" s="349"/>
      <c r="K42" s="349" t="s">
        <v>386</v>
      </c>
      <c r="L42" s="349"/>
      <c r="M42" s="349"/>
      <c r="N42" s="349"/>
      <c r="O42" s="349"/>
      <c r="P42" s="349"/>
      <c r="Q42"/>
      <c r="R42"/>
      <c r="S42"/>
      <c r="T42"/>
      <c r="U42"/>
      <c r="V42"/>
    </row>
    <row r="43" spans="2:22" ht="16.5" thickTop="1" x14ac:dyDescent="0.25">
      <c r="Q43"/>
      <c r="R43"/>
      <c r="S43"/>
      <c r="T43"/>
      <c r="U43"/>
      <c r="V43"/>
    </row>
    <row r="44" spans="2:22" ht="18" x14ac:dyDescent="0.25">
      <c r="K44" s="235" t="s">
        <v>320</v>
      </c>
      <c r="L44"/>
      <c r="M44"/>
      <c r="N44"/>
      <c r="O44"/>
      <c r="P44"/>
      <c r="Q44"/>
      <c r="R44"/>
      <c r="S44"/>
      <c r="T44"/>
      <c r="U44"/>
      <c r="V44"/>
    </row>
    <row r="45" spans="2:22" ht="15.75" x14ac:dyDescent="0.25">
      <c r="B45" s="307" t="s">
        <v>328</v>
      </c>
      <c r="C45" s="326">
        <f>C50*C48*(1-C60)+C49*C59</f>
        <v>0.17862575522287677</v>
      </c>
      <c r="F45" s="2" t="s">
        <v>260</v>
      </c>
      <c r="G45" s="2"/>
      <c r="H45"/>
      <c r="I45"/>
      <c r="K45"/>
      <c r="L45"/>
      <c r="M45"/>
      <c r="N45"/>
      <c r="O45"/>
      <c r="P45"/>
      <c r="Q45"/>
      <c r="R45"/>
      <c r="S45"/>
      <c r="T45"/>
      <c r="U45"/>
      <c r="V45"/>
    </row>
    <row r="46" spans="2:22" ht="15.75" x14ac:dyDescent="0.25">
      <c r="B46" s="238" t="s">
        <v>333</v>
      </c>
      <c r="C46" s="265">
        <f>Valoración!C6</f>
        <v>224794000</v>
      </c>
      <c r="D46" s="265"/>
      <c r="E46"/>
      <c r="F46"/>
      <c r="G46"/>
      <c r="H46"/>
      <c r="I46"/>
      <c r="K46" s="2" t="s">
        <v>325</v>
      </c>
      <c r="L46"/>
      <c r="M46"/>
      <c r="N46"/>
      <c r="O46" s="228"/>
      <c r="P46"/>
      <c r="Q46"/>
      <c r="R46"/>
      <c r="S46"/>
      <c r="T46"/>
      <c r="U46"/>
      <c r="V46"/>
    </row>
    <row r="47" spans="2:22" ht="15.75" x14ac:dyDescent="0.25">
      <c r="B47" s="238" t="s">
        <v>336</v>
      </c>
      <c r="C47" s="265">
        <f>Valoración!C7</f>
        <v>69656000</v>
      </c>
      <c r="D47" s="265"/>
      <c r="E47"/>
      <c r="F47" s="79">
        <v>2024</v>
      </c>
      <c r="G47" s="79">
        <v>2025</v>
      </c>
      <c r="H47" s="79">
        <v>2026</v>
      </c>
      <c r="I47"/>
      <c r="K47"/>
      <c r="L47"/>
      <c r="M47"/>
      <c r="N47"/>
      <c r="O47"/>
      <c r="P47"/>
      <c r="Q47"/>
      <c r="R47"/>
      <c r="S47"/>
      <c r="T47"/>
      <c r="U47"/>
      <c r="V47"/>
    </row>
    <row r="48" spans="2:22" ht="15.75" x14ac:dyDescent="0.25">
      <c r="B48" s="238" t="s">
        <v>338</v>
      </c>
      <c r="C48" s="240">
        <f>Valoración!C8</f>
        <v>0.76343691628459842</v>
      </c>
      <c r="D48" s="240"/>
      <c r="E48" s="211" t="s">
        <v>261</v>
      </c>
      <c r="F48" s="158">
        <f>Consolidado!E14*(1-Supuestos!$E$27)</f>
        <v>19640830.964059643</v>
      </c>
      <c r="G48" s="158">
        <f>Consolidado!F14*(1-Supuestos!$E$27)</f>
        <v>17893384.74001142</v>
      </c>
      <c r="H48" s="158">
        <f>Consolidado!G14*(1-Supuestos!$E$27)</f>
        <v>16301408.939364728</v>
      </c>
      <c r="I48"/>
      <c r="K48"/>
      <c r="L48">
        <v>2024</v>
      </c>
      <c r="M48">
        <v>2025</v>
      </c>
      <c r="N48">
        <v>2026</v>
      </c>
      <c r="O48"/>
      <c r="P48"/>
      <c r="Q48"/>
      <c r="R48"/>
      <c r="S48"/>
      <c r="T48"/>
      <c r="U48"/>
      <c r="V48"/>
    </row>
    <row r="49" spans="2:22" ht="15.75" x14ac:dyDescent="0.25">
      <c r="B49" s="238" t="s">
        <v>341</v>
      </c>
      <c r="C49" s="240">
        <f>Valoración!C9</f>
        <v>0.23656308371540161</v>
      </c>
      <c r="D49" s="240"/>
      <c r="E49" s="211" t="s">
        <v>262</v>
      </c>
      <c r="F49" s="158">
        <f>Consolidado!E33+Consolidado!E34-Consolidado!E64+Consolidado!E45</f>
        <v>114493931.53786869</v>
      </c>
      <c r="G49" s="158">
        <f>Consolidado!F33+Consolidado!F34-Consolidado!F64+Consolidado!F45</f>
        <v>104307397.74465013</v>
      </c>
      <c r="H49" s="158">
        <f>Consolidado!G33+Consolidado!G34-Consolidado!G64+Consolidado!G45</f>
        <v>95027160.637435928</v>
      </c>
      <c r="I49"/>
      <c r="K49" s="211" t="s">
        <v>261</v>
      </c>
      <c r="L49" s="158">
        <f>Valoración!F48</f>
        <v>19640830.964059643</v>
      </c>
      <c r="M49" s="158">
        <f>Valoración!G48</f>
        <v>17893384.74001142</v>
      </c>
      <c r="N49" s="158">
        <f>Valoración!H48</f>
        <v>16301408.939364728</v>
      </c>
      <c r="O49"/>
      <c r="P49"/>
      <c r="Q49"/>
      <c r="R49"/>
      <c r="S49"/>
      <c r="T49"/>
      <c r="U49"/>
      <c r="V49"/>
    </row>
    <row r="50" spans="2:22" ht="15.75" x14ac:dyDescent="0.25">
      <c r="B50" s="243" t="s">
        <v>344</v>
      </c>
      <c r="C50" s="252">
        <f>Valoración!C10</f>
        <v>0.19515529063774481</v>
      </c>
      <c r="D50" s="270"/>
      <c r="E50"/>
      <c r="F50"/>
      <c r="G50"/>
      <c r="H50"/>
      <c r="I50"/>
      <c r="K50" s="211" t="s">
        <v>326</v>
      </c>
      <c r="L50" s="158">
        <f>Valoración!F49</f>
        <v>114493931.53786869</v>
      </c>
      <c r="M50" s="158">
        <f>Valoración!G49</f>
        <v>104307397.74465013</v>
      </c>
      <c r="N50" s="158">
        <f>Valoración!H49</f>
        <v>95027160.637435928</v>
      </c>
      <c r="O50"/>
      <c r="P50" s="211" t="s">
        <v>321</v>
      </c>
      <c r="Q50"/>
      <c r="R50"/>
      <c r="S50"/>
      <c r="T50"/>
      <c r="U50"/>
      <c r="V50"/>
    </row>
    <row r="51" spans="2:22" ht="15.75" x14ac:dyDescent="0.25">
      <c r="B51" s="238" t="s">
        <v>347</v>
      </c>
      <c r="C51" s="239">
        <f>Valoración!C11</f>
        <v>0.29558090520950686</v>
      </c>
      <c r="D51" s="239"/>
      <c r="E51"/>
      <c r="F51"/>
      <c r="G51"/>
      <c r="H51"/>
      <c r="I51"/>
      <c r="K51" s="211" t="s">
        <v>327</v>
      </c>
      <c r="L51" s="228">
        <f>L49/L50</f>
        <v>0.171544733421644</v>
      </c>
      <c r="M51" s="228">
        <f>M49/M50</f>
        <v>0.17154473342164422</v>
      </c>
      <c r="N51" s="228">
        <f>N49/N50</f>
        <v>0.17154473342164442</v>
      </c>
      <c r="O51"/>
      <c r="P51"/>
      <c r="Q51"/>
      <c r="R51"/>
      <c r="S51"/>
      <c r="T51"/>
      <c r="U51"/>
      <c r="V51"/>
    </row>
    <row r="52" spans="2:22" ht="15.75" x14ac:dyDescent="0.25">
      <c r="B52" s="253" t="s">
        <v>349</v>
      </c>
      <c r="C52" s="254">
        <f>Valoración!C12</f>
        <v>4.5699999999999998E-2</v>
      </c>
      <c r="D52" s="254"/>
      <c r="E52" s="231" t="s">
        <v>291</v>
      </c>
      <c r="F52" s="232">
        <f>F48-(F49*$C$45)</f>
        <v>-810734.02532850206</v>
      </c>
      <c r="G52" s="232">
        <f>G48-(G49*$C$45)</f>
        <v>-738602.95745970309</v>
      </c>
      <c r="H52" s="232">
        <f>H48-(H49*$C$45)</f>
        <v>-672889.39618289471</v>
      </c>
      <c r="I52"/>
      <c r="K52" s="211" t="s">
        <v>328</v>
      </c>
      <c r="L52" s="228">
        <f>Valoración!$C$45</f>
        <v>0.17862575522287677</v>
      </c>
      <c r="M52" s="228">
        <f>Valoración!$C$45</f>
        <v>0.17862575522287677</v>
      </c>
      <c r="N52" s="228">
        <f>Valoración!$C$45</f>
        <v>0.17862575522287677</v>
      </c>
      <c r="O52"/>
      <c r="P52"/>
      <c r="Q52"/>
      <c r="R52"/>
      <c r="S52"/>
      <c r="T52"/>
      <c r="U52"/>
      <c r="V52"/>
    </row>
    <row r="53" spans="2:22" ht="15.75" x14ac:dyDescent="0.25">
      <c r="B53" s="253" t="s">
        <v>351</v>
      </c>
      <c r="C53" s="254">
        <f>Valoración!C13</f>
        <v>9.4E-2</v>
      </c>
      <c r="D53" s="254"/>
      <c r="E53"/>
      <c r="F53"/>
      <c r="G53"/>
      <c r="H53" s="228"/>
      <c r="I53"/>
      <c r="K53"/>
      <c r="L53"/>
      <c r="M53"/>
      <c r="N53"/>
      <c r="O53"/>
      <c r="P53"/>
      <c r="Q53"/>
      <c r="R53"/>
      <c r="S53"/>
      <c r="T53"/>
      <c r="U53"/>
      <c r="V53"/>
    </row>
    <row r="54" spans="2:22" ht="15.75" x14ac:dyDescent="0.25">
      <c r="B54" s="253" t="s">
        <v>353</v>
      </c>
      <c r="C54" s="266">
        <f>Valoración!C14</f>
        <v>0.99</v>
      </c>
      <c r="D54" s="266"/>
      <c r="E54"/>
      <c r="F54" s="2"/>
      <c r="G54"/>
      <c r="H54" s="2"/>
      <c r="I54"/>
      <c r="K54"/>
      <c r="L54"/>
      <c r="M54"/>
      <c r="N54"/>
      <c r="O54"/>
      <c r="P54"/>
      <c r="Q54"/>
      <c r="R54"/>
      <c r="S54"/>
      <c r="T54"/>
      <c r="U54"/>
      <c r="V54"/>
    </row>
    <row r="55" spans="2:22" ht="15.75" x14ac:dyDescent="0.25">
      <c r="B55" s="253" t="s">
        <v>355</v>
      </c>
      <c r="C55" s="259">
        <f>Valoración!C15</f>
        <v>3.3101636689338902</v>
      </c>
      <c r="D55" s="259"/>
      <c r="E55"/>
      <c r="F55" s="228"/>
      <c r="G55"/>
      <c r="H55" s="223"/>
      <c r="I55"/>
      <c r="K55" s="231" t="s">
        <v>291</v>
      </c>
      <c r="L55" s="232">
        <f>(L51-L52)*L50</f>
        <v>-810734.0253285002</v>
      </c>
      <c r="M55" s="232">
        <f>(M51-M52)*M50</f>
        <v>-738602.95745970192</v>
      </c>
      <c r="N55" s="232">
        <f>(N51-N52)*N50</f>
        <v>-672889.39618289249</v>
      </c>
      <c r="O55"/>
      <c r="P55"/>
      <c r="Q55"/>
      <c r="R55"/>
      <c r="S55"/>
      <c r="T55"/>
      <c r="U55"/>
      <c r="V55"/>
    </row>
    <row r="56" spans="2:22" ht="15.75" x14ac:dyDescent="0.25">
      <c r="B56" s="253" t="s">
        <v>357</v>
      </c>
      <c r="C56" s="254">
        <f>Valoración!C16</f>
        <v>0.09</v>
      </c>
      <c r="D56" s="254"/>
      <c r="E56"/>
      <c r="F56" s="228"/>
      <c r="G56"/>
      <c r="H56" s="223"/>
      <c r="I56"/>
      <c r="K56"/>
      <c r="L56"/>
      <c r="M56"/>
      <c r="N56"/>
      <c r="O56"/>
      <c r="P56"/>
      <c r="Q56"/>
      <c r="R56"/>
      <c r="S56"/>
      <c r="T56"/>
      <c r="U56"/>
      <c r="V56"/>
    </row>
    <row r="57" spans="2:22" ht="15.75" x14ac:dyDescent="0.25">
      <c r="B57" s="238" t="s">
        <v>359</v>
      </c>
      <c r="C57" s="239">
        <f>Valoración!C17</f>
        <v>2.9000000000000001E-2</v>
      </c>
      <c r="D57" s="239"/>
      <c r="E57"/>
      <c r="F57" s="2"/>
      <c r="G57" s="2"/>
      <c r="H57" s="227"/>
      <c r="I57" s="2"/>
      <c r="K57"/>
      <c r="L57"/>
      <c r="M57"/>
      <c r="N57"/>
      <c r="O57"/>
      <c r="P57"/>
      <c r="Q57"/>
      <c r="R57"/>
      <c r="S57"/>
      <c r="T57"/>
      <c r="U57"/>
      <c r="V57"/>
    </row>
    <row r="58" spans="2:22" ht="15.75" x14ac:dyDescent="0.25">
      <c r="B58" s="238" t="s">
        <v>361</v>
      </c>
      <c r="C58" s="239">
        <f>Valoración!C18</f>
        <v>3.0700000000000002E-2</v>
      </c>
      <c r="D58" s="239"/>
      <c r="E58"/>
      <c r="F58"/>
      <c r="G58"/>
      <c r="H58"/>
      <c r="I58"/>
      <c r="K58"/>
      <c r="L58"/>
      <c r="M58"/>
      <c r="N58"/>
      <c r="O58"/>
      <c r="P58"/>
      <c r="Q58"/>
      <c r="R58"/>
      <c r="S58"/>
      <c r="T58"/>
      <c r="U58"/>
      <c r="V58"/>
    </row>
    <row r="59" spans="2:22" ht="18" x14ac:dyDescent="0.25">
      <c r="B59" s="243" t="s">
        <v>364</v>
      </c>
      <c r="C59" s="263">
        <f>((1+((1+C51)/(1+C57)-1))*(1+C58))-1</f>
        <v>0.29772132069916291</v>
      </c>
      <c r="D59" s="271"/>
      <c r="E59"/>
      <c r="F59"/>
      <c r="G59"/>
      <c r="H59"/>
      <c r="I59"/>
      <c r="K59" s="235" t="s">
        <v>322</v>
      </c>
      <c r="L59"/>
      <c r="M59"/>
      <c r="N59"/>
      <c r="O59"/>
      <c r="P59"/>
      <c r="Q59"/>
      <c r="R59"/>
      <c r="S59"/>
      <c r="T59"/>
      <c r="U59"/>
      <c r="V59"/>
    </row>
    <row r="60" spans="2:22" ht="15.75" x14ac:dyDescent="0.25">
      <c r="B60" s="238" t="s">
        <v>282</v>
      </c>
      <c r="C60" s="240">
        <f>Valoración!C20</f>
        <v>0.27379832955362576</v>
      </c>
      <c r="D60" s="240"/>
      <c r="E60"/>
      <c r="F60"/>
      <c r="G60"/>
      <c r="H60"/>
      <c r="I60"/>
      <c r="K60"/>
      <c r="L60"/>
      <c r="M60"/>
      <c r="N60"/>
      <c r="O60"/>
      <c r="P60"/>
      <c r="Q60"/>
      <c r="R60"/>
      <c r="S60"/>
      <c r="T60"/>
      <c r="U60"/>
      <c r="V60"/>
    </row>
    <row r="61" spans="2:22" ht="15.75" x14ac:dyDescent="0.25">
      <c r="B61" s="238" t="s">
        <v>366</v>
      </c>
      <c r="C61" s="240">
        <f>Valoración!C21</f>
        <v>2.9000000000000001E-2</v>
      </c>
      <c r="D61" s="240"/>
      <c r="E61"/>
      <c r="F61"/>
      <c r="G61"/>
      <c r="H61"/>
      <c r="I61"/>
      <c r="K61" s="2" t="s">
        <v>324</v>
      </c>
      <c r="L61"/>
      <c r="M61"/>
      <c r="N61"/>
      <c r="O61"/>
      <c r="P61"/>
      <c r="Q61"/>
      <c r="R61"/>
      <c r="S61"/>
      <c r="T61"/>
      <c r="U61"/>
      <c r="V61"/>
    </row>
    <row r="62" spans="2:22" ht="15.75" x14ac:dyDescent="0.25">
      <c r="B62" s="211" t="s">
        <v>278</v>
      </c>
      <c r="C62" s="85">
        <v>0.99</v>
      </c>
      <c r="D62"/>
      <c r="E62"/>
      <c r="F62"/>
      <c r="G62"/>
      <c r="H62"/>
      <c r="I62"/>
      <c r="K62"/>
      <c r="L62"/>
      <c r="M62"/>
      <c r="N62"/>
      <c r="O62"/>
      <c r="P62"/>
      <c r="Q62"/>
      <c r="R62"/>
      <c r="S62"/>
      <c r="T62"/>
      <c r="U62"/>
      <c r="V62"/>
    </row>
    <row r="63" spans="2:22" ht="15.75" x14ac:dyDescent="0.25">
      <c r="K63"/>
      <c r="L63">
        <v>2024</v>
      </c>
      <c r="M63">
        <v>2025</v>
      </c>
      <c r="N63">
        <v>2026</v>
      </c>
      <c r="O63"/>
      <c r="P63" s="211" t="s">
        <v>323</v>
      </c>
      <c r="Q63"/>
      <c r="R63"/>
      <c r="S63"/>
      <c r="T63"/>
      <c r="U63"/>
      <c r="V63"/>
    </row>
    <row r="64" spans="2:22" ht="15.75" x14ac:dyDescent="0.25">
      <c r="K64" s="211" t="s">
        <v>97</v>
      </c>
      <c r="L64" s="228">
        <f>Consolidado!E178</f>
        <v>0.15308273593147217</v>
      </c>
      <c r="M64" s="228">
        <f>Consolidado!F178</f>
        <v>0.15232332579646554</v>
      </c>
      <c r="N64" s="228">
        <f>Consolidado!G178</f>
        <v>0.14905197660573113</v>
      </c>
      <c r="O64" s="228"/>
      <c r="P64"/>
      <c r="Q64"/>
      <c r="R64"/>
      <c r="S64"/>
      <c r="T64"/>
      <c r="U64"/>
      <c r="V64"/>
    </row>
    <row r="65" spans="11:22" ht="15.75" x14ac:dyDescent="0.25">
      <c r="K65" s="211" t="s">
        <v>329</v>
      </c>
      <c r="L65" s="228">
        <f>Valoración!$C$59</f>
        <v>0.29772132069916291</v>
      </c>
      <c r="M65" s="228">
        <f>Valoración!$C$59</f>
        <v>0.29772132069916291</v>
      </c>
      <c r="N65" s="228">
        <f>Valoración!$C$59</f>
        <v>0.29772132069916291</v>
      </c>
      <c r="O65"/>
      <c r="P65"/>
      <c r="Q65"/>
      <c r="R65"/>
      <c r="S65"/>
      <c r="T65"/>
      <c r="U65"/>
      <c r="V65"/>
    </row>
    <row r="66" spans="11:22" ht="15.75" x14ac:dyDescent="0.25">
      <c r="K66" s="211" t="s">
        <v>58</v>
      </c>
      <c r="L66" s="158">
        <f>Consolidado!E92</f>
        <v>82246522.718615666</v>
      </c>
      <c r="M66" s="158">
        <f>Consolidado!F92</f>
        <v>97025818.005306542</v>
      </c>
      <c r="N66" s="158">
        <f>Consolidado!G92</f>
        <v>114020851.25985618</v>
      </c>
      <c r="O66"/>
      <c r="P66"/>
      <c r="Q66"/>
      <c r="R66"/>
      <c r="S66"/>
      <c r="T66"/>
      <c r="U66"/>
      <c r="V66"/>
    </row>
    <row r="67" spans="11:22" ht="15.75" x14ac:dyDescent="0.25">
      <c r="K67"/>
      <c r="L67"/>
      <c r="M67"/>
      <c r="N67"/>
      <c r="O67"/>
      <c r="P67"/>
      <c r="Q67"/>
      <c r="R67"/>
      <c r="S67"/>
      <c r="T67"/>
      <c r="U67"/>
      <c r="V67"/>
    </row>
    <row r="68" spans="11:22" ht="15.75" x14ac:dyDescent="0.25">
      <c r="K68"/>
      <c r="L68"/>
      <c r="M68"/>
      <c r="N68"/>
      <c r="O68"/>
      <c r="P68"/>
      <c r="Q68"/>
      <c r="R68"/>
      <c r="S68"/>
      <c r="T68"/>
      <c r="U68"/>
      <c r="V68"/>
    </row>
    <row r="69" spans="11:22" ht="15.75" x14ac:dyDescent="0.25">
      <c r="K69" s="231" t="s">
        <v>291</v>
      </c>
      <c r="L69" s="237">
        <f>(L64-L65)*L66</f>
        <v>-11896020.648084294</v>
      </c>
      <c r="M69" s="237">
        <f>(M64-M65)*M66</f>
        <v>-14107359.391765602</v>
      </c>
      <c r="N69" s="237">
        <f>(N64-N65)*N66</f>
        <v>-16951405.169777561</v>
      </c>
      <c r="O69"/>
      <c r="P69"/>
    </row>
    <row r="70" spans="11:22" ht="15.75" x14ac:dyDescent="0.25">
      <c r="K70"/>
      <c r="L70"/>
      <c r="M70"/>
      <c r="N70"/>
      <c r="O70"/>
      <c r="P70"/>
    </row>
  </sheetData>
  <sheetProtection algorithmName="SHA-512" hashValue="9P7DflC4lW+tPreX/F3BndOu+K9kVbcp/OQhMELfEbK7TXIzMJbFDO4w3hfMlXcZUQ/yHFpgb63YOA8qkS/+Pg==" saltValue="p2oFGyJW69EUO5IfRsd9MA==" spinCount="100000" sheet="1" formatCells="0" formatColumns="0" formatRows="0" insertColumns="0" insertRows="0" insertHyperlinks="0" deleteColumns="0" deleteRows="0" sort="0" autoFilter="0" pivotTables="0"/>
  <mergeCells count="2">
    <mergeCell ref="B42:G42"/>
    <mergeCell ref="K42:P42"/>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Datos </vt:lpstr>
      <vt:lpstr>B. General Análisis (2)</vt:lpstr>
      <vt:lpstr>Supuestos</vt:lpstr>
      <vt:lpstr>Consolidado</vt:lpstr>
      <vt:lpstr>Estado de Flujo de Efectivo (2)</vt:lpstr>
      <vt:lpstr>Estado de Flujo de Efectivo (3)</vt:lpstr>
      <vt:lpstr>EFE - Final</vt:lpstr>
      <vt:lpstr>EFE (2)</vt:lpstr>
      <vt:lpstr>Valoración</vt:lpstr>
      <vt:lpstr>EVA  - Oscar León (2)</vt:lpstr>
      <vt:lpstr>Hoja5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Verónica Sepúlveda Hernández</dc:creator>
  <cp:lastModifiedBy>Veronica Sepulveda Hernandez</cp:lastModifiedBy>
  <dcterms:created xsi:type="dcterms:W3CDTF">2025-03-19T00:46:26Z</dcterms:created>
  <dcterms:modified xsi:type="dcterms:W3CDTF">2025-05-27T15:53:17Z</dcterms:modified>
</cp:coreProperties>
</file>