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765" windowWidth="11520" windowHeight="4095" tabRatio="920" firstSheet="2" activeTab="2"/>
  </bookViews>
  <sheets>
    <sheet name="Supuestos" sheetId="15" r:id="rId1"/>
    <sheet name="EEFFHist" sheetId="12" r:id="rId2"/>
    <sheet name="EEFFPry+Valor" sheetId="14" r:id="rId3"/>
    <sheet name="A. Sensibilidad" sheetId="50" r:id="rId4"/>
    <sheet name="Opex" sheetId="26" r:id="rId5"/>
    <sheet name="Capex" sheetId="27" r:id="rId6"/>
    <sheet name="PryIngresos" sheetId="13" r:id="rId7"/>
    <sheet name="Accion" sheetId="52" r:id="rId8"/>
    <sheet name="HistIngresos" sheetId="21" r:id="rId9"/>
    <sheet name="HistGastos" sheetId="22" r:id="rId10"/>
    <sheet name="IngVSGst" sheetId="23" r:id="rId11"/>
    <sheet name="IngOp" sheetId="47" r:id="rId12"/>
    <sheet name="DistIngOp" sheetId="44" r:id="rId13"/>
    <sheet name="OR" sheetId="29" r:id="rId14"/>
    <sheet name="SAG" sheetId="32" r:id="rId15"/>
    <sheet name="DIS" sheetId="33" r:id="rId16"/>
    <sheet name="FWD" sheetId="34" r:id="rId17"/>
    <sheet name="MCP" sheetId="35" r:id="rId18"/>
    <sheet name="VF" sheetId="36" r:id="rId19"/>
    <sheet name="CDM" sheetId="37" r:id="rId20"/>
    <sheet name="Convenios" sheetId="38" r:id="rId21"/>
    <sheet name="Derivados" sheetId="41" r:id="rId22"/>
    <sheet name="Gas" sheetId="42" r:id="rId23"/>
    <sheet name="Transporte" sheetId="43" r:id="rId24"/>
    <sheet name="CO2" sheetId="40" r:id="rId25"/>
    <sheet name="GstOp" sheetId="48" r:id="rId26"/>
    <sheet name="DistGst" sheetId="53" r:id="rId27"/>
    <sheet name="EBITDA" sheetId="45" r:id="rId28"/>
    <sheet name="Margen EBITDA" sheetId="46" r:id="rId29"/>
    <sheet name="FCLpy" sheetId="51" r:id="rId30"/>
  </sheets>
  <externalReferences>
    <externalReference r:id="rId31"/>
  </externalReferences>
  <calcPr calcId="144525"/>
</workbook>
</file>

<file path=xl/calcChain.xml><?xml version="1.0" encoding="utf-8"?>
<calcChain xmlns="http://schemas.openxmlformats.org/spreadsheetml/2006/main">
  <c r="U252" i="14" l="1"/>
  <c r="U253" i="14" s="1"/>
  <c r="N229" i="14" l="1"/>
  <c r="D222" i="12"/>
  <c r="D239" i="12"/>
  <c r="X214" i="14"/>
  <c r="W214" i="14"/>
  <c r="AD214" i="14"/>
  <c r="AC214" i="14"/>
  <c r="AB214" i="14"/>
  <c r="AA214" i="14"/>
  <c r="Z214" i="14"/>
  <c r="Y214" i="14"/>
  <c r="AD215" i="14"/>
  <c r="AC215" i="14"/>
  <c r="AB215" i="14"/>
  <c r="AA215" i="14"/>
  <c r="Z215" i="14"/>
  <c r="Y215" i="14"/>
  <c r="X215" i="14"/>
  <c r="W215" i="14"/>
  <c r="D80" i="12"/>
  <c r="D124" i="12"/>
  <c r="AX174" i="14" l="1"/>
  <c r="D11" i="50" l="1"/>
  <c r="E11" i="15"/>
  <c r="D3" i="52" l="1"/>
  <c r="E42" i="13" l="1"/>
  <c r="E41" i="13"/>
  <c r="D228" i="12" l="1"/>
  <c r="D227" i="12"/>
  <c r="M4" i="15"/>
  <c r="M5" i="15"/>
  <c r="D43" i="50"/>
  <c r="B47" i="50"/>
  <c r="E47" i="50" s="1"/>
  <c r="B39" i="50"/>
  <c r="B35" i="50" s="1"/>
  <c r="F35" i="50" s="1"/>
  <c r="E43" i="50"/>
  <c r="F39" i="50"/>
  <c r="H39" i="50"/>
  <c r="J39" i="50"/>
  <c r="B51" i="50" l="1"/>
  <c r="K39" i="50"/>
  <c r="D39" i="50"/>
  <c r="D35" i="50"/>
  <c r="E35" i="50"/>
  <c r="J47" i="50"/>
  <c r="K47" i="50" s="1"/>
  <c r="H47" i="50"/>
  <c r="F47" i="50"/>
  <c r="J51" i="50"/>
  <c r="K51" i="50" s="1"/>
  <c r="H51" i="50"/>
  <c r="F51" i="50"/>
  <c r="D47" i="50"/>
  <c r="I47" i="50"/>
  <c r="G47" i="50"/>
  <c r="D51" i="50"/>
  <c r="I51" i="50"/>
  <c r="G51" i="50"/>
  <c r="E51" i="50"/>
  <c r="I35" i="50"/>
  <c r="G35" i="50"/>
  <c r="J35" i="50"/>
  <c r="H35" i="50"/>
  <c r="I39" i="50"/>
  <c r="G39" i="50"/>
  <c r="E39" i="50"/>
  <c r="J43" i="50"/>
  <c r="H43" i="50"/>
  <c r="F43" i="50"/>
  <c r="I43" i="50"/>
  <c r="G43" i="50"/>
  <c r="B15" i="50"/>
  <c r="B11" i="50" s="1"/>
  <c r="B7" i="50" s="1"/>
  <c r="J23" i="50"/>
  <c r="I23" i="50"/>
  <c r="H23" i="50"/>
  <c r="G23" i="50"/>
  <c r="F23" i="50"/>
  <c r="E23" i="50"/>
  <c r="D23" i="50"/>
  <c r="J19" i="50"/>
  <c r="I19" i="50"/>
  <c r="H19" i="50"/>
  <c r="G19" i="50"/>
  <c r="F19" i="50"/>
  <c r="E19" i="50"/>
  <c r="D19" i="50"/>
  <c r="J15" i="50"/>
  <c r="I15" i="50"/>
  <c r="H15" i="50"/>
  <c r="G15" i="50"/>
  <c r="F15" i="50"/>
  <c r="E15" i="50"/>
  <c r="D15" i="50"/>
  <c r="J11" i="50"/>
  <c r="I11" i="50"/>
  <c r="H11" i="50"/>
  <c r="G11" i="50"/>
  <c r="F11" i="50"/>
  <c r="E11" i="50"/>
  <c r="F7" i="50"/>
  <c r="G7" i="50"/>
  <c r="H7" i="50"/>
  <c r="I7" i="50"/>
  <c r="J7" i="50"/>
  <c r="E7" i="50"/>
  <c r="D7" i="50"/>
  <c r="K43" i="50" l="1"/>
  <c r="K35" i="50"/>
  <c r="K7" i="50"/>
  <c r="K11" i="50"/>
  <c r="K15" i="50"/>
  <c r="B19" i="50"/>
  <c r="B23" i="50" l="1"/>
  <c r="K23" i="50" s="1"/>
  <c r="K19" i="50"/>
  <c r="Q176" i="14" l="1"/>
  <c r="AX175" i="14"/>
  <c r="E41" i="27"/>
  <c r="N193" i="14"/>
  <c r="W193" i="14" s="1"/>
  <c r="N194" i="14"/>
  <c r="E92" i="26"/>
  <c r="G34" i="27"/>
  <c r="G25" i="27"/>
  <c r="G24" i="27"/>
  <c r="D9" i="27"/>
  <c r="D13" i="27"/>
  <c r="C38" i="27"/>
  <c r="AX193" i="14"/>
  <c r="AX194" i="14"/>
  <c r="AX195" i="14"/>
  <c r="AX196" i="14"/>
  <c r="AX197" i="14"/>
  <c r="AX198" i="14"/>
  <c r="AX199" i="14"/>
  <c r="AX200" i="14"/>
  <c r="AX201" i="14"/>
  <c r="AX202" i="14"/>
  <c r="AX203" i="14"/>
  <c r="AX204" i="14"/>
  <c r="AX205" i="14"/>
  <c r="AX206" i="14"/>
  <c r="AX207" i="14"/>
  <c r="AX208" i="14"/>
  <c r="AX209" i="14"/>
  <c r="AX210" i="14"/>
  <c r="AX211" i="14"/>
  <c r="O196" i="14"/>
  <c r="N178" i="14"/>
  <c r="N179" i="14"/>
  <c r="W159" i="14"/>
  <c r="W158" i="14"/>
  <c r="W156" i="14"/>
  <c r="W155" i="14"/>
  <c r="W154" i="14"/>
  <c r="O193" i="14" l="1"/>
  <c r="X193" i="14" s="1"/>
  <c r="AX177" i="14"/>
  <c r="AX178" i="14"/>
  <c r="AX179" i="14"/>
  <c r="AX180" i="14"/>
  <c r="AX181" i="14"/>
  <c r="AX182" i="14"/>
  <c r="AX183" i="14"/>
  <c r="AX184" i="14"/>
  <c r="AX185" i="14"/>
  <c r="AX186" i="14"/>
  <c r="AX187" i="14"/>
  <c r="AX188" i="14"/>
  <c r="AX189" i="14"/>
  <c r="AX190" i="14"/>
  <c r="AX191" i="14"/>
  <c r="AX192" i="14"/>
  <c r="AX176" i="14"/>
  <c r="E34" i="26"/>
  <c r="E35" i="26"/>
  <c r="F35" i="26" s="1"/>
  <c r="F36" i="26" s="1"/>
  <c r="O176" i="14" s="1"/>
  <c r="W196" i="14"/>
  <c r="N182" i="14"/>
  <c r="W182" i="14" s="1"/>
  <c r="N183" i="14"/>
  <c r="W183" i="14" s="1"/>
  <c r="W178" i="14"/>
  <c r="F34" i="26"/>
  <c r="X154" i="14"/>
  <c r="Y154" i="14"/>
  <c r="Z154" i="14"/>
  <c r="AA154" i="14"/>
  <c r="AB154" i="14"/>
  <c r="AC154" i="14"/>
  <c r="AD154" i="14"/>
  <c r="X155" i="14"/>
  <c r="Y155" i="14"/>
  <c r="Z155" i="14"/>
  <c r="AA155" i="14"/>
  <c r="AB155" i="14"/>
  <c r="AC155" i="14"/>
  <c r="AD155" i="14"/>
  <c r="X156" i="14"/>
  <c r="Y156" i="14"/>
  <c r="Z156" i="14"/>
  <c r="AA156" i="14"/>
  <c r="AB156" i="14"/>
  <c r="AC156" i="14"/>
  <c r="AD156" i="14"/>
  <c r="X158" i="14"/>
  <c r="Y158" i="14"/>
  <c r="Z158" i="14"/>
  <c r="AA158" i="14"/>
  <c r="AB158" i="14"/>
  <c r="AC158" i="14"/>
  <c r="AD158" i="14"/>
  <c r="X159" i="14"/>
  <c r="Y159" i="14"/>
  <c r="Z159" i="14"/>
  <c r="AA159" i="14"/>
  <c r="AB159" i="14"/>
  <c r="AC159" i="14"/>
  <c r="AD159" i="14"/>
  <c r="L29" i="27" l="1"/>
  <c r="K29" i="27"/>
  <c r="J29" i="27"/>
  <c r="I29" i="27"/>
  <c r="F29" i="27"/>
  <c r="E29" i="27"/>
  <c r="D29" i="27"/>
  <c r="C29" i="27"/>
  <c r="E30" i="26" l="1"/>
  <c r="C34" i="26"/>
  <c r="B92" i="26"/>
  <c r="B93" i="26" s="1"/>
  <c r="B87" i="26"/>
  <c r="B88" i="26"/>
  <c r="B89" i="26"/>
  <c r="B86" i="26"/>
  <c r="B38" i="27"/>
  <c r="B80" i="26"/>
  <c r="E31" i="26"/>
  <c r="B90" i="26" l="1"/>
  <c r="K16" i="13" l="1"/>
  <c r="K15" i="13"/>
  <c r="F40" i="13" l="1"/>
  <c r="Y17" i="13"/>
  <c r="Y18" i="13"/>
  <c r="Y19" i="13"/>
  <c r="Y20" i="13"/>
  <c r="Y21" i="13"/>
  <c r="W17" i="13"/>
  <c r="W18" i="13"/>
  <c r="W19" i="13"/>
  <c r="W20" i="13"/>
  <c r="W21" i="13"/>
  <c r="U17" i="13"/>
  <c r="U18" i="13"/>
  <c r="U19" i="13"/>
  <c r="U20" i="13"/>
  <c r="U21" i="13"/>
  <c r="Y16" i="13"/>
  <c r="W16" i="13"/>
  <c r="U16" i="13"/>
  <c r="S17" i="13"/>
  <c r="S18" i="13"/>
  <c r="S19" i="13"/>
  <c r="S20" i="13"/>
  <c r="S21" i="13"/>
  <c r="S16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7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5" i="13"/>
  <c r="K13" i="13"/>
  <c r="K14" i="13"/>
  <c r="K17" i="13"/>
  <c r="K18" i="13"/>
  <c r="K19" i="13"/>
  <c r="K20" i="13"/>
  <c r="K21" i="13"/>
  <c r="K12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5" i="13"/>
  <c r="E14" i="13"/>
  <c r="E13" i="13"/>
  <c r="E12" i="13"/>
  <c r="E15" i="13"/>
  <c r="E16" i="13"/>
  <c r="E17" i="13"/>
  <c r="E18" i="13"/>
  <c r="E19" i="13"/>
  <c r="E20" i="13"/>
  <c r="E21" i="13"/>
  <c r="C6" i="13"/>
  <c r="C7" i="13"/>
  <c r="C8" i="13"/>
  <c r="C5" i="13"/>
  <c r="C14" i="13"/>
  <c r="C21" i="13"/>
  <c r="C20" i="13"/>
  <c r="C19" i="13"/>
  <c r="C18" i="13"/>
  <c r="C17" i="13"/>
  <c r="C16" i="13"/>
  <c r="C15" i="13"/>
  <c r="C10" i="13"/>
  <c r="C11" i="13"/>
  <c r="C12" i="13"/>
  <c r="C13" i="13"/>
  <c r="C9" i="13"/>
  <c r="Z30" i="13" l="1"/>
  <c r="Z31" i="13"/>
  <c r="Z32" i="13"/>
  <c r="Z33" i="13"/>
  <c r="Z34" i="13"/>
  <c r="Z35" i="13"/>
  <c r="Z36" i="13"/>
  <c r="Z37" i="13"/>
  <c r="Z38" i="13"/>
  <c r="Z39" i="13"/>
  <c r="N252" i="14"/>
  <c r="F8" i="15" l="1"/>
  <c r="D5" i="27"/>
  <c r="B29" i="27"/>
  <c r="D17" i="27"/>
  <c r="D16" i="27"/>
  <c r="H13" i="27"/>
  <c r="D12" i="27"/>
  <c r="L41" i="27" s="1"/>
  <c r="L92" i="26" s="1"/>
  <c r="D8" i="27"/>
  <c r="L37" i="27" s="1"/>
  <c r="D7" i="27"/>
  <c r="L36" i="27" s="1"/>
  <c r="L88" i="26" s="1"/>
  <c r="D6" i="27"/>
  <c r="L35" i="27" s="1"/>
  <c r="L87" i="26" s="1"/>
  <c r="G35" i="26"/>
  <c r="H35" i="26" s="1"/>
  <c r="I35" i="26" s="1"/>
  <c r="J35" i="26" s="1"/>
  <c r="L93" i="26"/>
  <c r="L74" i="26"/>
  <c r="K74" i="26"/>
  <c r="J74" i="26"/>
  <c r="I74" i="26"/>
  <c r="H74" i="26"/>
  <c r="G74" i="26"/>
  <c r="F74" i="26"/>
  <c r="E74" i="26"/>
  <c r="D74" i="26"/>
  <c r="C74" i="26"/>
  <c r="B74" i="26"/>
  <c r="L69" i="26"/>
  <c r="K69" i="26"/>
  <c r="J69" i="26"/>
  <c r="I69" i="26"/>
  <c r="H69" i="26"/>
  <c r="G69" i="26"/>
  <c r="F69" i="26"/>
  <c r="E69" i="26"/>
  <c r="D69" i="26"/>
  <c r="C69" i="26"/>
  <c r="B69" i="26"/>
  <c r="L67" i="26"/>
  <c r="K67" i="26"/>
  <c r="J67" i="26"/>
  <c r="I67" i="26"/>
  <c r="H67" i="26"/>
  <c r="G67" i="26"/>
  <c r="F67" i="26"/>
  <c r="E67" i="26"/>
  <c r="D67" i="26"/>
  <c r="C67" i="26"/>
  <c r="B67" i="26"/>
  <c r="L60" i="26"/>
  <c r="K60" i="26"/>
  <c r="J60" i="26"/>
  <c r="I60" i="26"/>
  <c r="H60" i="26"/>
  <c r="G60" i="26"/>
  <c r="F60" i="26"/>
  <c r="E60" i="26"/>
  <c r="D60" i="26"/>
  <c r="C60" i="26"/>
  <c r="B60" i="26"/>
  <c r="L58" i="26"/>
  <c r="K58" i="26"/>
  <c r="J58" i="26"/>
  <c r="I58" i="26"/>
  <c r="H58" i="26"/>
  <c r="G58" i="26"/>
  <c r="F58" i="26"/>
  <c r="E58" i="26"/>
  <c r="D58" i="26"/>
  <c r="C58" i="26"/>
  <c r="B58" i="26"/>
  <c r="B56" i="26"/>
  <c r="C55" i="26"/>
  <c r="D55" i="26" s="1"/>
  <c r="E55" i="26" s="1"/>
  <c r="F55" i="26" s="1"/>
  <c r="G55" i="26" s="1"/>
  <c r="H55" i="26" s="1"/>
  <c r="I55" i="26" s="1"/>
  <c r="J55" i="26" s="1"/>
  <c r="K55" i="26" s="1"/>
  <c r="L55" i="26" s="1"/>
  <c r="C54" i="26"/>
  <c r="L51" i="26"/>
  <c r="K51" i="26"/>
  <c r="J51" i="26"/>
  <c r="I51" i="26"/>
  <c r="H51" i="26"/>
  <c r="G51" i="26"/>
  <c r="F51" i="26"/>
  <c r="E51" i="26"/>
  <c r="D51" i="26"/>
  <c r="C51" i="26"/>
  <c r="B51" i="26"/>
  <c r="L50" i="26"/>
  <c r="K50" i="26"/>
  <c r="J50" i="26"/>
  <c r="I50" i="26"/>
  <c r="H50" i="26"/>
  <c r="G50" i="26"/>
  <c r="F50" i="26"/>
  <c r="E50" i="26"/>
  <c r="D50" i="26"/>
  <c r="C50" i="26"/>
  <c r="B50" i="26"/>
  <c r="L48" i="26"/>
  <c r="K48" i="26"/>
  <c r="J48" i="26"/>
  <c r="I48" i="26"/>
  <c r="H48" i="26"/>
  <c r="G48" i="26"/>
  <c r="F48" i="26"/>
  <c r="E48" i="26"/>
  <c r="D48" i="26"/>
  <c r="C48" i="26"/>
  <c r="B48" i="26"/>
  <c r="L40" i="26"/>
  <c r="K40" i="26"/>
  <c r="J40" i="26"/>
  <c r="I40" i="26"/>
  <c r="H40" i="26"/>
  <c r="G40" i="26"/>
  <c r="F40" i="26"/>
  <c r="E40" i="26"/>
  <c r="D40" i="26"/>
  <c r="C40" i="26"/>
  <c r="B40" i="26"/>
  <c r="L39" i="26"/>
  <c r="K39" i="26"/>
  <c r="J39" i="26"/>
  <c r="I39" i="26"/>
  <c r="H39" i="26"/>
  <c r="G39" i="26"/>
  <c r="F39" i="26"/>
  <c r="E39" i="26"/>
  <c r="D39" i="26"/>
  <c r="C39" i="26"/>
  <c r="B39" i="26"/>
  <c r="L38" i="26"/>
  <c r="K38" i="26"/>
  <c r="J38" i="26"/>
  <c r="I38" i="26"/>
  <c r="H38" i="26"/>
  <c r="G38" i="26"/>
  <c r="F38" i="26"/>
  <c r="E38" i="26"/>
  <c r="D38" i="26"/>
  <c r="C38" i="26"/>
  <c r="B38" i="26"/>
  <c r="E32" i="26"/>
  <c r="L28" i="26"/>
  <c r="K28" i="26"/>
  <c r="J28" i="26"/>
  <c r="I28" i="26"/>
  <c r="H28" i="26"/>
  <c r="G28" i="26"/>
  <c r="F28" i="26"/>
  <c r="E28" i="26"/>
  <c r="D28" i="26"/>
  <c r="C28" i="26"/>
  <c r="B28" i="26"/>
  <c r="F30" i="26" l="1"/>
  <c r="F31" i="26"/>
  <c r="F32" i="26" s="1"/>
  <c r="L34" i="27"/>
  <c r="L86" i="26" s="1"/>
  <c r="G8" i="15"/>
  <c r="L38" i="27"/>
  <c r="L89" i="26"/>
  <c r="L90" i="26" s="1"/>
  <c r="B43" i="26"/>
  <c r="D43" i="26"/>
  <c r="F43" i="26"/>
  <c r="H43" i="26"/>
  <c r="J43" i="26"/>
  <c r="L43" i="26"/>
  <c r="B52" i="26"/>
  <c r="D52" i="26"/>
  <c r="F52" i="26"/>
  <c r="H52" i="26"/>
  <c r="J52" i="26"/>
  <c r="L52" i="26"/>
  <c r="C52" i="26"/>
  <c r="E52" i="26"/>
  <c r="G52" i="26"/>
  <c r="I52" i="26"/>
  <c r="K52" i="26"/>
  <c r="E36" i="26"/>
  <c r="N176" i="14" s="1"/>
  <c r="D18" i="27"/>
  <c r="H29" i="27"/>
  <c r="G27" i="27"/>
  <c r="G29" i="27" s="1"/>
  <c r="I6" i="27" s="1"/>
  <c r="E34" i="27"/>
  <c r="E86" i="26" s="1"/>
  <c r="G86" i="26"/>
  <c r="I34" i="27"/>
  <c r="I86" i="26" s="1"/>
  <c r="K34" i="27"/>
  <c r="K86" i="26" s="1"/>
  <c r="E35" i="27"/>
  <c r="E87" i="26" s="1"/>
  <c r="G35" i="27"/>
  <c r="G87" i="26" s="1"/>
  <c r="I35" i="27"/>
  <c r="I87" i="26" s="1"/>
  <c r="K35" i="27"/>
  <c r="K87" i="26" s="1"/>
  <c r="C36" i="27"/>
  <c r="C88" i="26" s="1"/>
  <c r="E36" i="27"/>
  <c r="E88" i="26" s="1"/>
  <c r="G36" i="27"/>
  <c r="G88" i="26" s="1"/>
  <c r="I36" i="27"/>
  <c r="I88" i="26" s="1"/>
  <c r="K36" i="27"/>
  <c r="K88" i="26" s="1"/>
  <c r="C37" i="27"/>
  <c r="E37" i="27"/>
  <c r="G37" i="27"/>
  <c r="I37" i="27"/>
  <c r="K37" i="27"/>
  <c r="E93" i="26"/>
  <c r="G41" i="27"/>
  <c r="G92" i="26" s="1"/>
  <c r="G93" i="26" s="1"/>
  <c r="I41" i="27"/>
  <c r="I92" i="26" s="1"/>
  <c r="I93" i="26" s="1"/>
  <c r="K41" i="27"/>
  <c r="K92" i="26" s="1"/>
  <c r="K93" i="26" s="1"/>
  <c r="D86" i="26"/>
  <c r="F34" i="27"/>
  <c r="F86" i="26" s="1"/>
  <c r="H34" i="27"/>
  <c r="H86" i="26" s="1"/>
  <c r="J34" i="27"/>
  <c r="J86" i="26" s="1"/>
  <c r="D87" i="26"/>
  <c r="F35" i="27"/>
  <c r="F87" i="26" s="1"/>
  <c r="H35" i="27"/>
  <c r="H87" i="26" s="1"/>
  <c r="J35" i="27"/>
  <c r="J87" i="26" s="1"/>
  <c r="D36" i="27"/>
  <c r="D88" i="26" s="1"/>
  <c r="F36" i="27"/>
  <c r="F88" i="26" s="1"/>
  <c r="H36" i="27"/>
  <c r="H88" i="26" s="1"/>
  <c r="J36" i="27"/>
  <c r="J88" i="26" s="1"/>
  <c r="D37" i="27"/>
  <c r="F37" i="27"/>
  <c r="H37" i="27"/>
  <c r="J37" i="27"/>
  <c r="D92" i="26"/>
  <c r="D93" i="26" s="1"/>
  <c r="F41" i="27"/>
  <c r="F92" i="26" s="1"/>
  <c r="F93" i="26" s="1"/>
  <c r="H41" i="27"/>
  <c r="H92" i="26" s="1"/>
  <c r="H93" i="26" s="1"/>
  <c r="J41" i="27"/>
  <c r="J92" i="26" s="1"/>
  <c r="J93" i="26" s="1"/>
  <c r="C56" i="26"/>
  <c r="C43" i="26"/>
  <c r="E43" i="26"/>
  <c r="G43" i="26"/>
  <c r="I43" i="26"/>
  <c r="K43" i="26"/>
  <c r="D54" i="26"/>
  <c r="D56" i="26" s="1"/>
  <c r="B34" i="26"/>
  <c r="N177" i="14" l="1"/>
  <c r="W177" i="14" s="1"/>
  <c r="W176" i="14"/>
  <c r="C100" i="26"/>
  <c r="C86" i="26"/>
  <c r="X176" i="14"/>
  <c r="C101" i="26"/>
  <c r="C87" i="26"/>
  <c r="G30" i="26"/>
  <c r="G34" i="26" s="1"/>
  <c r="G36" i="26" s="1"/>
  <c r="P176" i="14" s="1"/>
  <c r="Y176" i="14" s="1"/>
  <c r="G31" i="26"/>
  <c r="G32" i="26" s="1"/>
  <c r="H8" i="15"/>
  <c r="C104" i="26"/>
  <c r="D104" i="26" s="1"/>
  <c r="E104" i="26" s="1"/>
  <c r="F104" i="26" s="1"/>
  <c r="G104" i="26" s="1"/>
  <c r="H104" i="26" s="1"/>
  <c r="I104" i="26" s="1"/>
  <c r="J104" i="26" s="1"/>
  <c r="K104" i="26" s="1"/>
  <c r="L104" i="26" s="1"/>
  <c r="C92" i="26"/>
  <c r="C93" i="26" s="1"/>
  <c r="W194" i="14"/>
  <c r="D89" i="26"/>
  <c r="D90" i="26" s="1"/>
  <c r="K38" i="27"/>
  <c r="K89" i="26"/>
  <c r="K90" i="26" s="1"/>
  <c r="G38" i="27"/>
  <c r="G89" i="26"/>
  <c r="G90" i="26" s="1"/>
  <c r="C89" i="26"/>
  <c r="H38" i="27"/>
  <c r="H89" i="26"/>
  <c r="H90" i="26" s="1"/>
  <c r="J38" i="27"/>
  <c r="J89" i="26"/>
  <c r="J90" i="26" s="1"/>
  <c r="F38" i="27"/>
  <c r="F89" i="26"/>
  <c r="F90" i="26" s="1"/>
  <c r="I38" i="27"/>
  <c r="I89" i="26"/>
  <c r="I90" i="26" s="1"/>
  <c r="E38" i="27"/>
  <c r="E89" i="26"/>
  <c r="E90" i="26" s="1"/>
  <c r="B95" i="26"/>
  <c r="H5" i="27"/>
  <c r="E54" i="26"/>
  <c r="F54" i="26" s="1"/>
  <c r="C90" i="26" l="1"/>
  <c r="I8" i="15"/>
  <c r="H30" i="26"/>
  <c r="H31" i="26"/>
  <c r="H32" i="26" s="1"/>
  <c r="D101" i="26"/>
  <c r="C77" i="26"/>
  <c r="C76" i="26"/>
  <c r="C105" i="26"/>
  <c r="D100" i="26"/>
  <c r="B56" i="27"/>
  <c r="H4" i="27"/>
  <c r="E56" i="26"/>
  <c r="F56" i="26"/>
  <c r="G54" i="26"/>
  <c r="B50" i="27" l="1"/>
  <c r="C50" i="27" s="1"/>
  <c r="D76" i="26"/>
  <c r="D105" i="26"/>
  <c r="E100" i="26"/>
  <c r="C80" i="26"/>
  <c r="C95" i="26" s="1"/>
  <c r="J8" i="15"/>
  <c r="I30" i="26"/>
  <c r="I34" i="26" s="1"/>
  <c r="I36" i="26" s="1"/>
  <c r="R176" i="14" s="1"/>
  <c r="I31" i="26"/>
  <c r="I32" i="26" s="1"/>
  <c r="E101" i="26"/>
  <c r="D77" i="26"/>
  <c r="H34" i="26"/>
  <c r="H36" i="26" s="1"/>
  <c r="Z176" i="14" s="1"/>
  <c r="G56" i="26"/>
  <c r="H54" i="26"/>
  <c r="AA176" i="14" l="1"/>
  <c r="C51" i="27"/>
  <c r="K51" i="27"/>
  <c r="G51" i="27"/>
  <c r="L51" i="27"/>
  <c r="H51" i="27"/>
  <c r="D51" i="27"/>
  <c r="C53" i="27"/>
  <c r="I51" i="27"/>
  <c r="E51" i="27"/>
  <c r="J51" i="27"/>
  <c r="F51" i="27"/>
  <c r="F101" i="26"/>
  <c r="E77" i="26"/>
  <c r="K8" i="15"/>
  <c r="J30" i="26"/>
  <c r="J31" i="26"/>
  <c r="J32" i="26" s="1"/>
  <c r="F100" i="26"/>
  <c r="E76" i="26"/>
  <c r="E80" i="26" s="1"/>
  <c r="E95" i="26" s="1"/>
  <c r="E105" i="26"/>
  <c r="D80" i="26"/>
  <c r="D95" i="26" s="1"/>
  <c r="C52" i="27"/>
  <c r="C54" i="27" s="1"/>
  <c r="D50" i="27" s="1"/>
  <c r="D53" i="27" s="1"/>
  <c r="D52" i="27" s="1"/>
  <c r="D54" i="27" s="1"/>
  <c r="E50" i="27" s="1"/>
  <c r="H56" i="26"/>
  <c r="I54" i="26"/>
  <c r="K30" i="26" l="1"/>
  <c r="K31" i="26"/>
  <c r="K32" i="26" s="1"/>
  <c r="F76" i="26"/>
  <c r="G100" i="26"/>
  <c r="F105" i="26"/>
  <c r="J34" i="26"/>
  <c r="J36" i="26" s="1"/>
  <c r="S176" i="14" s="1"/>
  <c r="AB176" i="14" s="1"/>
  <c r="F77" i="26"/>
  <c r="G101" i="26"/>
  <c r="E53" i="27"/>
  <c r="E52" i="27" s="1"/>
  <c r="E54" i="27" s="1"/>
  <c r="F50" i="27" s="1"/>
  <c r="I56" i="26"/>
  <c r="J54" i="26"/>
  <c r="G105" i="26" l="1"/>
  <c r="G77" i="26"/>
  <c r="H101" i="26"/>
  <c r="H100" i="26"/>
  <c r="G76" i="26"/>
  <c r="F80" i="26"/>
  <c r="F95" i="26" s="1"/>
  <c r="K34" i="26"/>
  <c r="F53" i="27"/>
  <c r="F52" i="27" s="1"/>
  <c r="F54" i="27" s="1"/>
  <c r="G50" i="27" s="1"/>
  <c r="J56" i="26"/>
  <c r="K54" i="26"/>
  <c r="G80" i="26" l="1"/>
  <c r="G95" i="26" s="1"/>
  <c r="I100" i="26"/>
  <c r="H76" i="26"/>
  <c r="H105" i="26"/>
  <c r="I101" i="26"/>
  <c r="H77" i="26"/>
  <c r="G53" i="27"/>
  <c r="G52" i="27" s="1"/>
  <c r="G54" i="27" s="1"/>
  <c r="H50" i="27" s="1"/>
  <c r="K56" i="26"/>
  <c r="L54" i="26"/>
  <c r="L56" i="26" s="1"/>
  <c r="H80" i="26" l="1"/>
  <c r="H95" i="26" s="1"/>
  <c r="J100" i="26"/>
  <c r="I76" i="26"/>
  <c r="I105" i="26"/>
  <c r="J101" i="26"/>
  <c r="I77" i="26"/>
  <c r="H53" i="27"/>
  <c r="H52" i="27" s="1"/>
  <c r="H54" i="27" s="1"/>
  <c r="I50" i="27" s="1"/>
  <c r="I80" i="26" l="1"/>
  <c r="I95" i="26" s="1"/>
  <c r="K100" i="26"/>
  <c r="J76" i="26"/>
  <c r="J105" i="26"/>
  <c r="J77" i="26"/>
  <c r="K101" i="26"/>
  <c r="J80" i="26"/>
  <c r="J95" i="26" s="1"/>
  <c r="I53" i="27"/>
  <c r="I52" i="27" s="1"/>
  <c r="I54" i="27" s="1"/>
  <c r="J50" i="27" s="1"/>
  <c r="L101" i="26" l="1"/>
  <c r="L77" i="26" s="1"/>
  <c r="K77" i="26"/>
  <c r="L100" i="26"/>
  <c r="K76" i="26"/>
  <c r="K105" i="26"/>
  <c r="J53" i="27"/>
  <c r="J52" i="27" s="1"/>
  <c r="J54" i="27" s="1"/>
  <c r="K50" i="27" s="1"/>
  <c r="K80" i="26" l="1"/>
  <c r="K95" i="26" s="1"/>
  <c r="L76" i="26"/>
  <c r="L105" i="26"/>
  <c r="L80" i="26"/>
  <c r="K53" i="27"/>
  <c r="K52" i="27" s="1"/>
  <c r="K54" i="27" s="1"/>
  <c r="L50" i="27" s="1"/>
  <c r="L53" i="27" l="1"/>
  <c r="L52" i="27" s="1"/>
  <c r="L54" i="27" s="1"/>
  <c r="K10" i="15" l="1"/>
  <c r="L10" i="15" s="1"/>
  <c r="O194" i="14"/>
  <c r="X194" i="14" s="1"/>
  <c r="N184" i="14"/>
  <c r="W184" i="14" s="1"/>
  <c r="N192" i="14"/>
  <c r="W192" i="14" s="1"/>
  <c r="N189" i="14"/>
  <c r="W189" i="14" s="1"/>
  <c r="N187" i="14"/>
  <c r="W187" i="14" s="1"/>
  <c r="N186" i="14"/>
  <c r="W186" i="14" s="1"/>
  <c r="N185" i="14"/>
  <c r="W185" i="14" s="1"/>
  <c r="O184" i="14"/>
  <c r="O177" i="14" l="1"/>
  <c r="X177" i="14" s="1"/>
  <c r="O185" i="14"/>
  <c r="O187" i="14"/>
  <c r="O192" i="14"/>
  <c r="P193" i="14"/>
  <c r="Y193" i="14" s="1"/>
  <c r="P196" i="14"/>
  <c r="X196" i="14"/>
  <c r="P184" i="14"/>
  <c r="X184" i="14"/>
  <c r="O186" i="14"/>
  <c r="O189" i="14"/>
  <c r="P194" i="14"/>
  <c r="Y194" i="14" s="1"/>
  <c r="O252" i="14"/>
  <c r="M248" i="14"/>
  <c r="P189" i="14" l="1"/>
  <c r="X189" i="14"/>
  <c r="P192" i="14"/>
  <c r="X192" i="14"/>
  <c r="P185" i="14"/>
  <c r="X185" i="14"/>
  <c r="P177" i="14"/>
  <c r="Q194" i="14"/>
  <c r="Z194" i="14" s="1"/>
  <c r="P186" i="14"/>
  <c r="X186" i="14"/>
  <c r="Q184" i="14"/>
  <c r="Y184" i="14"/>
  <c r="Q196" i="14"/>
  <c r="Y196" i="14"/>
  <c r="Q193" i="14"/>
  <c r="Z193" i="14" s="1"/>
  <c r="P187" i="14"/>
  <c r="X187" i="14"/>
  <c r="F242" i="12"/>
  <c r="G242" i="12"/>
  <c r="H242" i="12"/>
  <c r="I242" i="12"/>
  <c r="J242" i="12"/>
  <c r="K242" i="12"/>
  <c r="L242" i="12"/>
  <c r="M242" i="12"/>
  <c r="E242" i="12"/>
  <c r="D242" i="12"/>
  <c r="V160" i="12"/>
  <c r="Q187" i="14" l="1"/>
  <c r="Y187" i="14"/>
  <c r="R193" i="14"/>
  <c r="AA193" i="14" s="1"/>
  <c r="R196" i="14"/>
  <c r="Z196" i="14"/>
  <c r="R184" i="14"/>
  <c r="Z184" i="14"/>
  <c r="Q186" i="14"/>
  <c r="Y186" i="14"/>
  <c r="R194" i="14"/>
  <c r="AA194" i="14" s="1"/>
  <c r="Q192" i="14"/>
  <c r="Y192" i="14"/>
  <c r="Q177" i="14"/>
  <c r="Y177" i="14"/>
  <c r="Q185" i="14"/>
  <c r="Y185" i="14"/>
  <c r="Q189" i="14"/>
  <c r="Y189" i="14"/>
  <c r="X41" i="13"/>
  <c r="X42" i="13"/>
  <c r="X43" i="13"/>
  <c r="X44" i="13"/>
  <c r="X45" i="13"/>
  <c r="X46" i="13"/>
  <c r="X47" i="13"/>
  <c r="X40" i="13"/>
  <c r="V41" i="13"/>
  <c r="V42" i="13"/>
  <c r="V43" i="13"/>
  <c r="V44" i="13"/>
  <c r="V45" i="13"/>
  <c r="V46" i="13"/>
  <c r="V47" i="13"/>
  <c r="V40" i="13"/>
  <c r="T41" i="13"/>
  <c r="T42" i="13"/>
  <c r="T43" i="13"/>
  <c r="T44" i="13"/>
  <c r="T45" i="13"/>
  <c r="T46" i="13"/>
  <c r="T47" i="13"/>
  <c r="T40" i="13"/>
  <c r="R41" i="13"/>
  <c r="R42" i="13"/>
  <c r="R43" i="13"/>
  <c r="R44" i="13"/>
  <c r="R45" i="13"/>
  <c r="R46" i="13"/>
  <c r="R47" i="13"/>
  <c r="R40" i="13"/>
  <c r="P40" i="13"/>
  <c r="R189" i="14" l="1"/>
  <c r="Z189" i="14"/>
  <c r="R185" i="14"/>
  <c r="Z185" i="14"/>
  <c r="R177" i="14"/>
  <c r="Z177" i="14"/>
  <c r="R192" i="14"/>
  <c r="Z192" i="14"/>
  <c r="S194" i="14"/>
  <c r="AB194" i="14" s="1"/>
  <c r="R186" i="14"/>
  <c r="Z186" i="14"/>
  <c r="S184" i="14"/>
  <c r="AA184" i="14"/>
  <c r="S196" i="14"/>
  <c r="AB196" i="14" s="1"/>
  <c r="AA196" i="14"/>
  <c r="S193" i="14"/>
  <c r="AB193" i="14" s="1"/>
  <c r="R187" i="14"/>
  <c r="Z187" i="14"/>
  <c r="N40" i="13"/>
  <c r="B30" i="13"/>
  <c r="B40" i="13"/>
  <c r="S187" i="14" l="1"/>
  <c r="AA187" i="14"/>
  <c r="AB184" i="14"/>
  <c r="S186" i="14"/>
  <c r="AA186" i="14"/>
  <c r="S192" i="14"/>
  <c r="AA192" i="14"/>
  <c r="S177" i="14"/>
  <c r="AA177" i="14"/>
  <c r="S185" i="14"/>
  <c r="AA185" i="14"/>
  <c r="S189" i="14"/>
  <c r="AA189" i="14"/>
  <c r="V137" i="12"/>
  <c r="L137" i="12"/>
  <c r="N143" i="14"/>
  <c r="N141" i="14" s="1"/>
  <c r="AB189" i="14" l="1"/>
  <c r="AB185" i="14"/>
  <c r="AB177" i="14"/>
  <c r="AB192" i="14"/>
  <c r="AB186" i="14"/>
  <c r="AB187" i="14"/>
  <c r="M138" i="12"/>
  <c r="P31" i="13" l="1"/>
  <c r="P32" i="13"/>
  <c r="P33" i="13"/>
  <c r="P34" i="13"/>
  <c r="P35" i="13"/>
  <c r="P36" i="13"/>
  <c r="P37" i="13"/>
  <c r="P38" i="13"/>
  <c r="P39" i="13"/>
  <c r="P30" i="13"/>
  <c r="N37" i="13"/>
  <c r="N38" i="13"/>
  <c r="N39" i="13"/>
  <c r="N31" i="13"/>
  <c r="N32" i="13"/>
  <c r="N33" i="13"/>
  <c r="N34" i="13"/>
  <c r="N35" i="13"/>
  <c r="N36" i="13"/>
  <c r="N30" i="13"/>
  <c r="L32" i="13"/>
  <c r="L33" i="13"/>
  <c r="L34" i="13"/>
  <c r="L35" i="13"/>
  <c r="L36" i="13"/>
  <c r="L37" i="13"/>
  <c r="L38" i="13"/>
  <c r="L39" i="13"/>
  <c r="L31" i="13"/>
  <c r="L30" i="13"/>
  <c r="J47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30" i="13"/>
  <c r="H31" i="13"/>
  <c r="H32" i="13"/>
  <c r="H33" i="13"/>
  <c r="H34" i="13"/>
  <c r="H35" i="13"/>
  <c r="H36" i="13"/>
  <c r="H37" i="13"/>
  <c r="H38" i="13"/>
  <c r="H39" i="13"/>
  <c r="H30" i="13"/>
  <c r="F31" i="13"/>
  <c r="F32" i="13"/>
  <c r="F33" i="13"/>
  <c r="F34" i="13"/>
  <c r="F35" i="13"/>
  <c r="F36" i="13"/>
  <c r="F37" i="13"/>
  <c r="F38" i="13"/>
  <c r="F39" i="13"/>
  <c r="F30" i="13"/>
  <c r="D39" i="13"/>
  <c r="D38" i="13"/>
  <c r="D37" i="13"/>
  <c r="D31" i="13"/>
  <c r="D32" i="13"/>
  <c r="D33" i="13"/>
  <c r="D34" i="13"/>
  <c r="D35" i="13"/>
  <c r="D36" i="13"/>
  <c r="D30" i="13"/>
  <c r="Y30" i="13" s="1"/>
  <c r="B43" i="13"/>
  <c r="B44" i="13"/>
  <c r="B45" i="13"/>
  <c r="B46" i="13"/>
  <c r="B47" i="13"/>
  <c r="B42" i="13"/>
  <c r="B41" i="13"/>
  <c r="B33" i="13"/>
  <c r="B34" i="13"/>
  <c r="B35" i="13"/>
  <c r="B36" i="13"/>
  <c r="B37" i="13"/>
  <c r="B38" i="13"/>
  <c r="B39" i="13"/>
  <c r="B32" i="13"/>
  <c r="B31" i="13"/>
  <c r="AB32" i="13" l="1"/>
  <c r="Y32" i="13"/>
  <c r="AB38" i="13"/>
  <c r="Y38" i="13"/>
  <c r="AB34" i="13"/>
  <c r="Y34" i="13"/>
  <c r="AB31" i="13"/>
  <c r="Y31" i="13"/>
  <c r="Y39" i="13"/>
  <c r="Y37" i="13"/>
  <c r="Y35" i="13"/>
  <c r="Y33" i="13"/>
  <c r="AB36" i="13"/>
  <c r="Y36" i="13"/>
  <c r="AB39" i="13"/>
  <c r="AB37" i="13"/>
  <c r="AB35" i="13"/>
  <c r="AB33" i="13"/>
  <c r="AB30" i="13"/>
  <c r="M39" i="14"/>
  <c r="M141" i="14"/>
  <c r="AF28" i="13" l="1"/>
  <c r="AF27" i="13"/>
  <c r="P252" i="14"/>
  <c r="Q252" i="14"/>
  <c r="R252" i="14"/>
  <c r="S252" i="14"/>
  <c r="M225" i="14"/>
  <c r="M224" i="14"/>
  <c r="M234" i="14"/>
  <c r="M233" i="14"/>
  <c r="M223" i="14" l="1"/>
  <c r="M242" i="14"/>
  <c r="M244" i="14"/>
  <c r="M243" i="14"/>
  <c r="AI47" i="12" l="1"/>
  <c r="Y143" i="12"/>
  <c r="Y144" i="12"/>
  <c r="X143" i="12"/>
  <c r="X144" i="12"/>
  <c r="L141" i="14"/>
  <c r="M63" i="14"/>
  <c r="M7" i="14"/>
  <c r="T252" i="14"/>
  <c r="K9" i="15"/>
  <c r="L9" i="15" s="1"/>
  <c r="K5" i="15"/>
  <c r="K6" i="15"/>
  <c r="L4" i="15"/>
  <c r="K4" i="15"/>
  <c r="F234" i="14"/>
  <c r="G234" i="14"/>
  <c r="H234" i="14"/>
  <c r="I234" i="14"/>
  <c r="J234" i="14"/>
  <c r="K234" i="14"/>
  <c r="L234" i="14"/>
  <c r="E234" i="14"/>
  <c r="E233" i="14"/>
  <c r="K35" i="26" l="1"/>
  <c r="L8" i="15"/>
  <c r="L6" i="15"/>
  <c r="M6" i="15" s="1"/>
  <c r="T196" i="14"/>
  <c r="AC196" i="14" s="1"/>
  <c r="T193" i="14"/>
  <c r="AC193" i="14" s="1"/>
  <c r="T194" i="14"/>
  <c r="AC194" i="14" s="1"/>
  <c r="L5" i="15"/>
  <c r="F233" i="14"/>
  <c r="G233" i="14"/>
  <c r="H233" i="14"/>
  <c r="I233" i="14"/>
  <c r="J233" i="14"/>
  <c r="K233" i="14"/>
  <c r="L233" i="14"/>
  <c r="U194" i="14" l="1"/>
  <c r="AD194" i="14" s="1"/>
  <c r="L30" i="26"/>
  <c r="L34" i="26" s="1"/>
  <c r="L95" i="26" s="1"/>
  <c r="L31" i="26"/>
  <c r="L32" i="26" s="1"/>
  <c r="L35" i="26"/>
  <c r="L36" i="26" s="1"/>
  <c r="U176" i="14" s="1"/>
  <c r="K36" i="26"/>
  <c r="T176" i="14" s="1"/>
  <c r="U193" i="14"/>
  <c r="AD193" i="14" s="1"/>
  <c r="U196" i="14"/>
  <c r="AD196" i="14" s="1"/>
  <c r="E225" i="14"/>
  <c r="AD176" i="14" l="1"/>
  <c r="AC176" i="14"/>
  <c r="T184" i="14"/>
  <c r="T189" i="14"/>
  <c r="T185" i="14"/>
  <c r="T177" i="14"/>
  <c r="T192" i="14"/>
  <c r="T186" i="14"/>
  <c r="T187" i="14"/>
  <c r="I224" i="14"/>
  <c r="J224" i="14"/>
  <c r="K224" i="14"/>
  <c r="L224" i="14"/>
  <c r="I225" i="14"/>
  <c r="J225" i="14"/>
  <c r="K225" i="14"/>
  <c r="L225" i="14"/>
  <c r="F225" i="14"/>
  <c r="H225" i="14"/>
  <c r="G225" i="14"/>
  <c r="E224" i="14"/>
  <c r="E223" i="14" s="1"/>
  <c r="F224" i="14"/>
  <c r="G224" i="14"/>
  <c r="H224" i="14"/>
  <c r="U187" i="14" l="1"/>
  <c r="AD187" i="14" s="1"/>
  <c r="AC187" i="14"/>
  <c r="U192" i="14"/>
  <c r="AD192" i="14" s="1"/>
  <c r="AC192" i="14"/>
  <c r="U185" i="14"/>
  <c r="AD185" i="14" s="1"/>
  <c r="AC185" i="14"/>
  <c r="U184" i="14"/>
  <c r="AD184" i="14" s="1"/>
  <c r="AC184" i="14"/>
  <c r="U186" i="14"/>
  <c r="AD186" i="14" s="1"/>
  <c r="AC186" i="14"/>
  <c r="U177" i="14"/>
  <c r="AD177" i="14" s="1"/>
  <c r="AC177" i="14"/>
  <c r="U189" i="14"/>
  <c r="AD189" i="14" s="1"/>
  <c r="AC189" i="14"/>
  <c r="H223" i="14"/>
  <c r="F223" i="14"/>
  <c r="K223" i="14"/>
  <c r="I223" i="14"/>
  <c r="G223" i="14"/>
  <c r="L223" i="14"/>
  <c r="J223" i="14"/>
  <c r="AN124" i="12"/>
  <c r="AN219" i="12"/>
  <c r="AN81" i="12"/>
  <c r="AN80" i="12"/>
  <c r="AN82" i="12" l="1"/>
  <c r="AN83" i="12" s="1"/>
  <c r="AN231" i="12" l="1"/>
  <c r="N231" i="12" s="1"/>
  <c r="AN232" i="12"/>
  <c r="N232" i="12" s="1"/>
  <c r="AN233" i="12"/>
  <c r="N233" i="12" s="1"/>
  <c r="AN234" i="12"/>
  <c r="N234" i="12" s="1"/>
  <c r="AN237" i="12"/>
  <c r="N237" i="12" s="1"/>
  <c r="AN238" i="12"/>
  <c r="N238" i="12" s="1"/>
  <c r="AN222" i="12"/>
  <c r="AN239" i="12" s="1"/>
  <c r="N239" i="12" s="1"/>
  <c r="AN221" i="12"/>
  <c r="AN152" i="12"/>
  <c r="AN153" i="12" s="1"/>
  <c r="AN227" i="12"/>
  <c r="N227" i="12" s="1"/>
  <c r="V89" i="12"/>
  <c r="V127" i="12"/>
  <c r="V39" i="12"/>
  <c r="V55" i="12"/>
  <c r="AN228" i="12" l="1"/>
  <c r="N228" i="12" s="1"/>
  <c r="V12" i="12" l="1"/>
  <c r="D12" i="12" l="1"/>
  <c r="E38" i="12" l="1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W150" i="12"/>
  <c r="W149" i="12"/>
  <c r="W142" i="12"/>
  <c r="U142" i="12"/>
  <c r="O150" i="12"/>
  <c r="O149" i="12"/>
  <c r="W66" i="12"/>
  <c r="W65" i="12"/>
  <c r="W64" i="12"/>
  <c r="S117" i="12"/>
  <c r="S116" i="12"/>
  <c r="Q117" i="12"/>
  <c r="Q116" i="12"/>
  <c r="M208" i="14" l="1"/>
  <c r="L208" i="14"/>
  <c r="K208" i="14"/>
  <c r="J208" i="14"/>
  <c r="I208" i="14"/>
  <c r="H208" i="14"/>
  <c r="G208" i="14"/>
  <c r="F208" i="14"/>
  <c r="E208" i="14"/>
  <c r="D208" i="14"/>
  <c r="M197" i="14"/>
  <c r="N197" i="14" s="1"/>
  <c r="W197" i="14" s="1"/>
  <c r="L197" i="14"/>
  <c r="K197" i="14"/>
  <c r="J197" i="14"/>
  <c r="I197" i="14"/>
  <c r="H197" i="14"/>
  <c r="G197" i="14"/>
  <c r="F197" i="14"/>
  <c r="E197" i="14"/>
  <c r="D197" i="14"/>
  <c r="M175" i="14"/>
  <c r="L175" i="14"/>
  <c r="L220" i="14" s="1"/>
  <c r="K175" i="14"/>
  <c r="J175" i="14"/>
  <c r="J220" i="14" s="1"/>
  <c r="I175" i="14"/>
  <c r="I220" i="14" s="1"/>
  <c r="H175" i="14"/>
  <c r="H220" i="14" s="1"/>
  <c r="G175" i="14"/>
  <c r="G220" i="14" s="1"/>
  <c r="F175" i="14"/>
  <c r="F220" i="14" s="1"/>
  <c r="E175" i="14"/>
  <c r="E220" i="14" s="1"/>
  <c r="D175" i="14"/>
  <c r="D220" i="14" s="1"/>
  <c r="M160" i="14"/>
  <c r="L160" i="14"/>
  <c r="K160" i="14"/>
  <c r="J160" i="14"/>
  <c r="I160" i="14"/>
  <c r="H160" i="14"/>
  <c r="G160" i="14"/>
  <c r="F160" i="14"/>
  <c r="E160" i="14"/>
  <c r="D160" i="14"/>
  <c r="M153" i="14"/>
  <c r="M211" i="14" s="1"/>
  <c r="L153" i="14"/>
  <c r="K153" i="14"/>
  <c r="J153" i="14"/>
  <c r="J229" i="14" s="1"/>
  <c r="I153" i="14"/>
  <c r="H153" i="14"/>
  <c r="H229" i="14" s="1"/>
  <c r="G153" i="14"/>
  <c r="F153" i="14"/>
  <c r="E153" i="14"/>
  <c r="D153" i="14"/>
  <c r="K141" i="14"/>
  <c r="J141" i="14"/>
  <c r="H141" i="14"/>
  <c r="G141" i="14"/>
  <c r="F141" i="14"/>
  <c r="E141" i="14"/>
  <c r="D141" i="14"/>
  <c r="G140" i="14"/>
  <c r="M138" i="14"/>
  <c r="L138" i="14"/>
  <c r="K138" i="14"/>
  <c r="J138" i="14"/>
  <c r="I138" i="14"/>
  <c r="H138" i="14"/>
  <c r="F138" i="14"/>
  <c r="E138" i="14"/>
  <c r="D138" i="14"/>
  <c r="E136" i="14"/>
  <c r="D136" i="14"/>
  <c r="K134" i="14"/>
  <c r="J134" i="14"/>
  <c r="I134" i="14"/>
  <c r="H134" i="14"/>
  <c r="G134" i="14"/>
  <c r="F134" i="14"/>
  <c r="E134" i="14"/>
  <c r="D134" i="14"/>
  <c r="M130" i="14"/>
  <c r="N130" i="14" s="1"/>
  <c r="L130" i="14"/>
  <c r="K130" i="14"/>
  <c r="J130" i="14"/>
  <c r="I130" i="14"/>
  <c r="H130" i="14"/>
  <c r="G130" i="14"/>
  <c r="F130" i="14"/>
  <c r="E130" i="14"/>
  <c r="D130" i="14"/>
  <c r="M122" i="14"/>
  <c r="N122" i="14" s="1"/>
  <c r="O122" i="14" s="1"/>
  <c r="P122" i="14" s="1"/>
  <c r="Q122" i="14" s="1"/>
  <c r="R122" i="14" s="1"/>
  <c r="S122" i="14" s="1"/>
  <c r="T122" i="14" s="1"/>
  <c r="U122" i="14" s="1"/>
  <c r="L122" i="14"/>
  <c r="K122" i="14"/>
  <c r="J122" i="14"/>
  <c r="I122" i="14"/>
  <c r="H122" i="14"/>
  <c r="G122" i="14"/>
  <c r="F122" i="14"/>
  <c r="E122" i="14"/>
  <c r="D122" i="14"/>
  <c r="M120" i="14"/>
  <c r="L120" i="14"/>
  <c r="K120" i="14"/>
  <c r="J120" i="14"/>
  <c r="I120" i="14"/>
  <c r="H120" i="14"/>
  <c r="G120" i="14"/>
  <c r="F120" i="14"/>
  <c r="E120" i="14"/>
  <c r="E119" i="14" s="1"/>
  <c r="D120" i="14"/>
  <c r="M113" i="14"/>
  <c r="L113" i="14"/>
  <c r="K113" i="14"/>
  <c r="J113" i="14"/>
  <c r="I113" i="14"/>
  <c r="H113" i="14"/>
  <c r="G113" i="14"/>
  <c r="F113" i="14"/>
  <c r="E113" i="14"/>
  <c r="D113" i="14"/>
  <c r="M110" i="14"/>
  <c r="L110" i="14"/>
  <c r="I110" i="14"/>
  <c r="H110" i="14"/>
  <c r="G110" i="14"/>
  <c r="F110" i="14"/>
  <c r="E110" i="14"/>
  <c r="D110" i="14"/>
  <c r="M104" i="14"/>
  <c r="L104" i="14"/>
  <c r="K104" i="14"/>
  <c r="J104" i="14"/>
  <c r="I104" i="14"/>
  <c r="H104" i="14"/>
  <c r="G104" i="14"/>
  <c r="F104" i="14"/>
  <c r="E104" i="14"/>
  <c r="D104" i="14"/>
  <c r="M97" i="14"/>
  <c r="L97" i="14"/>
  <c r="K97" i="14"/>
  <c r="J97" i="14"/>
  <c r="I97" i="14"/>
  <c r="H97" i="14"/>
  <c r="G97" i="14"/>
  <c r="F97" i="14"/>
  <c r="E97" i="14"/>
  <c r="D97" i="14"/>
  <c r="M93" i="14"/>
  <c r="L93" i="14"/>
  <c r="K93" i="14"/>
  <c r="J93" i="14"/>
  <c r="I93" i="14"/>
  <c r="H93" i="14"/>
  <c r="G93" i="14"/>
  <c r="F93" i="14"/>
  <c r="E93" i="14"/>
  <c r="D93" i="14"/>
  <c r="M84" i="14"/>
  <c r="L84" i="14"/>
  <c r="K84" i="14"/>
  <c r="J84" i="14"/>
  <c r="I84" i="14"/>
  <c r="H84" i="14"/>
  <c r="G84" i="14"/>
  <c r="F84" i="14"/>
  <c r="E84" i="14"/>
  <c r="D84" i="14"/>
  <c r="M81" i="14"/>
  <c r="L81" i="14"/>
  <c r="K81" i="14"/>
  <c r="J81" i="14"/>
  <c r="I81" i="14"/>
  <c r="H81" i="14"/>
  <c r="G81" i="14"/>
  <c r="G80" i="14" s="1"/>
  <c r="F81" i="14"/>
  <c r="E81" i="14"/>
  <c r="D81" i="14"/>
  <c r="K80" i="14"/>
  <c r="M74" i="14"/>
  <c r="L74" i="14"/>
  <c r="K74" i="14"/>
  <c r="J74" i="14"/>
  <c r="I74" i="14"/>
  <c r="H74" i="14"/>
  <c r="G74" i="14"/>
  <c r="F74" i="14"/>
  <c r="E74" i="14"/>
  <c r="D74" i="14"/>
  <c r="M70" i="14"/>
  <c r="L70" i="14"/>
  <c r="K70" i="14"/>
  <c r="J70" i="14"/>
  <c r="I70" i="14"/>
  <c r="H70" i="14"/>
  <c r="G70" i="14"/>
  <c r="F70" i="14"/>
  <c r="E70" i="14"/>
  <c r="D70" i="14"/>
  <c r="M67" i="14"/>
  <c r="L67" i="14"/>
  <c r="K67" i="14"/>
  <c r="J67" i="14"/>
  <c r="I67" i="14"/>
  <c r="H67" i="14"/>
  <c r="G67" i="14"/>
  <c r="F67" i="14"/>
  <c r="E67" i="14"/>
  <c r="D67" i="14"/>
  <c r="L63" i="14"/>
  <c r="K63" i="14"/>
  <c r="J63" i="14"/>
  <c r="I63" i="14"/>
  <c r="H63" i="14"/>
  <c r="G63" i="14"/>
  <c r="F63" i="14"/>
  <c r="E63" i="14"/>
  <c r="D63" i="14"/>
  <c r="M55" i="14"/>
  <c r="L55" i="14"/>
  <c r="K55" i="14"/>
  <c r="J55" i="14"/>
  <c r="I55" i="14"/>
  <c r="H55" i="14"/>
  <c r="G55" i="14"/>
  <c r="F55" i="14"/>
  <c r="E55" i="14"/>
  <c r="D55" i="14"/>
  <c r="L39" i="14"/>
  <c r="K39" i="14"/>
  <c r="J39" i="14"/>
  <c r="I39" i="14"/>
  <c r="H39" i="14"/>
  <c r="G39" i="14"/>
  <c r="F39" i="14"/>
  <c r="E39" i="14"/>
  <c r="D39" i="14"/>
  <c r="M12" i="14"/>
  <c r="L12" i="14"/>
  <c r="K12" i="14"/>
  <c r="J12" i="14"/>
  <c r="I12" i="14"/>
  <c r="H12" i="14"/>
  <c r="G12" i="14"/>
  <c r="F12" i="14"/>
  <c r="E12" i="14"/>
  <c r="D12" i="14"/>
  <c r="L7" i="14"/>
  <c r="K7" i="14"/>
  <c r="J7" i="14"/>
  <c r="I7" i="14"/>
  <c r="H7" i="14"/>
  <c r="G7" i="14"/>
  <c r="F7" i="14"/>
  <c r="E7" i="14"/>
  <c r="D7" i="14"/>
  <c r="M220" i="14" l="1"/>
  <c r="M174" i="14"/>
  <c r="M6" i="14"/>
  <c r="N160" i="14"/>
  <c r="W160" i="14" s="1"/>
  <c r="O197" i="14"/>
  <c r="M246" i="14"/>
  <c r="N137" i="14"/>
  <c r="O130" i="14"/>
  <c r="N136" i="14"/>
  <c r="M247" i="14"/>
  <c r="L229" i="14"/>
  <c r="L231" i="14" s="1"/>
  <c r="L211" i="14"/>
  <c r="N120" i="14"/>
  <c r="M119" i="14"/>
  <c r="M214" i="14"/>
  <c r="M215" i="14" s="1"/>
  <c r="M229" i="14"/>
  <c r="M152" i="14"/>
  <c r="O160" i="14"/>
  <c r="O161" i="14" s="1"/>
  <c r="K220" i="14"/>
  <c r="E214" i="14"/>
  <c r="E215" i="14" s="1"/>
  <c r="E229" i="14"/>
  <c r="G214" i="14"/>
  <c r="G215" i="14" s="1"/>
  <c r="G229" i="14"/>
  <c r="I214" i="14"/>
  <c r="I215" i="14" s="1"/>
  <c r="I229" i="14"/>
  <c r="K214" i="14"/>
  <c r="K215" i="14" s="1"/>
  <c r="K229" i="14"/>
  <c r="F229" i="14"/>
  <c r="F211" i="14"/>
  <c r="H230" i="14"/>
  <c r="H231" i="14"/>
  <c r="J230" i="14"/>
  <c r="J231" i="14"/>
  <c r="E6" i="14"/>
  <c r="G6" i="14"/>
  <c r="I6" i="14"/>
  <c r="I119" i="14"/>
  <c r="K119" i="14"/>
  <c r="W165" i="12"/>
  <c r="W163" i="12"/>
  <c r="W161" i="12"/>
  <c r="W166" i="12"/>
  <c r="W164" i="12"/>
  <c r="W162" i="12"/>
  <c r="D211" i="14"/>
  <c r="D214" i="14"/>
  <c r="D215" i="14" s="1"/>
  <c r="F214" i="14"/>
  <c r="F215" i="14" s="1"/>
  <c r="H211" i="14"/>
  <c r="H214" i="14"/>
  <c r="H215" i="14" s="1"/>
  <c r="J211" i="14"/>
  <c r="J214" i="14"/>
  <c r="J215" i="14" s="1"/>
  <c r="L212" i="14"/>
  <c r="L214" i="14"/>
  <c r="L215" i="14" s="1"/>
  <c r="H152" i="14"/>
  <c r="K6" i="14"/>
  <c r="D80" i="14"/>
  <c r="D119" i="14"/>
  <c r="G138" i="14"/>
  <c r="D152" i="14"/>
  <c r="L152" i="14"/>
  <c r="F80" i="14"/>
  <c r="H80" i="14"/>
  <c r="J80" i="14"/>
  <c r="L80" i="14"/>
  <c r="F119" i="14"/>
  <c r="H119" i="14"/>
  <c r="J119" i="14"/>
  <c r="L119" i="14"/>
  <c r="D6" i="14"/>
  <c r="F6" i="14"/>
  <c r="H6" i="14"/>
  <c r="J6" i="14"/>
  <c r="L6" i="14"/>
  <c r="E80" i="14"/>
  <c r="I80" i="14"/>
  <c r="M80" i="14"/>
  <c r="N80" i="14" s="1"/>
  <c r="W80" i="14" s="1"/>
  <c r="F152" i="14"/>
  <c r="J152" i="14"/>
  <c r="E211" i="14"/>
  <c r="I211" i="14"/>
  <c r="E152" i="14"/>
  <c r="G152" i="14"/>
  <c r="I152" i="14"/>
  <c r="K152" i="14"/>
  <c r="G211" i="14"/>
  <c r="K211" i="14"/>
  <c r="N25" i="13"/>
  <c r="L25" i="13"/>
  <c r="J25" i="13"/>
  <c r="H25" i="13"/>
  <c r="F25" i="13"/>
  <c r="D25" i="13"/>
  <c r="N41" i="13"/>
  <c r="L40" i="13"/>
  <c r="D40" i="13"/>
  <c r="L230" i="14" l="1"/>
  <c r="P197" i="14"/>
  <c r="Y197" i="14" s="1"/>
  <c r="X197" i="14"/>
  <c r="X160" i="14"/>
  <c r="AJ28" i="13"/>
  <c r="AJ27" i="13"/>
  <c r="AL28" i="13"/>
  <c r="AL27" i="13"/>
  <c r="AN28" i="13"/>
  <c r="AN27" i="13"/>
  <c r="O136" i="14"/>
  <c r="O137" i="14"/>
  <c r="P130" i="14"/>
  <c r="O80" i="14"/>
  <c r="X80" i="14" s="1"/>
  <c r="N121" i="14"/>
  <c r="O120" i="14"/>
  <c r="H41" i="13"/>
  <c r="H40" i="13"/>
  <c r="K216" i="14"/>
  <c r="E174" i="14"/>
  <c r="E216" i="14"/>
  <c r="D212" i="14"/>
  <c r="D216" i="14"/>
  <c r="F174" i="14"/>
  <c r="F216" i="14"/>
  <c r="I216" i="14"/>
  <c r="J174" i="14"/>
  <c r="J216" i="14"/>
  <c r="H212" i="14"/>
  <c r="H216" i="14"/>
  <c r="M212" i="14"/>
  <c r="M216" i="14"/>
  <c r="L216" i="14"/>
  <c r="K145" i="14"/>
  <c r="K146" i="14" s="1"/>
  <c r="J236" i="14"/>
  <c r="J235" i="14"/>
  <c r="H236" i="14"/>
  <c r="H235" i="14"/>
  <c r="F212" i="14"/>
  <c r="M145" i="14"/>
  <c r="M146" i="14" s="1"/>
  <c r="L236" i="14"/>
  <c r="L235" i="14"/>
  <c r="P160" i="14"/>
  <c r="M231" i="14"/>
  <c r="M230" i="14"/>
  <c r="K231" i="14"/>
  <c r="K230" i="14"/>
  <c r="I231" i="14"/>
  <c r="I230" i="14"/>
  <c r="G231" i="14"/>
  <c r="G230" i="14"/>
  <c r="E231" i="14"/>
  <c r="E230" i="14"/>
  <c r="F231" i="14"/>
  <c r="F230" i="14"/>
  <c r="L174" i="14"/>
  <c r="D174" i="14"/>
  <c r="H174" i="14"/>
  <c r="J212" i="14"/>
  <c r="D145" i="14"/>
  <c r="D146" i="14" s="1"/>
  <c r="G119" i="14"/>
  <c r="G216" i="14" s="1"/>
  <c r="K212" i="14"/>
  <c r="K174" i="14"/>
  <c r="I212" i="14"/>
  <c r="G212" i="14"/>
  <c r="G174" i="14"/>
  <c r="I174" i="14"/>
  <c r="E212" i="14"/>
  <c r="E145" i="14"/>
  <c r="I145" i="14"/>
  <c r="L145" i="14"/>
  <c r="J145" i="14"/>
  <c r="H145" i="14"/>
  <c r="F145" i="14"/>
  <c r="H42" i="13"/>
  <c r="P41" i="13"/>
  <c r="D41" i="13"/>
  <c r="N42" i="13"/>
  <c r="F41" i="13"/>
  <c r="L41" i="13"/>
  <c r="Y160" i="14" l="1"/>
  <c r="Y41" i="13"/>
  <c r="Y40" i="13"/>
  <c r="I40" i="13" s="1"/>
  <c r="AO28" i="13"/>
  <c r="AO27" i="13"/>
  <c r="AK28" i="13"/>
  <c r="AK27" i="13"/>
  <c r="AG28" i="13"/>
  <c r="AG27" i="13"/>
  <c r="AM28" i="13"/>
  <c r="AM27" i="13"/>
  <c r="AI28" i="13"/>
  <c r="AI27" i="13"/>
  <c r="AH28" i="13"/>
  <c r="AH27" i="13"/>
  <c r="P136" i="14"/>
  <c r="P137" i="14"/>
  <c r="P120" i="14"/>
  <c r="O121" i="14"/>
  <c r="P80" i="14"/>
  <c r="Y80" i="14" s="1"/>
  <c r="M236" i="14"/>
  <c r="M235" i="14"/>
  <c r="M228" i="14"/>
  <c r="L237" i="14"/>
  <c r="L222" i="14" s="1"/>
  <c r="L227" i="14" s="1"/>
  <c r="H237" i="14"/>
  <c r="H222" i="14" s="1"/>
  <c r="H227" i="14" s="1"/>
  <c r="F236" i="14"/>
  <c r="F235" i="14"/>
  <c r="E235" i="14"/>
  <c r="E236" i="14"/>
  <c r="I236" i="14"/>
  <c r="I235" i="14"/>
  <c r="Q160" i="14"/>
  <c r="Q197" i="14"/>
  <c r="Z197" i="14" s="1"/>
  <c r="J237" i="14"/>
  <c r="J222" i="14" s="1"/>
  <c r="J227" i="14" s="1"/>
  <c r="G235" i="14"/>
  <c r="G236" i="14"/>
  <c r="K236" i="14"/>
  <c r="K235" i="14"/>
  <c r="G145" i="14"/>
  <c r="F146" i="14"/>
  <c r="H146" i="14"/>
  <c r="J146" i="14"/>
  <c r="L146" i="14"/>
  <c r="I146" i="14"/>
  <c r="E146" i="14"/>
  <c r="F42" i="13"/>
  <c r="H43" i="13"/>
  <c r="L42" i="13"/>
  <c r="N43" i="13"/>
  <c r="D42" i="13"/>
  <c r="P42" i="13"/>
  <c r="S41" i="13" l="1"/>
  <c r="U41" i="13"/>
  <c r="W41" i="13"/>
  <c r="K41" i="13"/>
  <c r="C41" i="13"/>
  <c r="O41" i="13"/>
  <c r="G41" i="13"/>
  <c r="Q41" i="13"/>
  <c r="Y42" i="13"/>
  <c r="M42" i="13"/>
  <c r="G42" i="13"/>
  <c r="Z160" i="14"/>
  <c r="G40" i="13"/>
  <c r="S40" i="13"/>
  <c r="U40" i="13"/>
  <c r="W40" i="13"/>
  <c r="Q40" i="13"/>
  <c r="O40" i="13"/>
  <c r="C40" i="13"/>
  <c r="K40" i="13"/>
  <c r="E40" i="13"/>
  <c r="M40" i="13"/>
  <c r="I41" i="13"/>
  <c r="M41" i="13"/>
  <c r="AP27" i="13"/>
  <c r="AP28" i="13"/>
  <c r="Q80" i="14"/>
  <c r="Z80" i="14" s="1"/>
  <c r="P121" i="14"/>
  <c r="Q120" i="14"/>
  <c r="M237" i="14"/>
  <c r="M222" i="14" s="1"/>
  <c r="M227" i="14" s="1"/>
  <c r="M241" i="14" s="1"/>
  <c r="M245" i="14" s="1"/>
  <c r="M249" i="14" s="1"/>
  <c r="K237" i="14"/>
  <c r="K222" i="14" s="1"/>
  <c r="K227" i="14" s="1"/>
  <c r="E237" i="14"/>
  <c r="E222" i="14" s="1"/>
  <c r="E227" i="14" s="1"/>
  <c r="R160" i="14"/>
  <c r="R169" i="14" s="1"/>
  <c r="G237" i="14"/>
  <c r="G222" i="14" s="1"/>
  <c r="G227" i="14" s="1"/>
  <c r="R197" i="14"/>
  <c r="AA197" i="14" s="1"/>
  <c r="I237" i="14"/>
  <c r="I222" i="14" s="1"/>
  <c r="I227" i="14" s="1"/>
  <c r="F237" i="14"/>
  <c r="F222" i="14" s="1"/>
  <c r="F227" i="14" s="1"/>
  <c r="G146" i="14"/>
  <c r="P43" i="13"/>
  <c r="D43" i="13"/>
  <c r="N44" i="13"/>
  <c r="F43" i="13"/>
  <c r="O157" i="14"/>
  <c r="L43" i="13"/>
  <c r="H44" i="13"/>
  <c r="Y43" i="13" l="1"/>
  <c r="E43" i="13" s="1"/>
  <c r="AA160" i="14"/>
  <c r="Z40" i="13"/>
  <c r="AA40" i="13" s="1"/>
  <c r="S42" i="13"/>
  <c r="U42" i="13"/>
  <c r="W42" i="13"/>
  <c r="C42" i="13"/>
  <c r="K42" i="13"/>
  <c r="I42" i="13"/>
  <c r="O42" i="13"/>
  <c r="Q42" i="13"/>
  <c r="G43" i="13"/>
  <c r="AB41" i="13"/>
  <c r="Z41" i="13"/>
  <c r="AC42" i="13"/>
  <c r="R120" i="14"/>
  <c r="Q121" i="14"/>
  <c r="R80" i="14"/>
  <c r="AA80" i="14" s="1"/>
  <c r="S197" i="14"/>
  <c r="AB197" i="14" s="1"/>
  <c r="S160" i="14"/>
  <c r="N45" i="13"/>
  <c r="D44" i="13"/>
  <c r="H45" i="13"/>
  <c r="L44" i="13"/>
  <c r="F44" i="13"/>
  <c r="P157" i="14"/>
  <c r="P44" i="13"/>
  <c r="Y157" i="14" l="1"/>
  <c r="Y44" i="13"/>
  <c r="AB160" i="14"/>
  <c r="AA41" i="13"/>
  <c r="AD41" i="13"/>
  <c r="Z42" i="13"/>
  <c r="Q43" i="13"/>
  <c r="AB42" i="13"/>
  <c r="AE42" i="13" s="1"/>
  <c r="U43" i="13"/>
  <c r="W43" i="13"/>
  <c r="S43" i="13"/>
  <c r="Z43" i="13" s="1"/>
  <c r="C43" i="13"/>
  <c r="K43" i="13"/>
  <c r="O43" i="13"/>
  <c r="I43" i="13"/>
  <c r="M43" i="13"/>
  <c r="AC43" i="13"/>
  <c r="S80" i="14"/>
  <c r="AB80" i="14" s="1"/>
  <c r="S120" i="14"/>
  <c r="R121" i="14"/>
  <c r="O153" i="14"/>
  <c r="T197" i="14"/>
  <c r="AC197" i="14" s="1"/>
  <c r="T160" i="14"/>
  <c r="F45" i="13"/>
  <c r="L45" i="13"/>
  <c r="D45" i="13"/>
  <c r="Q157" i="14"/>
  <c r="N46" i="13"/>
  <c r="H46" i="13"/>
  <c r="P45" i="13"/>
  <c r="Z157" i="14" l="1"/>
  <c r="AC160" i="14"/>
  <c r="AG154" i="14"/>
  <c r="AG156" i="14"/>
  <c r="AG158" i="14"/>
  <c r="AG155" i="14"/>
  <c r="AG159" i="14"/>
  <c r="AG157" i="14"/>
  <c r="AA43" i="13"/>
  <c r="AD43" i="13"/>
  <c r="S44" i="13"/>
  <c r="U44" i="13"/>
  <c r="W44" i="13"/>
  <c r="C44" i="13"/>
  <c r="K44" i="13"/>
  <c r="O44" i="13"/>
  <c r="I44" i="13"/>
  <c r="M44" i="13"/>
  <c r="Q44" i="13"/>
  <c r="Q45" i="13"/>
  <c r="E45" i="13"/>
  <c r="Y45" i="13"/>
  <c r="G45" i="13"/>
  <c r="AB43" i="13"/>
  <c r="AE43" i="13" s="1"/>
  <c r="G44" i="13"/>
  <c r="AA42" i="13"/>
  <c r="AD42" i="13"/>
  <c r="E44" i="13"/>
  <c r="M45" i="13"/>
  <c r="AC44" i="13"/>
  <c r="T120" i="14"/>
  <c r="S121" i="14"/>
  <c r="T80" i="14"/>
  <c r="AC80" i="14" s="1"/>
  <c r="O152" i="14"/>
  <c r="P153" i="14"/>
  <c r="U197" i="14"/>
  <c r="AD197" i="14" s="1"/>
  <c r="U160" i="14"/>
  <c r="U168" i="14" s="1"/>
  <c r="H47" i="13"/>
  <c r="N47" i="13"/>
  <c r="R157" i="14"/>
  <c r="P46" i="13"/>
  <c r="D46" i="13"/>
  <c r="L46" i="13"/>
  <c r="F46" i="13"/>
  <c r="M46" i="13" l="1"/>
  <c r="AD160" i="14"/>
  <c r="P152" i="14"/>
  <c r="AH155" i="14"/>
  <c r="AH159" i="14"/>
  <c r="Y153" i="14"/>
  <c r="AH154" i="14"/>
  <c r="AH156" i="14"/>
  <c r="AH158" i="14"/>
  <c r="AH157" i="14"/>
  <c r="E46" i="13"/>
  <c r="Y46" i="13"/>
  <c r="AA157" i="14"/>
  <c r="AG160" i="14"/>
  <c r="S45" i="13"/>
  <c r="U45" i="13"/>
  <c r="W45" i="13"/>
  <c r="K45" i="13"/>
  <c r="C45" i="13"/>
  <c r="I45" i="13"/>
  <c r="O45" i="13"/>
  <c r="Z44" i="13"/>
  <c r="AB44" i="13"/>
  <c r="AE44" i="13" s="1"/>
  <c r="AG153" i="14"/>
  <c r="AC45" i="13"/>
  <c r="U120" i="14"/>
  <c r="U121" i="14" s="1"/>
  <c r="T121" i="14"/>
  <c r="U80" i="14"/>
  <c r="AD80" i="14" s="1"/>
  <c r="Q153" i="14"/>
  <c r="F47" i="13"/>
  <c r="D47" i="13"/>
  <c r="L47" i="13"/>
  <c r="S157" i="14"/>
  <c r="P47" i="13"/>
  <c r="AB157" i="14" l="1"/>
  <c r="Y47" i="13"/>
  <c r="E47" i="13" s="1"/>
  <c r="Q152" i="14"/>
  <c r="AI154" i="14"/>
  <c r="AI156" i="14"/>
  <c r="AI158" i="14"/>
  <c r="AI153" i="14"/>
  <c r="AI155" i="14"/>
  <c r="AI159" i="14"/>
  <c r="Z153" i="14"/>
  <c r="AI157" i="14"/>
  <c r="AA44" i="13"/>
  <c r="AD44" i="13"/>
  <c r="Y152" i="14"/>
  <c r="AH160" i="14"/>
  <c r="Q47" i="13"/>
  <c r="G47" i="13"/>
  <c r="AG152" i="14"/>
  <c r="AB45" i="13"/>
  <c r="AE45" i="13" s="1"/>
  <c r="Z45" i="13"/>
  <c r="S46" i="13"/>
  <c r="Z46" i="13" s="1"/>
  <c r="U46" i="13"/>
  <c r="W46" i="13"/>
  <c r="C46" i="13"/>
  <c r="K46" i="13"/>
  <c r="I46" i="13"/>
  <c r="O46" i="13"/>
  <c r="G46" i="13"/>
  <c r="AH153" i="14"/>
  <c r="AH152" i="14" s="1"/>
  <c r="Q46" i="13"/>
  <c r="AC46" i="13"/>
  <c r="R153" i="14"/>
  <c r="T157" i="14"/>
  <c r="AC157" i="14" l="1"/>
  <c r="AB46" i="13"/>
  <c r="AE46" i="13" s="1"/>
  <c r="AA45" i="13"/>
  <c r="AD45" i="13"/>
  <c r="M47" i="13"/>
  <c r="Z152" i="14"/>
  <c r="AI160" i="14"/>
  <c r="AI152" i="14" s="1"/>
  <c r="AJ155" i="14"/>
  <c r="AJ159" i="14"/>
  <c r="AA153" i="14"/>
  <c r="AJ154" i="14"/>
  <c r="AJ156" i="14"/>
  <c r="AJ158" i="14"/>
  <c r="AJ157" i="14"/>
  <c r="AA46" i="13"/>
  <c r="AD46" i="13"/>
  <c r="U47" i="13"/>
  <c r="W47" i="13"/>
  <c r="S47" i="13"/>
  <c r="C47" i="13"/>
  <c r="K47" i="13"/>
  <c r="O47" i="13"/>
  <c r="I47" i="13"/>
  <c r="AC47" i="13"/>
  <c r="R152" i="14"/>
  <c r="S153" i="14"/>
  <c r="U157" i="14"/>
  <c r="AA152" i="14" l="1"/>
  <c r="AJ160" i="14"/>
  <c r="AB47" i="13"/>
  <c r="AE47" i="13" s="1"/>
  <c r="S152" i="14"/>
  <c r="AK154" i="14"/>
  <c r="AK156" i="14"/>
  <c r="AK158" i="14"/>
  <c r="AK153" i="14"/>
  <c r="AK155" i="14"/>
  <c r="AK159" i="14"/>
  <c r="AB153" i="14"/>
  <c r="AK157" i="14"/>
  <c r="Z47" i="13"/>
  <c r="AJ153" i="14"/>
  <c r="AJ152" i="14" s="1"/>
  <c r="AD157" i="14"/>
  <c r="T153" i="14"/>
  <c r="AL155" i="14" l="1"/>
  <c r="AL159" i="14"/>
  <c r="AC153" i="14"/>
  <c r="AL154" i="14"/>
  <c r="AL156" i="14"/>
  <c r="AL158" i="14"/>
  <c r="AL157" i="14"/>
  <c r="AA47" i="13"/>
  <c r="AD47" i="13"/>
  <c r="AB152" i="14"/>
  <c r="AK160" i="14"/>
  <c r="AK152" i="14" s="1"/>
  <c r="T152" i="14"/>
  <c r="AL153" i="14" s="1"/>
  <c r="U153" i="14"/>
  <c r="D204" i="12"/>
  <c r="AM154" i="14" l="1"/>
  <c r="AM156" i="14"/>
  <c r="AM158" i="14"/>
  <c r="AM155" i="14"/>
  <c r="AM159" i="14"/>
  <c r="AD153" i="14"/>
  <c r="AM157" i="14"/>
  <c r="AC152" i="14"/>
  <c r="AL160" i="14"/>
  <c r="AL152" i="14" s="1"/>
  <c r="U152" i="14"/>
  <c r="AM153" i="14" s="1"/>
  <c r="E214" i="12"/>
  <c r="E212" i="12"/>
  <c r="E210" i="12"/>
  <c r="E208" i="12"/>
  <c r="E206" i="12"/>
  <c r="E213" i="12"/>
  <c r="E211" i="12"/>
  <c r="E209" i="12"/>
  <c r="E207" i="12"/>
  <c r="E205" i="12"/>
  <c r="AI203" i="12"/>
  <c r="AB191" i="12"/>
  <c r="AC191" i="12"/>
  <c r="AD191" i="12"/>
  <c r="AE191" i="12"/>
  <c r="AF191" i="12"/>
  <c r="AG191" i="12"/>
  <c r="AH191" i="12"/>
  <c r="AI191" i="12"/>
  <c r="AJ191" i="12"/>
  <c r="AB192" i="12"/>
  <c r="AC192" i="12"/>
  <c r="AD192" i="12"/>
  <c r="AE192" i="12"/>
  <c r="AF192" i="12"/>
  <c r="AG192" i="12"/>
  <c r="AH192" i="12"/>
  <c r="AI192" i="12"/>
  <c r="AJ192" i="12"/>
  <c r="AB193" i="12"/>
  <c r="AC193" i="12"/>
  <c r="AD193" i="12"/>
  <c r="AE193" i="12"/>
  <c r="AF193" i="12"/>
  <c r="AG193" i="12"/>
  <c r="AH193" i="12"/>
  <c r="AI193" i="12"/>
  <c r="AJ193" i="12"/>
  <c r="AB194" i="12"/>
  <c r="AC194" i="12"/>
  <c r="AD194" i="12"/>
  <c r="AE194" i="12"/>
  <c r="AF194" i="12"/>
  <c r="AG194" i="12"/>
  <c r="AH194" i="12"/>
  <c r="AI194" i="12"/>
  <c r="AJ194" i="12"/>
  <c r="AB195" i="12"/>
  <c r="AC195" i="12"/>
  <c r="AD195" i="12"/>
  <c r="AE195" i="12"/>
  <c r="AF195" i="12"/>
  <c r="AG195" i="12"/>
  <c r="AH195" i="12"/>
  <c r="AI195" i="12"/>
  <c r="AJ195" i="12"/>
  <c r="AB196" i="12"/>
  <c r="AC196" i="12"/>
  <c r="AD196" i="12"/>
  <c r="AE196" i="12"/>
  <c r="AF196" i="12"/>
  <c r="AG196" i="12"/>
  <c r="AH196" i="12"/>
  <c r="AI196" i="12"/>
  <c r="AJ196" i="12"/>
  <c r="AB197" i="12"/>
  <c r="AC197" i="12"/>
  <c r="AD197" i="12"/>
  <c r="AE197" i="12"/>
  <c r="AF197" i="12"/>
  <c r="AG197" i="12"/>
  <c r="AH197" i="12"/>
  <c r="AI197" i="12"/>
  <c r="AJ197" i="12"/>
  <c r="AB198" i="12"/>
  <c r="AC198" i="12"/>
  <c r="AD198" i="12"/>
  <c r="AE198" i="12"/>
  <c r="AF198" i="12"/>
  <c r="AG198" i="12"/>
  <c r="AH198" i="12"/>
  <c r="AI198" i="12"/>
  <c r="AJ198" i="12"/>
  <c r="AB199" i="12"/>
  <c r="AC199" i="12"/>
  <c r="AD199" i="12"/>
  <c r="AE199" i="12"/>
  <c r="AF199" i="12"/>
  <c r="AG199" i="12"/>
  <c r="AH199" i="12"/>
  <c r="AI199" i="12"/>
  <c r="AJ199" i="12"/>
  <c r="AB200" i="12"/>
  <c r="AC200" i="12"/>
  <c r="AD200" i="12"/>
  <c r="AE200" i="12"/>
  <c r="AF200" i="12"/>
  <c r="AG200" i="12"/>
  <c r="AH200" i="12"/>
  <c r="AI200" i="12"/>
  <c r="AJ200" i="12"/>
  <c r="AB201" i="12"/>
  <c r="AC201" i="12"/>
  <c r="AD201" i="12"/>
  <c r="AE201" i="12"/>
  <c r="AF201" i="12"/>
  <c r="AG201" i="12"/>
  <c r="AH201" i="12"/>
  <c r="AI201" i="12"/>
  <c r="AJ201" i="12"/>
  <c r="AB202" i="12"/>
  <c r="AC202" i="12"/>
  <c r="AD202" i="12"/>
  <c r="AE202" i="12"/>
  <c r="AF202" i="12"/>
  <c r="AG202" i="12"/>
  <c r="AH202" i="12"/>
  <c r="AI202" i="12"/>
  <c r="AJ202" i="12"/>
  <c r="AB203" i="12"/>
  <c r="AK203" i="12" s="1"/>
  <c r="AC203" i="12"/>
  <c r="AD203" i="12"/>
  <c r="AE203" i="12"/>
  <c r="AF203" i="12"/>
  <c r="AG203" i="12"/>
  <c r="AH203" i="12"/>
  <c r="AL203" i="12" s="1"/>
  <c r="AJ203" i="12"/>
  <c r="AB205" i="12"/>
  <c r="AC205" i="12"/>
  <c r="AD205" i="12"/>
  <c r="AE205" i="12"/>
  <c r="AF205" i="12"/>
  <c r="AG205" i="12"/>
  <c r="AH205" i="12"/>
  <c r="AI205" i="12"/>
  <c r="AJ205" i="12"/>
  <c r="AB206" i="12"/>
  <c r="AK206" i="12" s="1"/>
  <c r="AC206" i="12"/>
  <c r="AD206" i="12"/>
  <c r="AE206" i="12"/>
  <c r="AF206" i="12"/>
  <c r="AG206" i="12"/>
  <c r="AH206" i="12"/>
  <c r="AI206" i="12"/>
  <c r="AJ206" i="12"/>
  <c r="AB207" i="12"/>
  <c r="AK207" i="12" s="1"/>
  <c r="AC207" i="12"/>
  <c r="AD207" i="12"/>
  <c r="AE207" i="12"/>
  <c r="AF207" i="12"/>
  <c r="AG207" i="12"/>
  <c r="AH207" i="12"/>
  <c r="AI207" i="12"/>
  <c r="AJ207" i="12"/>
  <c r="AB208" i="12"/>
  <c r="AK208" i="12" s="1"/>
  <c r="AC208" i="12"/>
  <c r="AD208" i="12"/>
  <c r="AE208" i="12"/>
  <c r="AF208" i="12"/>
  <c r="AG208" i="12"/>
  <c r="AH208" i="12"/>
  <c r="AI208" i="12"/>
  <c r="AJ208" i="12"/>
  <c r="AB209" i="12"/>
  <c r="AC209" i="12"/>
  <c r="AD209" i="12"/>
  <c r="AE209" i="12"/>
  <c r="AF209" i="12"/>
  <c r="AG209" i="12"/>
  <c r="AH209" i="12"/>
  <c r="AL209" i="12" s="1"/>
  <c r="AI209" i="12"/>
  <c r="AJ209" i="12"/>
  <c r="AB210" i="12"/>
  <c r="AK210" i="12" s="1"/>
  <c r="AC210" i="12"/>
  <c r="AD210" i="12"/>
  <c r="AE210" i="12"/>
  <c r="AF210" i="12"/>
  <c r="AG210" i="12"/>
  <c r="AH210" i="12"/>
  <c r="AL210" i="12" s="1"/>
  <c r="AI210" i="12"/>
  <c r="AJ210" i="12"/>
  <c r="AB211" i="12"/>
  <c r="AC211" i="12"/>
  <c r="AD211" i="12"/>
  <c r="AE211" i="12"/>
  <c r="AF211" i="12"/>
  <c r="AG211" i="12"/>
  <c r="AH211" i="12"/>
  <c r="AI211" i="12"/>
  <c r="AJ211" i="12"/>
  <c r="AB212" i="12"/>
  <c r="AK212" i="12" s="1"/>
  <c r="AC212" i="12"/>
  <c r="AD212" i="12"/>
  <c r="AE212" i="12"/>
  <c r="AF212" i="12"/>
  <c r="AG212" i="12"/>
  <c r="AH212" i="12"/>
  <c r="AL212" i="12" s="1"/>
  <c r="AI212" i="12"/>
  <c r="AJ212" i="12"/>
  <c r="AB213" i="12"/>
  <c r="AC213" i="12"/>
  <c r="AD213" i="12"/>
  <c r="AE213" i="12"/>
  <c r="AF213" i="12"/>
  <c r="AG213" i="12"/>
  <c r="AH213" i="12"/>
  <c r="AI213" i="12"/>
  <c r="AJ213" i="12"/>
  <c r="AB214" i="12"/>
  <c r="AK214" i="12" s="1"/>
  <c r="AC214" i="12"/>
  <c r="AD214" i="12"/>
  <c r="AE214" i="12"/>
  <c r="AF214" i="12"/>
  <c r="AG214" i="12"/>
  <c r="AH214" i="12"/>
  <c r="AL214" i="12" s="1"/>
  <c r="AI214" i="12"/>
  <c r="AJ214" i="12"/>
  <c r="AB216" i="12"/>
  <c r="AC216" i="12"/>
  <c r="AD216" i="12"/>
  <c r="AE216" i="12"/>
  <c r="AF216" i="12"/>
  <c r="AG216" i="12"/>
  <c r="AH216" i="12"/>
  <c r="AI216" i="12"/>
  <c r="AJ216" i="12"/>
  <c r="AB183" i="12"/>
  <c r="AC183" i="12"/>
  <c r="AD183" i="12"/>
  <c r="AE183" i="12"/>
  <c r="AF183" i="12"/>
  <c r="AG183" i="12"/>
  <c r="AH183" i="12"/>
  <c r="AI183" i="12"/>
  <c r="AJ183" i="12"/>
  <c r="AB184" i="12"/>
  <c r="AC184" i="12"/>
  <c r="AD184" i="12"/>
  <c r="AE184" i="12"/>
  <c r="AF184" i="12"/>
  <c r="AG184" i="12"/>
  <c r="AH184" i="12"/>
  <c r="AI184" i="12"/>
  <c r="AJ184" i="12"/>
  <c r="AB185" i="12"/>
  <c r="AC185" i="12"/>
  <c r="AD185" i="12"/>
  <c r="AE185" i="12"/>
  <c r="AF185" i="12"/>
  <c r="AG185" i="12"/>
  <c r="AH185" i="12"/>
  <c r="AI185" i="12"/>
  <c r="AJ185" i="12"/>
  <c r="AB186" i="12"/>
  <c r="AC186" i="12"/>
  <c r="AD186" i="12"/>
  <c r="AE186" i="12"/>
  <c r="AF186" i="12"/>
  <c r="AG186" i="12"/>
  <c r="AH186" i="12"/>
  <c r="AI186" i="12"/>
  <c r="AJ186" i="12"/>
  <c r="AB187" i="12"/>
  <c r="AC187" i="12"/>
  <c r="AD187" i="12"/>
  <c r="AE187" i="12"/>
  <c r="AF187" i="12"/>
  <c r="AG187" i="12"/>
  <c r="AH187" i="12"/>
  <c r="AI187" i="12"/>
  <c r="AJ187" i="12"/>
  <c r="AB188" i="12"/>
  <c r="AC188" i="12"/>
  <c r="AD188" i="12"/>
  <c r="AE188" i="12"/>
  <c r="AF188" i="12"/>
  <c r="AG188" i="12"/>
  <c r="AH188" i="12"/>
  <c r="AI188" i="12"/>
  <c r="AJ188" i="12"/>
  <c r="AB189" i="12"/>
  <c r="AK189" i="12" s="1"/>
  <c r="AC189" i="12"/>
  <c r="AD189" i="12"/>
  <c r="AE189" i="12"/>
  <c r="AF189" i="12"/>
  <c r="AG189" i="12"/>
  <c r="AH189" i="12"/>
  <c r="AI189" i="12"/>
  <c r="AJ189" i="12"/>
  <c r="AB190" i="12"/>
  <c r="AC190" i="12"/>
  <c r="AD190" i="12"/>
  <c r="AE190" i="12"/>
  <c r="AF190" i="12"/>
  <c r="AG190" i="12"/>
  <c r="AH190" i="12"/>
  <c r="AI190" i="12"/>
  <c r="AJ190" i="12"/>
  <c r="AB179" i="12"/>
  <c r="AB162" i="12"/>
  <c r="AK162" i="12" s="1"/>
  <c r="AC162" i="12"/>
  <c r="AD162" i="12"/>
  <c r="AE162" i="12"/>
  <c r="AF162" i="12"/>
  <c r="AG162" i="12"/>
  <c r="AH162" i="12"/>
  <c r="AL162" i="12" s="1"/>
  <c r="AI162" i="12"/>
  <c r="AJ162" i="12"/>
  <c r="AB163" i="12"/>
  <c r="AK163" i="12" s="1"/>
  <c r="AC163" i="12"/>
  <c r="AD163" i="12"/>
  <c r="AE163" i="12"/>
  <c r="AF163" i="12"/>
  <c r="AG163" i="12"/>
  <c r="AH163" i="12"/>
  <c r="AL163" i="12" s="1"/>
  <c r="AI163" i="12"/>
  <c r="AJ163" i="12"/>
  <c r="AB164" i="12"/>
  <c r="AC164" i="12"/>
  <c r="AD164" i="12"/>
  <c r="AE164" i="12"/>
  <c r="AF164" i="12"/>
  <c r="AG164" i="12"/>
  <c r="AH164" i="12"/>
  <c r="AI164" i="12"/>
  <c r="AJ164" i="12"/>
  <c r="AB165" i="12"/>
  <c r="AK165" i="12" s="1"/>
  <c r="AC165" i="12"/>
  <c r="AD165" i="12"/>
  <c r="AE165" i="12"/>
  <c r="AF165" i="12"/>
  <c r="AG165" i="12"/>
  <c r="AH165" i="12"/>
  <c r="AL165" i="12" s="1"/>
  <c r="AI165" i="12"/>
  <c r="AJ165" i="12"/>
  <c r="AB166" i="12"/>
  <c r="AK166" i="12" s="1"/>
  <c r="AC166" i="12"/>
  <c r="AD166" i="12"/>
  <c r="AE166" i="12"/>
  <c r="AF166" i="12"/>
  <c r="AG166" i="12"/>
  <c r="AH166" i="12"/>
  <c r="AL166" i="12" s="1"/>
  <c r="AI166" i="12"/>
  <c r="AJ166" i="12"/>
  <c r="AB168" i="12"/>
  <c r="AC168" i="12"/>
  <c r="AD168" i="12"/>
  <c r="AE168" i="12"/>
  <c r="AF168" i="12"/>
  <c r="AG168" i="12"/>
  <c r="AH168" i="12"/>
  <c r="AI168" i="12"/>
  <c r="AJ168" i="12"/>
  <c r="AB169" i="12"/>
  <c r="AK169" i="12" s="1"/>
  <c r="AC169" i="12"/>
  <c r="AD169" i="12"/>
  <c r="AE169" i="12"/>
  <c r="AF169" i="12"/>
  <c r="AG169" i="12"/>
  <c r="AH169" i="12"/>
  <c r="AL169" i="12" s="1"/>
  <c r="AI169" i="12"/>
  <c r="AJ169" i="12"/>
  <c r="AB170" i="12"/>
  <c r="AC170" i="12"/>
  <c r="AD170" i="12"/>
  <c r="AE170" i="12"/>
  <c r="AF170" i="12"/>
  <c r="AG170" i="12"/>
  <c r="AH170" i="12"/>
  <c r="AI170" i="12"/>
  <c r="AJ170" i="12"/>
  <c r="AB171" i="12"/>
  <c r="AK171" i="12" s="1"/>
  <c r="AC171" i="12"/>
  <c r="AD171" i="12"/>
  <c r="AE171" i="12"/>
  <c r="AF171" i="12"/>
  <c r="AG171" i="12"/>
  <c r="AH171" i="12"/>
  <c r="AL171" i="12" s="1"/>
  <c r="AI171" i="12"/>
  <c r="AJ171" i="12"/>
  <c r="AB172" i="12"/>
  <c r="AC172" i="12"/>
  <c r="AD172" i="12"/>
  <c r="AE172" i="12"/>
  <c r="AF172" i="12"/>
  <c r="AG172" i="12"/>
  <c r="AH172" i="12"/>
  <c r="AI172" i="12"/>
  <c r="AJ172" i="12"/>
  <c r="AB173" i="12"/>
  <c r="AC173" i="12"/>
  <c r="AD173" i="12"/>
  <c r="AE173" i="12"/>
  <c r="AF173" i="12"/>
  <c r="AG173" i="12"/>
  <c r="AH173" i="12"/>
  <c r="AI173" i="12"/>
  <c r="AJ173" i="12"/>
  <c r="AB174" i="12"/>
  <c r="AC174" i="12"/>
  <c r="AD174" i="12"/>
  <c r="AE174" i="12"/>
  <c r="AF174" i="12"/>
  <c r="AG174" i="12"/>
  <c r="AH174" i="12"/>
  <c r="AI174" i="12"/>
  <c r="AJ174" i="12"/>
  <c r="AB175" i="12"/>
  <c r="AC175" i="12"/>
  <c r="AD175" i="12"/>
  <c r="AE175" i="12"/>
  <c r="AF175" i="12"/>
  <c r="AG175" i="12"/>
  <c r="AH175" i="12"/>
  <c r="AL175" i="12" s="1"/>
  <c r="AI175" i="12"/>
  <c r="AJ175" i="12"/>
  <c r="AB176" i="12"/>
  <c r="AC176" i="12"/>
  <c r="AD176" i="12"/>
  <c r="AE176" i="12"/>
  <c r="AF176" i="12"/>
  <c r="AG176" i="12"/>
  <c r="AH176" i="12"/>
  <c r="AI176" i="12"/>
  <c r="AJ176" i="12"/>
  <c r="AB177" i="12"/>
  <c r="AC177" i="12"/>
  <c r="AD177" i="12"/>
  <c r="AE177" i="12"/>
  <c r="AF177" i="12"/>
  <c r="AG177" i="12"/>
  <c r="AH177" i="12"/>
  <c r="AI177" i="12"/>
  <c r="AJ177" i="12"/>
  <c r="AB178" i="12"/>
  <c r="AC178" i="12"/>
  <c r="AD178" i="12"/>
  <c r="AE178" i="12"/>
  <c r="AF178" i="12"/>
  <c r="AG178" i="12"/>
  <c r="AH178" i="12"/>
  <c r="AL178" i="12" s="1"/>
  <c r="AI178" i="12"/>
  <c r="AJ178" i="12"/>
  <c r="AC179" i="12"/>
  <c r="AD179" i="12"/>
  <c r="AE179" i="12"/>
  <c r="AF179" i="12"/>
  <c r="AG179" i="12"/>
  <c r="AH179" i="12"/>
  <c r="AI179" i="12"/>
  <c r="AJ179" i="12"/>
  <c r="AB161" i="12"/>
  <c r="AK161" i="12" s="1"/>
  <c r="AC161" i="12"/>
  <c r="AD161" i="12"/>
  <c r="AE161" i="12"/>
  <c r="AF161" i="12"/>
  <c r="AG161" i="12"/>
  <c r="AH161" i="12"/>
  <c r="AI161" i="12"/>
  <c r="AJ161" i="12"/>
  <c r="AD152" i="14" l="1"/>
  <c r="AM160" i="14"/>
  <c r="AM152" i="14" s="1"/>
  <c r="AK211" i="12"/>
  <c r="AK209" i="12"/>
  <c r="AL173" i="12"/>
  <c r="AK173" i="12"/>
  <c r="AL164" i="12"/>
  <c r="AK164" i="12"/>
  <c r="AL190" i="12"/>
  <c r="AK190" i="12"/>
  <c r="AL188" i="12"/>
  <c r="N181" i="14" s="1"/>
  <c r="W181" i="14" s="1"/>
  <c r="AK188" i="12"/>
  <c r="AL186" i="12"/>
  <c r="W179" i="14" s="1"/>
  <c r="AK186" i="12"/>
  <c r="AL184" i="12"/>
  <c r="AK184" i="12"/>
  <c r="AL216" i="12"/>
  <c r="AK216" i="12"/>
  <c r="AL213" i="12"/>
  <c r="AK213" i="12"/>
  <c r="AL211" i="12"/>
  <c r="AL207" i="12"/>
  <c r="AL205" i="12"/>
  <c r="AK205" i="12"/>
  <c r="AL201" i="12"/>
  <c r="AK201" i="12"/>
  <c r="AL199" i="12"/>
  <c r="AK199" i="12"/>
  <c r="AL197" i="12"/>
  <c r="N190" i="14" s="1"/>
  <c r="W190" i="14" s="1"/>
  <c r="AK197" i="12"/>
  <c r="AL195" i="12"/>
  <c r="N188" i="14" s="1"/>
  <c r="W188" i="14" s="1"/>
  <c r="AK195" i="12"/>
  <c r="AL193" i="12"/>
  <c r="AK193" i="12"/>
  <c r="AL191" i="12"/>
  <c r="AK191" i="12"/>
  <c r="AL161" i="12"/>
  <c r="AL177" i="12"/>
  <c r="AK177" i="12"/>
  <c r="AK175" i="12"/>
  <c r="AL179" i="12"/>
  <c r="AK178" i="12"/>
  <c r="AL176" i="12"/>
  <c r="AK176" i="12"/>
  <c r="AL174" i="12"/>
  <c r="AK174" i="12"/>
  <c r="AL172" i="12"/>
  <c r="AK172" i="12"/>
  <c r="AL170" i="12"/>
  <c r="AK170" i="12"/>
  <c r="AL168" i="12"/>
  <c r="AK168" i="12"/>
  <c r="AK179" i="12"/>
  <c r="AL189" i="12"/>
  <c r="AL187" i="12"/>
  <c r="N180" i="14" s="1"/>
  <c r="W180" i="14" s="1"/>
  <c r="AK187" i="12"/>
  <c r="AL185" i="12"/>
  <c r="AK185" i="12"/>
  <c r="AL183" i="12"/>
  <c r="AK183" i="12"/>
  <c r="AL208" i="12"/>
  <c r="AL206" i="12"/>
  <c r="AL202" i="12"/>
  <c r="AK202" i="12"/>
  <c r="AL200" i="12"/>
  <c r="AK200" i="12"/>
  <c r="AL198" i="12"/>
  <c r="N191" i="14" s="1"/>
  <c r="W191" i="14" s="1"/>
  <c r="AK198" i="12"/>
  <c r="AL196" i="12"/>
  <c r="AK196" i="12"/>
  <c r="AL194" i="12"/>
  <c r="AK194" i="12"/>
  <c r="AL192" i="12"/>
  <c r="AK192" i="12"/>
  <c r="V215" i="12"/>
  <c r="V204" i="12"/>
  <c r="V182" i="12"/>
  <c r="M243" i="12" s="1"/>
  <c r="V167" i="12"/>
  <c r="T215" i="12"/>
  <c r="T204" i="12"/>
  <c r="T182" i="12"/>
  <c r="T167" i="12"/>
  <c r="T160" i="12"/>
  <c r="R215" i="12"/>
  <c r="R204" i="12"/>
  <c r="R182" i="12"/>
  <c r="R167" i="12"/>
  <c r="R160" i="12"/>
  <c r="P160" i="12"/>
  <c r="P167" i="12"/>
  <c r="P204" i="12"/>
  <c r="P182" i="12"/>
  <c r="P215" i="12"/>
  <c r="F160" i="12"/>
  <c r="H160" i="12"/>
  <c r="J160" i="12"/>
  <c r="L160" i="12"/>
  <c r="N160" i="12"/>
  <c r="D160" i="12"/>
  <c r="N167" i="12"/>
  <c r="N182" i="12"/>
  <c r="N215" i="12"/>
  <c r="N204" i="12"/>
  <c r="L167" i="12"/>
  <c r="L182" i="12"/>
  <c r="L204" i="12"/>
  <c r="L215" i="12"/>
  <c r="N195" i="14" l="1"/>
  <c r="O188" i="14"/>
  <c r="O179" i="14"/>
  <c r="O181" i="14"/>
  <c r="O183" i="14"/>
  <c r="O191" i="14"/>
  <c r="O180" i="14"/>
  <c r="O190" i="14"/>
  <c r="O182" i="14"/>
  <c r="O178" i="14"/>
  <c r="L221" i="12"/>
  <c r="H243" i="12"/>
  <c r="P221" i="12"/>
  <c r="J243" i="12"/>
  <c r="R221" i="12"/>
  <c r="K243" i="12"/>
  <c r="N221" i="12"/>
  <c r="I243" i="12"/>
  <c r="T221" i="12"/>
  <c r="L243" i="12"/>
  <c r="V221" i="12"/>
  <c r="V218" i="12"/>
  <c r="M203" i="12"/>
  <c r="M201" i="12"/>
  <c r="M199" i="12"/>
  <c r="M197" i="12"/>
  <c r="M195" i="12"/>
  <c r="M193" i="12"/>
  <c r="M191" i="12"/>
  <c r="M189" i="12"/>
  <c r="M187" i="12"/>
  <c r="M185" i="12"/>
  <c r="M183" i="12"/>
  <c r="M202" i="12"/>
  <c r="M200" i="12"/>
  <c r="M198" i="12"/>
  <c r="M196" i="12"/>
  <c r="M194" i="12"/>
  <c r="M192" i="12"/>
  <c r="M190" i="12"/>
  <c r="M188" i="12"/>
  <c r="M186" i="12"/>
  <c r="M184" i="12"/>
  <c r="O185" i="12"/>
  <c r="O187" i="12"/>
  <c r="O189" i="12"/>
  <c r="O191" i="12"/>
  <c r="O193" i="12"/>
  <c r="O195" i="12"/>
  <c r="O197" i="12"/>
  <c r="O199" i="12"/>
  <c r="O201" i="12"/>
  <c r="O203" i="12"/>
  <c r="O184" i="12"/>
  <c r="O186" i="12"/>
  <c r="O188" i="12"/>
  <c r="O190" i="12"/>
  <c r="O192" i="12"/>
  <c r="O194" i="12"/>
  <c r="O196" i="12"/>
  <c r="O198" i="12"/>
  <c r="O200" i="12"/>
  <c r="O202" i="12"/>
  <c r="O183" i="12"/>
  <c r="M213" i="12"/>
  <c r="M211" i="12"/>
  <c r="M209" i="12"/>
  <c r="M207" i="12"/>
  <c r="M205" i="12"/>
  <c r="M214" i="12"/>
  <c r="M212" i="12"/>
  <c r="M210" i="12"/>
  <c r="M208" i="12"/>
  <c r="M206" i="12"/>
  <c r="M178" i="12"/>
  <c r="M176" i="12"/>
  <c r="M174" i="12"/>
  <c r="M172" i="12"/>
  <c r="M170" i="12"/>
  <c r="M168" i="12"/>
  <c r="M179" i="12"/>
  <c r="M177" i="12"/>
  <c r="M175" i="12"/>
  <c r="M173" i="12"/>
  <c r="M171" i="12"/>
  <c r="M169" i="12"/>
  <c r="O216" i="12"/>
  <c r="O170" i="12"/>
  <c r="O172" i="12"/>
  <c r="O174" i="12"/>
  <c r="O176" i="12"/>
  <c r="O178" i="12"/>
  <c r="O168" i="12"/>
  <c r="O169" i="12"/>
  <c r="O171" i="12"/>
  <c r="O173" i="12"/>
  <c r="O175" i="12"/>
  <c r="O177" i="12"/>
  <c r="O179" i="12"/>
  <c r="N222" i="12"/>
  <c r="I239" i="12" s="1"/>
  <c r="O162" i="12"/>
  <c r="O164" i="12"/>
  <c r="O166" i="12"/>
  <c r="O163" i="12"/>
  <c r="O165" i="12"/>
  <c r="O161" i="12"/>
  <c r="K166" i="12"/>
  <c r="K164" i="12"/>
  <c r="K162" i="12"/>
  <c r="K165" i="12"/>
  <c r="K163" i="12"/>
  <c r="K161" i="12"/>
  <c r="G166" i="12"/>
  <c r="G164" i="12"/>
  <c r="G162" i="12"/>
  <c r="G165" i="12"/>
  <c r="G163" i="12"/>
  <c r="G161" i="12"/>
  <c r="Q203" i="12"/>
  <c r="Q201" i="12"/>
  <c r="Q199" i="12"/>
  <c r="Q197" i="12"/>
  <c r="Q195" i="12"/>
  <c r="Q193" i="12"/>
  <c r="Q191" i="12"/>
  <c r="Q189" i="12"/>
  <c r="Q187" i="12"/>
  <c r="Q185" i="12"/>
  <c r="Q183" i="12"/>
  <c r="Q202" i="12"/>
  <c r="Q200" i="12"/>
  <c r="Q198" i="12"/>
  <c r="Q196" i="12"/>
  <c r="Q194" i="12"/>
  <c r="Q192" i="12"/>
  <c r="Q190" i="12"/>
  <c r="Q188" i="12"/>
  <c r="Q186" i="12"/>
  <c r="Q184" i="12"/>
  <c r="Q179" i="12"/>
  <c r="Q177" i="12"/>
  <c r="Q175" i="12"/>
  <c r="Q173" i="12"/>
  <c r="Q171" i="12"/>
  <c r="Q169" i="12"/>
  <c r="Q178" i="12"/>
  <c r="Q176" i="12"/>
  <c r="Q174" i="12"/>
  <c r="Q172" i="12"/>
  <c r="Q170" i="12"/>
  <c r="Q168" i="12"/>
  <c r="R222" i="12"/>
  <c r="K239" i="12" s="1"/>
  <c r="S165" i="12"/>
  <c r="S163" i="12"/>
  <c r="S161" i="12"/>
  <c r="S166" i="12"/>
  <c r="S164" i="12"/>
  <c r="S162" i="12"/>
  <c r="S202" i="12"/>
  <c r="S200" i="12"/>
  <c r="S198" i="12"/>
  <c r="S196" i="12"/>
  <c r="S194" i="12"/>
  <c r="S192" i="12"/>
  <c r="S190" i="12"/>
  <c r="S188" i="12"/>
  <c r="S186" i="12"/>
  <c r="S184" i="12"/>
  <c r="S203" i="12"/>
  <c r="S201" i="12"/>
  <c r="S199" i="12"/>
  <c r="S197" i="12"/>
  <c r="S195" i="12"/>
  <c r="S193" i="12"/>
  <c r="S191" i="12"/>
  <c r="S189" i="12"/>
  <c r="S187" i="12"/>
  <c r="S185" i="12"/>
  <c r="S183" i="12"/>
  <c r="S216" i="12"/>
  <c r="U179" i="12"/>
  <c r="U177" i="12"/>
  <c r="U175" i="12"/>
  <c r="U173" i="12"/>
  <c r="U171" i="12"/>
  <c r="U169" i="12"/>
  <c r="U178" i="12"/>
  <c r="U176" i="12"/>
  <c r="U174" i="12"/>
  <c r="U172" i="12"/>
  <c r="U170" i="12"/>
  <c r="U168" i="12"/>
  <c r="U214" i="12"/>
  <c r="U212" i="12"/>
  <c r="U211" i="12"/>
  <c r="U209" i="12"/>
  <c r="U207" i="12"/>
  <c r="U205" i="12"/>
  <c r="U213" i="12"/>
  <c r="U210" i="12"/>
  <c r="U208" i="12"/>
  <c r="U206" i="12"/>
  <c r="W179" i="12"/>
  <c r="W177" i="12"/>
  <c r="W175" i="12"/>
  <c r="W173" i="12"/>
  <c r="W171" i="12"/>
  <c r="W169" i="12"/>
  <c r="W178" i="12"/>
  <c r="W176" i="12"/>
  <c r="W174" i="12"/>
  <c r="W172" i="12"/>
  <c r="W170" i="12"/>
  <c r="W168" i="12"/>
  <c r="W213" i="12"/>
  <c r="W211" i="12"/>
  <c r="W209" i="12"/>
  <c r="W207" i="12"/>
  <c r="W205" i="12"/>
  <c r="W214" i="12"/>
  <c r="W212" i="12"/>
  <c r="W210" i="12"/>
  <c r="W208" i="12"/>
  <c r="W206" i="12"/>
  <c r="M216" i="12"/>
  <c r="O206" i="12"/>
  <c r="O208" i="12"/>
  <c r="O210" i="12"/>
  <c r="O212" i="12"/>
  <c r="O214" i="12"/>
  <c r="O207" i="12"/>
  <c r="O209" i="12"/>
  <c r="O211" i="12"/>
  <c r="O213" i="12"/>
  <c r="O205" i="12"/>
  <c r="E166" i="12"/>
  <c r="E164" i="12"/>
  <c r="E162" i="12"/>
  <c r="E165" i="12"/>
  <c r="E163" i="12"/>
  <c r="E161" i="12"/>
  <c r="L222" i="12"/>
  <c r="H239" i="12" s="1"/>
  <c r="M166" i="12"/>
  <c r="M164" i="12"/>
  <c r="M162" i="12"/>
  <c r="M165" i="12"/>
  <c r="M163" i="12"/>
  <c r="M161" i="12"/>
  <c r="I166" i="12"/>
  <c r="I164" i="12"/>
  <c r="I162" i="12"/>
  <c r="I165" i="12"/>
  <c r="I163" i="12"/>
  <c r="I161" i="12"/>
  <c r="Q216" i="12"/>
  <c r="Q213" i="12"/>
  <c r="Q211" i="12"/>
  <c r="Q209" i="12"/>
  <c r="Q207" i="12"/>
  <c r="Q205" i="12"/>
  <c r="Q214" i="12"/>
  <c r="Q212" i="12"/>
  <c r="Q210" i="12"/>
  <c r="Q208" i="12"/>
  <c r="Q206" i="12"/>
  <c r="P222" i="12"/>
  <c r="J239" i="12" s="1"/>
  <c r="Q165" i="12"/>
  <c r="Q163" i="12"/>
  <c r="Q161" i="12"/>
  <c r="Q166" i="12"/>
  <c r="Q164" i="12"/>
  <c r="Q162" i="12"/>
  <c r="S179" i="12"/>
  <c r="Y179" i="12" s="1"/>
  <c r="S177" i="12"/>
  <c r="Y177" i="12" s="1"/>
  <c r="S175" i="12"/>
  <c r="Y175" i="12" s="1"/>
  <c r="S173" i="12"/>
  <c r="Y173" i="12" s="1"/>
  <c r="S171" i="12"/>
  <c r="Y171" i="12" s="1"/>
  <c r="S169" i="12"/>
  <c r="Y169" i="12" s="1"/>
  <c r="S178" i="12"/>
  <c r="Y178" i="12" s="1"/>
  <c r="S176" i="12"/>
  <c r="Y176" i="12" s="1"/>
  <c r="S174" i="12"/>
  <c r="Y174" i="12" s="1"/>
  <c r="S172" i="12"/>
  <c r="Y172" i="12" s="1"/>
  <c r="S170" i="12"/>
  <c r="Y170" i="12" s="1"/>
  <c r="S168" i="12"/>
  <c r="Y168" i="12" s="1"/>
  <c r="S214" i="12"/>
  <c r="S212" i="12"/>
  <c r="Y212" i="12" s="1"/>
  <c r="S210" i="12"/>
  <c r="S208" i="12"/>
  <c r="Y208" i="12" s="1"/>
  <c r="S206" i="12"/>
  <c r="S213" i="12"/>
  <c r="Y213" i="12" s="1"/>
  <c r="S211" i="12"/>
  <c r="S209" i="12"/>
  <c r="Y209" i="12" s="1"/>
  <c r="S207" i="12"/>
  <c r="S205" i="12"/>
  <c r="Y205" i="12" s="1"/>
  <c r="N198" i="14" s="1"/>
  <c r="W198" i="14" s="1"/>
  <c r="T222" i="12"/>
  <c r="L239" i="12" s="1"/>
  <c r="U165" i="12"/>
  <c r="U163" i="12"/>
  <c r="U161" i="12"/>
  <c r="U166" i="12"/>
  <c r="U164" i="12"/>
  <c r="U162" i="12"/>
  <c r="U203" i="12"/>
  <c r="U201" i="12"/>
  <c r="U199" i="12"/>
  <c r="U197" i="12"/>
  <c r="U195" i="12"/>
  <c r="U193" i="12"/>
  <c r="U191" i="12"/>
  <c r="U189" i="12"/>
  <c r="U187" i="12"/>
  <c r="U185" i="12"/>
  <c r="U183" i="12"/>
  <c r="U202" i="12"/>
  <c r="U200" i="12"/>
  <c r="U198" i="12"/>
  <c r="U196" i="12"/>
  <c r="U194" i="12"/>
  <c r="U192" i="12"/>
  <c r="U190" i="12"/>
  <c r="U188" i="12"/>
  <c r="U186" i="12"/>
  <c r="U184" i="12"/>
  <c r="U216" i="12"/>
  <c r="W203" i="12"/>
  <c r="W201" i="12"/>
  <c r="W199" i="12"/>
  <c r="W197" i="12"/>
  <c r="W195" i="12"/>
  <c r="W193" i="12"/>
  <c r="W191" i="12"/>
  <c r="W189" i="12"/>
  <c r="W187" i="12"/>
  <c r="W185" i="12"/>
  <c r="W183" i="12"/>
  <c r="W202" i="12"/>
  <c r="W200" i="12"/>
  <c r="W198" i="12"/>
  <c r="W196" i="12"/>
  <c r="W194" i="12"/>
  <c r="W192" i="12"/>
  <c r="W190" i="12"/>
  <c r="W188" i="12"/>
  <c r="W186" i="12"/>
  <c r="W184" i="12"/>
  <c r="V222" i="12"/>
  <c r="M239" i="12" s="1"/>
  <c r="W216" i="12"/>
  <c r="AF182" i="12"/>
  <c r="AF215" i="12"/>
  <c r="AH160" i="12"/>
  <c r="AH215" i="12"/>
  <c r="AI204" i="12"/>
  <c r="AF160" i="12"/>
  <c r="AB160" i="12"/>
  <c r="AI167" i="12"/>
  <c r="AF167" i="12"/>
  <c r="AE160" i="12"/>
  <c r="AC160" i="12"/>
  <c r="AG215" i="12"/>
  <c r="AG160" i="12"/>
  <c r="AH167" i="12"/>
  <c r="AH204" i="12"/>
  <c r="AI160" i="12"/>
  <c r="AI215" i="12"/>
  <c r="V159" i="12"/>
  <c r="W160" i="12" s="1"/>
  <c r="AJ167" i="12"/>
  <c r="AJ204" i="12"/>
  <c r="AD160" i="12"/>
  <c r="AG167" i="12"/>
  <c r="AJ160" i="12"/>
  <c r="AJ215" i="12"/>
  <c r="AJ182" i="12"/>
  <c r="AI182" i="12"/>
  <c r="AG182" i="12"/>
  <c r="AH182" i="12"/>
  <c r="AG204" i="12"/>
  <c r="AF204" i="12"/>
  <c r="T218" i="12"/>
  <c r="T159" i="12"/>
  <c r="U167" i="12" s="1"/>
  <c r="R218" i="12"/>
  <c r="R159" i="12"/>
  <c r="S160" i="12" s="1"/>
  <c r="P218" i="12"/>
  <c r="P159" i="12"/>
  <c r="Q160" i="12" s="1"/>
  <c r="N218" i="12"/>
  <c r="N159" i="12"/>
  <c r="O167" i="12" s="1"/>
  <c r="L218" i="12"/>
  <c r="L159" i="12"/>
  <c r="M160" i="12" s="1"/>
  <c r="J215" i="12"/>
  <c r="J204" i="12"/>
  <c r="J182" i="12"/>
  <c r="J167" i="12"/>
  <c r="H167" i="12"/>
  <c r="H215" i="12"/>
  <c r="H204" i="12"/>
  <c r="H182" i="12"/>
  <c r="F204" i="12"/>
  <c r="F182" i="12"/>
  <c r="D182" i="12"/>
  <c r="D243" i="12" s="1"/>
  <c r="F215" i="12"/>
  <c r="D215" i="12"/>
  <c r="F167" i="12"/>
  <c r="D167" i="12"/>
  <c r="D159" i="12" s="1"/>
  <c r="O195" i="14" l="1"/>
  <c r="P195" i="14" s="1"/>
  <c r="W195" i="14"/>
  <c r="N175" i="14"/>
  <c r="P178" i="14"/>
  <c r="X178" i="14"/>
  <c r="P190" i="14"/>
  <c r="X190" i="14"/>
  <c r="P191" i="14"/>
  <c r="X191" i="14"/>
  <c r="P181" i="14"/>
  <c r="X181" i="14"/>
  <c r="P188" i="14"/>
  <c r="X188" i="14"/>
  <c r="AF198" i="14"/>
  <c r="P182" i="14"/>
  <c r="X182" i="14"/>
  <c r="P180" i="14"/>
  <c r="X180" i="14"/>
  <c r="P183" i="14"/>
  <c r="X183" i="14"/>
  <c r="P179" i="14"/>
  <c r="X179" i="14"/>
  <c r="F221" i="12"/>
  <c r="E243" i="12"/>
  <c r="D244" i="12" s="1"/>
  <c r="H221" i="12"/>
  <c r="F243" i="12"/>
  <c r="AL182" i="12"/>
  <c r="AL167" i="12"/>
  <c r="J221" i="12"/>
  <c r="G243" i="12"/>
  <c r="AL215" i="12"/>
  <c r="N202" i="14"/>
  <c r="W202" i="14" s="1"/>
  <c r="O202" i="14"/>
  <c r="P202" i="14"/>
  <c r="Q202" i="14"/>
  <c r="R202" i="14"/>
  <c r="S202" i="14"/>
  <c r="T202" i="14"/>
  <c r="U202" i="14"/>
  <c r="N206" i="14"/>
  <c r="W206" i="14" s="1"/>
  <c r="O206" i="14"/>
  <c r="P206" i="14"/>
  <c r="Q206" i="14"/>
  <c r="R206" i="14"/>
  <c r="S206" i="14"/>
  <c r="T206" i="14"/>
  <c r="U206" i="14"/>
  <c r="N201" i="14"/>
  <c r="W201" i="14" s="1"/>
  <c r="O201" i="14"/>
  <c r="P201" i="14"/>
  <c r="Q201" i="14"/>
  <c r="R201" i="14"/>
  <c r="S201" i="14"/>
  <c r="T201" i="14"/>
  <c r="U201" i="14"/>
  <c r="N205" i="14"/>
  <c r="W205" i="14" s="1"/>
  <c r="O205" i="14"/>
  <c r="P205" i="14"/>
  <c r="Q205" i="14"/>
  <c r="R205" i="14"/>
  <c r="S205" i="14"/>
  <c r="T205" i="14"/>
  <c r="U205" i="14"/>
  <c r="N161" i="14"/>
  <c r="W161" i="14" s="1"/>
  <c r="P161" i="14"/>
  <c r="Q161" i="14"/>
  <c r="R161" i="14"/>
  <c r="S161" i="14"/>
  <c r="T161" i="14"/>
  <c r="U161" i="14"/>
  <c r="N165" i="14"/>
  <c r="W165" i="14" s="1"/>
  <c r="O165" i="14"/>
  <c r="P165" i="14"/>
  <c r="Q165" i="14"/>
  <c r="R165" i="14"/>
  <c r="S165" i="14"/>
  <c r="T165" i="14"/>
  <c r="U165" i="14"/>
  <c r="N169" i="14"/>
  <c r="W169" i="14" s="1"/>
  <c r="O169" i="14"/>
  <c r="P169" i="14"/>
  <c r="Q169" i="14"/>
  <c r="S169" i="14"/>
  <c r="T169" i="14"/>
  <c r="U169" i="14"/>
  <c r="N162" i="14"/>
  <c r="W162" i="14" s="1"/>
  <c r="O162" i="14"/>
  <c r="P162" i="14"/>
  <c r="Q162" i="14"/>
  <c r="R162" i="14"/>
  <c r="S162" i="14"/>
  <c r="T162" i="14"/>
  <c r="U162" i="14"/>
  <c r="N166" i="14"/>
  <c r="W166" i="14" s="1"/>
  <c r="O166" i="14"/>
  <c r="P166" i="14"/>
  <c r="Q166" i="14"/>
  <c r="R166" i="14"/>
  <c r="S166" i="14"/>
  <c r="T166" i="14"/>
  <c r="U166" i="14"/>
  <c r="N170" i="14"/>
  <c r="W170" i="14" s="1"/>
  <c r="O170" i="14"/>
  <c r="P170" i="14"/>
  <c r="Q170" i="14"/>
  <c r="R170" i="14"/>
  <c r="S170" i="14"/>
  <c r="T170" i="14"/>
  <c r="U170" i="14"/>
  <c r="X163" i="12"/>
  <c r="X162" i="12"/>
  <c r="X166" i="12"/>
  <c r="Y216" i="12"/>
  <c r="Y185" i="12"/>
  <c r="Y189" i="12"/>
  <c r="Y193" i="12"/>
  <c r="Y197" i="12"/>
  <c r="Y201" i="12"/>
  <c r="Y184" i="12"/>
  <c r="Y188" i="12"/>
  <c r="Y192" i="12"/>
  <c r="Y196" i="12"/>
  <c r="Y200" i="12"/>
  <c r="Y162" i="12"/>
  <c r="Y166" i="12"/>
  <c r="Y163" i="12"/>
  <c r="O198" i="14"/>
  <c r="P198" i="14"/>
  <c r="Q198" i="14"/>
  <c r="R198" i="14"/>
  <c r="S198" i="14"/>
  <c r="T198" i="14"/>
  <c r="U198" i="14"/>
  <c r="D221" i="12"/>
  <c r="AL204" i="12"/>
  <c r="AK160" i="12"/>
  <c r="AL160" i="12"/>
  <c r="Y207" i="12"/>
  <c r="Y211" i="12"/>
  <c r="Y206" i="12"/>
  <c r="Y210" i="12"/>
  <c r="Y214" i="12"/>
  <c r="N163" i="14"/>
  <c r="W163" i="14" s="1"/>
  <c r="O163" i="14"/>
  <c r="P163" i="14"/>
  <c r="Q163" i="14"/>
  <c r="R163" i="14"/>
  <c r="S163" i="14"/>
  <c r="T163" i="14"/>
  <c r="U163" i="14"/>
  <c r="N167" i="14"/>
  <c r="W167" i="14" s="1"/>
  <c r="O167" i="14"/>
  <c r="P167" i="14"/>
  <c r="Q167" i="14"/>
  <c r="R167" i="14"/>
  <c r="S167" i="14"/>
  <c r="T167" i="14"/>
  <c r="U167" i="14"/>
  <c r="N171" i="14"/>
  <c r="W171" i="14" s="1"/>
  <c r="O171" i="14"/>
  <c r="P171" i="14"/>
  <c r="Q171" i="14"/>
  <c r="R171" i="14"/>
  <c r="S171" i="14"/>
  <c r="T171" i="14"/>
  <c r="U171" i="14"/>
  <c r="N164" i="14"/>
  <c r="W164" i="14" s="1"/>
  <c r="O164" i="14"/>
  <c r="P164" i="14"/>
  <c r="Q164" i="14"/>
  <c r="R164" i="14"/>
  <c r="S164" i="14"/>
  <c r="T164" i="14"/>
  <c r="U164" i="14"/>
  <c r="N168" i="14"/>
  <c r="W168" i="14" s="1"/>
  <c r="O168" i="14"/>
  <c r="P168" i="14"/>
  <c r="Q168" i="14"/>
  <c r="R168" i="14"/>
  <c r="S168" i="14"/>
  <c r="T168" i="14"/>
  <c r="N172" i="14"/>
  <c r="W172" i="14" s="1"/>
  <c r="O172" i="14"/>
  <c r="P172" i="14"/>
  <c r="Q172" i="14"/>
  <c r="R172" i="14"/>
  <c r="S172" i="14"/>
  <c r="T172" i="14"/>
  <c r="U172" i="14"/>
  <c r="X161" i="12"/>
  <c r="X165" i="12"/>
  <c r="X164" i="12"/>
  <c r="Y183" i="12"/>
  <c r="Y187" i="12"/>
  <c r="Y191" i="12"/>
  <c r="Y195" i="12"/>
  <c r="Y199" i="12"/>
  <c r="Y203" i="12"/>
  <c r="Y186" i="12"/>
  <c r="Y190" i="12"/>
  <c r="Y194" i="12"/>
  <c r="Y198" i="12"/>
  <c r="Y202" i="12"/>
  <c r="Y164" i="12"/>
  <c r="Y161" i="12"/>
  <c r="Y165" i="12"/>
  <c r="V181" i="12"/>
  <c r="W218" i="12" s="1"/>
  <c r="D218" i="12"/>
  <c r="G178" i="12"/>
  <c r="G176" i="12"/>
  <c r="G174" i="12"/>
  <c r="G172" i="12"/>
  <c r="G170" i="12"/>
  <c r="G168" i="12"/>
  <c r="G179" i="12"/>
  <c r="G177" i="12"/>
  <c r="G175" i="12"/>
  <c r="G173" i="12"/>
  <c r="G171" i="12"/>
  <c r="G169" i="12"/>
  <c r="G216" i="12"/>
  <c r="G202" i="12"/>
  <c r="G200" i="12"/>
  <c r="G198" i="12"/>
  <c r="G196" i="12"/>
  <c r="G194" i="12"/>
  <c r="G192" i="12"/>
  <c r="G190" i="12"/>
  <c r="G188" i="12"/>
  <c r="G186" i="12"/>
  <c r="G184" i="12"/>
  <c r="G203" i="12"/>
  <c r="G201" i="12"/>
  <c r="G199" i="12"/>
  <c r="G197" i="12"/>
  <c r="G195" i="12"/>
  <c r="G193" i="12"/>
  <c r="G191" i="12"/>
  <c r="G189" i="12"/>
  <c r="G187" i="12"/>
  <c r="G185" i="12"/>
  <c r="G183" i="12"/>
  <c r="I216" i="12"/>
  <c r="K178" i="12"/>
  <c r="K176" i="12"/>
  <c r="K174" i="12"/>
  <c r="K172" i="12"/>
  <c r="K170" i="12"/>
  <c r="K168" i="12"/>
  <c r="K179" i="12"/>
  <c r="K177" i="12"/>
  <c r="K175" i="12"/>
  <c r="K173" i="12"/>
  <c r="K171" i="12"/>
  <c r="K169" i="12"/>
  <c r="U160" i="12"/>
  <c r="U159" i="12" s="1"/>
  <c r="E178" i="12"/>
  <c r="E176" i="12"/>
  <c r="E174" i="12"/>
  <c r="E172" i="12"/>
  <c r="E170" i="12"/>
  <c r="E168" i="12"/>
  <c r="E179" i="12"/>
  <c r="E177" i="12"/>
  <c r="E175" i="12"/>
  <c r="E173" i="12"/>
  <c r="E171" i="12"/>
  <c r="E169" i="12"/>
  <c r="E216" i="12"/>
  <c r="E202" i="12"/>
  <c r="E200" i="12"/>
  <c r="E198" i="12"/>
  <c r="E196" i="12"/>
  <c r="E194" i="12"/>
  <c r="E192" i="12"/>
  <c r="E190" i="12"/>
  <c r="E188" i="12"/>
  <c r="E186" i="12"/>
  <c r="E184" i="12"/>
  <c r="E203" i="12"/>
  <c r="E201" i="12"/>
  <c r="E199" i="12"/>
  <c r="E197" i="12"/>
  <c r="E195" i="12"/>
  <c r="E193" i="12"/>
  <c r="E191" i="12"/>
  <c r="E189" i="12"/>
  <c r="E187" i="12"/>
  <c r="E185" i="12"/>
  <c r="E183" i="12"/>
  <c r="G214" i="12"/>
  <c r="G212" i="12"/>
  <c r="G210" i="12"/>
  <c r="G208" i="12"/>
  <c r="G206" i="12"/>
  <c r="G213" i="12"/>
  <c r="G211" i="12"/>
  <c r="G209" i="12"/>
  <c r="G207" i="12"/>
  <c r="G205" i="12"/>
  <c r="I213" i="12"/>
  <c r="I211" i="12"/>
  <c r="I209" i="12"/>
  <c r="I207" i="12"/>
  <c r="I205" i="12"/>
  <c r="I214" i="12"/>
  <c r="I212" i="12"/>
  <c r="I210" i="12"/>
  <c r="I208" i="12"/>
  <c r="I206" i="12"/>
  <c r="I178" i="12"/>
  <c r="I176" i="12"/>
  <c r="I174" i="12"/>
  <c r="I172" i="12"/>
  <c r="I170" i="12"/>
  <c r="I168" i="12"/>
  <c r="I179" i="12"/>
  <c r="I177" i="12"/>
  <c r="I175" i="12"/>
  <c r="I173" i="12"/>
  <c r="I171" i="12"/>
  <c r="I169" i="12"/>
  <c r="AE182" i="12"/>
  <c r="K202" i="12"/>
  <c r="K200" i="12"/>
  <c r="K198" i="12"/>
  <c r="K196" i="12"/>
  <c r="K194" i="12"/>
  <c r="K192" i="12"/>
  <c r="K190" i="12"/>
  <c r="K188" i="12"/>
  <c r="K186" i="12"/>
  <c r="K184" i="12"/>
  <c r="K203" i="12"/>
  <c r="K201" i="12"/>
  <c r="K199" i="12"/>
  <c r="K197" i="12"/>
  <c r="K195" i="12"/>
  <c r="K193" i="12"/>
  <c r="K191" i="12"/>
  <c r="K189" i="12"/>
  <c r="K187" i="12"/>
  <c r="K185" i="12"/>
  <c r="K183" i="12"/>
  <c r="K216" i="12"/>
  <c r="S167" i="12"/>
  <c r="W167" i="12"/>
  <c r="W159" i="12" s="1"/>
  <c r="Q167" i="12"/>
  <c r="Q159" i="12" s="1"/>
  <c r="F222" i="12"/>
  <c r="E239" i="12" s="1"/>
  <c r="J222" i="12"/>
  <c r="G239" i="12" s="1"/>
  <c r="O160" i="12"/>
  <c r="O159" i="12" s="1"/>
  <c r="M167" i="12"/>
  <c r="M159" i="12" s="1"/>
  <c r="I203" i="12"/>
  <c r="I201" i="12"/>
  <c r="I199" i="12"/>
  <c r="I197" i="12"/>
  <c r="I195" i="12"/>
  <c r="I193" i="12"/>
  <c r="I191" i="12"/>
  <c r="I189" i="12"/>
  <c r="I187" i="12"/>
  <c r="I185" i="12"/>
  <c r="I183" i="12"/>
  <c r="I202" i="12"/>
  <c r="I200" i="12"/>
  <c r="I198" i="12"/>
  <c r="I196" i="12"/>
  <c r="I194" i="12"/>
  <c r="I192" i="12"/>
  <c r="I190" i="12"/>
  <c r="I188" i="12"/>
  <c r="I186" i="12"/>
  <c r="I184" i="12"/>
  <c r="K214" i="12"/>
  <c r="K212" i="12"/>
  <c r="K210" i="12"/>
  <c r="K208" i="12"/>
  <c r="K206" i="12"/>
  <c r="K213" i="12"/>
  <c r="K211" i="12"/>
  <c r="K209" i="12"/>
  <c r="K207" i="12"/>
  <c r="K205" i="12"/>
  <c r="H222" i="12"/>
  <c r="F239" i="12" s="1"/>
  <c r="R181" i="12"/>
  <c r="S218" i="12" s="1"/>
  <c r="AD204" i="12"/>
  <c r="AB167" i="12"/>
  <c r="AB215" i="12"/>
  <c r="AD167" i="12"/>
  <c r="AJ159" i="12"/>
  <c r="AF159" i="12"/>
  <c r="AG159" i="12"/>
  <c r="J218" i="12"/>
  <c r="J181" i="12" s="1"/>
  <c r="AC215" i="12"/>
  <c r="AC204" i="12"/>
  <c r="AC167" i="12"/>
  <c r="AD215" i="12"/>
  <c r="AH159" i="12"/>
  <c r="AI159" i="12"/>
  <c r="AE204" i="12"/>
  <c r="AE215" i="12"/>
  <c r="AE167" i="12"/>
  <c r="AJ218" i="12"/>
  <c r="AI218" i="12"/>
  <c r="P181" i="12"/>
  <c r="AH218" i="12"/>
  <c r="AG218" i="12"/>
  <c r="AF218" i="12"/>
  <c r="AD182" i="12"/>
  <c r="AB182" i="12"/>
  <c r="AC182" i="12"/>
  <c r="T181" i="12"/>
  <c r="N181" i="12"/>
  <c r="L181" i="12"/>
  <c r="J159" i="12"/>
  <c r="K160" i="12" s="1"/>
  <c r="H218" i="12"/>
  <c r="H159" i="12"/>
  <c r="I160" i="12" s="1"/>
  <c r="F218" i="12"/>
  <c r="F159" i="12"/>
  <c r="G160" i="12" s="1"/>
  <c r="AB204" i="12"/>
  <c r="AF193" i="14" l="1"/>
  <c r="AM198" i="14"/>
  <c r="AD198" i="14"/>
  <c r="AM205" i="14"/>
  <c r="AD205" i="14"/>
  <c r="AM201" i="14"/>
  <c r="AD201" i="14"/>
  <c r="AM206" i="14"/>
  <c r="AD206" i="14"/>
  <c r="AM202" i="14"/>
  <c r="AD202" i="14"/>
  <c r="X195" i="14"/>
  <c r="AF190" i="14"/>
  <c r="W175" i="14"/>
  <c r="Y195" i="14"/>
  <c r="Q195" i="14"/>
  <c r="Z195" i="14" s="1"/>
  <c r="AF189" i="14"/>
  <c r="AF184" i="14"/>
  <c r="AF185" i="14"/>
  <c r="AF187" i="14"/>
  <c r="AF196" i="14"/>
  <c r="AF195" i="14"/>
  <c r="AF183" i="14"/>
  <c r="AF178" i="14"/>
  <c r="AF188" i="14"/>
  <c r="AF179" i="14"/>
  <c r="AF191" i="14"/>
  <c r="AF186" i="14"/>
  <c r="AF177" i="14"/>
  <c r="AF192" i="14"/>
  <c r="AF194" i="14"/>
  <c r="AF176" i="14"/>
  <c r="AF181" i="14"/>
  <c r="AF180" i="14"/>
  <c r="AF182" i="14"/>
  <c r="Q182" i="14"/>
  <c r="Y182" i="14"/>
  <c r="Q179" i="14"/>
  <c r="Y179" i="14"/>
  <c r="Q180" i="14"/>
  <c r="Y180" i="14"/>
  <c r="Q188" i="14"/>
  <c r="Y188" i="14"/>
  <c r="Q181" i="14"/>
  <c r="Y181" i="14"/>
  <c r="Q191" i="14"/>
  <c r="Y191" i="14"/>
  <c r="AL172" i="14"/>
  <c r="AC172" i="14"/>
  <c r="AJ172" i="14"/>
  <c r="AA172" i="14"/>
  <c r="AH172" i="14"/>
  <c r="Y172" i="14"/>
  <c r="AF172" i="14"/>
  <c r="AL168" i="14"/>
  <c r="AC168" i="14"/>
  <c r="AJ168" i="14"/>
  <c r="AA168" i="14"/>
  <c r="AH168" i="14"/>
  <c r="Y168" i="14"/>
  <c r="AF168" i="14"/>
  <c r="AL164" i="14"/>
  <c r="AC164" i="14"/>
  <c r="AJ164" i="14"/>
  <c r="AA164" i="14"/>
  <c r="AH164" i="14"/>
  <c r="Y164" i="14"/>
  <c r="AF164" i="14"/>
  <c r="AL171" i="14"/>
  <c r="AC171" i="14"/>
  <c r="AJ171" i="14"/>
  <c r="AA171" i="14"/>
  <c r="AH171" i="14"/>
  <c r="Y171" i="14"/>
  <c r="AF171" i="14"/>
  <c r="AL167" i="14"/>
  <c r="AC167" i="14"/>
  <c r="AJ167" i="14"/>
  <c r="AA167" i="14"/>
  <c r="AH167" i="14"/>
  <c r="Y167" i="14"/>
  <c r="AF167" i="14"/>
  <c r="AL163" i="14"/>
  <c r="AC163" i="14"/>
  <c r="AJ163" i="14"/>
  <c r="AA163" i="14"/>
  <c r="AH163" i="14"/>
  <c r="Y163" i="14"/>
  <c r="AF163" i="14"/>
  <c r="AL198" i="14"/>
  <c r="AC198" i="14"/>
  <c r="AJ198" i="14"/>
  <c r="AA198" i="14"/>
  <c r="AH198" i="14"/>
  <c r="Y198" i="14"/>
  <c r="AL170" i="14"/>
  <c r="AC170" i="14"/>
  <c r="AJ170" i="14"/>
  <c r="AA170" i="14"/>
  <c r="AH170" i="14"/>
  <c r="Y170" i="14"/>
  <c r="AF170" i="14"/>
  <c r="AL166" i="14"/>
  <c r="AC166" i="14"/>
  <c r="AJ166" i="14"/>
  <c r="AA166" i="14"/>
  <c r="AH166" i="14"/>
  <c r="Y166" i="14"/>
  <c r="AF166" i="14"/>
  <c r="AL162" i="14"/>
  <c r="AC162" i="14"/>
  <c r="AJ162" i="14"/>
  <c r="AA162" i="14"/>
  <c r="AH162" i="14"/>
  <c r="Y162" i="14"/>
  <c r="AF162" i="14"/>
  <c r="AL169" i="14"/>
  <c r="AC169" i="14"/>
  <c r="AJ169" i="14"/>
  <c r="AA169" i="14"/>
  <c r="AH169" i="14"/>
  <c r="Y169" i="14"/>
  <c r="AF169" i="14"/>
  <c r="AL165" i="14"/>
  <c r="AC165" i="14"/>
  <c r="AJ165" i="14"/>
  <c r="AA165" i="14"/>
  <c r="AH165" i="14"/>
  <c r="Y165" i="14"/>
  <c r="AF165" i="14"/>
  <c r="AL161" i="14"/>
  <c r="AC161" i="14"/>
  <c r="AJ161" i="14"/>
  <c r="AA161" i="14"/>
  <c r="AH161" i="14"/>
  <c r="Y161" i="14"/>
  <c r="AF161" i="14"/>
  <c r="AL205" i="14"/>
  <c r="AC205" i="14"/>
  <c r="AJ205" i="14"/>
  <c r="AA205" i="14"/>
  <c r="AH205" i="14"/>
  <c r="Y205" i="14"/>
  <c r="AF205" i="14"/>
  <c r="AL201" i="14"/>
  <c r="AC201" i="14"/>
  <c r="AJ201" i="14"/>
  <c r="AA201" i="14"/>
  <c r="AH201" i="14"/>
  <c r="Y201" i="14"/>
  <c r="AF201" i="14"/>
  <c r="AL206" i="14"/>
  <c r="AC206" i="14"/>
  <c r="AJ206" i="14"/>
  <c r="AA206" i="14"/>
  <c r="AH206" i="14"/>
  <c r="Y206" i="14"/>
  <c r="AF206" i="14"/>
  <c r="AL202" i="14"/>
  <c r="AC202" i="14"/>
  <c r="AJ202" i="14"/>
  <c r="AA202" i="14"/>
  <c r="AH202" i="14"/>
  <c r="Y202" i="14"/>
  <c r="AF202" i="14"/>
  <c r="AM172" i="14"/>
  <c r="AD172" i="14"/>
  <c r="AK172" i="14"/>
  <c r="AB172" i="14"/>
  <c r="AI172" i="14"/>
  <c r="Z172" i="14"/>
  <c r="AG172" i="14"/>
  <c r="X172" i="14"/>
  <c r="AM168" i="14"/>
  <c r="AD168" i="14"/>
  <c r="AK168" i="14"/>
  <c r="AB168" i="14"/>
  <c r="AI168" i="14"/>
  <c r="Z168" i="14"/>
  <c r="AG168" i="14"/>
  <c r="X168" i="14"/>
  <c r="AM164" i="14"/>
  <c r="AD164" i="14"/>
  <c r="AK164" i="14"/>
  <c r="AB164" i="14"/>
  <c r="AI164" i="14"/>
  <c r="Z164" i="14"/>
  <c r="AG164" i="14"/>
  <c r="X164" i="14"/>
  <c r="AM171" i="14"/>
  <c r="AD171" i="14"/>
  <c r="AK171" i="14"/>
  <c r="AB171" i="14"/>
  <c r="AI171" i="14"/>
  <c r="Z171" i="14"/>
  <c r="AG171" i="14"/>
  <c r="X171" i="14"/>
  <c r="AM167" i="14"/>
  <c r="AD167" i="14"/>
  <c r="AK167" i="14"/>
  <c r="AB167" i="14"/>
  <c r="AI167" i="14"/>
  <c r="Z167" i="14"/>
  <c r="AG167" i="14"/>
  <c r="X167" i="14"/>
  <c r="AM163" i="14"/>
  <c r="AD163" i="14"/>
  <c r="AK163" i="14"/>
  <c r="AB163" i="14"/>
  <c r="AI163" i="14"/>
  <c r="Z163" i="14"/>
  <c r="AG163" i="14"/>
  <c r="X163" i="14"/>
  <c r="AK198" i="14"/>
  <c r="AB198" i="14"/>
  <c r="AI198" i="14"/>
  <c r="Z198" i="14"/>
  <c r="AG198" i="14"/>
  <c r="X198" i="14"/>
  <c r="AM170" i="14"/>
  <c r="AD170" i="14"/>
  <c r="AK170" i="14"/>
  <c r="AB170" i="14"/>
  <c r="AI170" i="14"/>
  <c r="Z170" i="14"/>
  <c r="AG170" i="14"/>
  <c r="X170" i="14"/>
  <c r="AM166" i="14"/>
  <c r="AD166" i="14"/>
  <c r="AK166" i="14"/>
  <c r="AB166" i="14"/>
  <c r="AI166" i="14"/>
  <c r="Z166" i="14"/>
  <c r="AG166" i="14"/>
  <c r="X166" i="14"/>
  <c r="AM162" i="14"/>
  <c r="AD162" i="14"/>
  <c r="AK162" i="14"/>
  <c r="AB162" i="14"/>
  <c r="AI162" i="14"/>
  <c r="Z162" i="14"/>
  <c r="AG162" i="14"/>
  <c r="X162" i="14"/>
  <c r="AM169" i="14"/>
  <c r="AD169" i="14"/>
  <c r="AK169" i="14"/>
  <c r="AB169" i="14"/>
  <c r="AI169" i="14"/>
  <c r="Z169" i="14"/>
  <c r="AG169" i="14"/>
  <c r="X169" i="14"/>
  <c r="AM165" i="14"/>
  <c r="AD165" i="14"/>
  <c r="AK165" i="14"/>
  <c r="AB165" i="14"/>
  <c r="AI165" i="14"/>
  <c r="Z165" i="14"/>
  <c r="AG165" i="14"/>
  <c r="X165" i="14"/>
  <c r="AM161" i="14"/>
  <c r="AD161" i="14"/>
  <c r="AK161" i="14"/>
  <c r="AB161" i="14"/>
  <c r="AI161" i="14"/>
  <c r="Z161" i="14"/>
  <c r="AG161" i="14"/>
  <c r="X161" i="14"/>
  <c r="AK205" i="14"/>
  <c r="AB205" i="14"/>
  <c r="AI205" i="14"/>
  <c r="Z205" i="14"/>
  <c r="AG205" i="14"/>
  <c r="X205" i="14"/>
  <c r="AK201" i="14"/>
  <c r="AB201" i="14"/>
  <c r="AI201" i="14"/>
  <c r="Z201" i="14"/>
  <c r="AG201" i="14"/>
  <c r="X201" i="14"/>
  <c r="AK206" i="14"/>
  <c r="AB206" i="14"/>
  <c r="AI206" i="14"/>
  <c r="Z206" i="14"/>
  <c r="AG206" i="14"/>
  <c r="X206" i="14"/>
  <c r="AK202" i="14"/>
  <c r="AB202" i="14"/>
  <c r="AI202" i="14"/>
  <c r="Z202" i="14"/>
  <c r="AG202" i="14"/>
  <c r="X202" i="14"/>
  <c r="Q183" i="14"/>
  <c r="Y183" i="14"/>
  <c r="Q190" i="14"/>
  <c r="Y190" i="14"/>
  <c r="Q178" i="14"/>
  <c r="Y178" i="14"/>
  <c r="R195" i="14"/>
  <c r="AK204" i="12"/>
  <c r="AK182" i="12"/>
  <c r="AL218" i="12"/>
  <c r="AL159" i="12"/>
  <c r="AK215" i="12"/>
  <c r="S159" i="12"/>
  <c r="Y159" i="12" s="1"/>
  <c r="Y167" i="12"/>
  <c r="X205" i="12"/>
  <c r="X209" i="12"/>
  <c r="X213" i="12"/>
  <c r="X208" i="12"/>
  <c r="X212" i="12"/>
  <c r="X183" i="12"/>
  <c r="X187" i="12"/>
  <c r="X191" i="12"/>
  <c r="X195" i="12"/>
  <c r="X199" i="12"/>
  <c r="X203" i="12"/>
  <c r="X186" i="12"/>
  <c r="X190" i="12"/>
  <c r="X194" i="12"/>
  <c r="X198" i="12"/>
  <c r="X202" i="12"/>
  <c r="X169" i="12"/>
  <c r="X173" i="12"/>
  <c r="X177" i="12"/>
  <c r="X168" i="12"/>
  <c r="X172" i="12"/>
  <c r="X176" i="12"/>
  <c r="N207" i="14"/>
  <c r="W207" i="14" s="1"/>
  <c r="O207" i="14"/>
  <c r="P207" i="14"/>
  <c r="Q207" i="14"/>
  <c r="R207" i="14"/>
  <c r="S207" i="14"/>
  <c r="T207" i="14"/>
  <c r="U207" i="14"/>
  <c r="N199" i="14"/>
  <c r="W199" i="14" s="1"/>
  <c r="O199" i="14"/>
  <c r="P199" i="14"/>
  <c r="Q199" i="14"/>
  <c r="R199" i="14"/>
  <c r="S199" i="14"/>
  <c r="T199" i="14"/>
  <c r="U199" i="14"/>
  <c r="N200" i="14"/>
  <c r="W200" i="14" s="1"/>
  <c r="O200" i="14"/>
  <c r="P200" i="14"/>
  <c r="Q200" i="14"/>
  <c r="R200" i="14"/>
  <c r="S200" i="14"/>
  <c r="T200" i="14"/>
  <c r="U200" i="14"/>
  <c r="AK167" i="12"/>
  <c r="X207" i="12"/>
  <c r="X211" i="12"/>
  <c r="X206" i="12"/>
  <c r="X210" i="12"/>
  <c r="X214" i="12"/>
  <c r="X185" i="12"/>
  <c r="X189" i="12"/>
  <c r="X193" i="12"/>
  <c r="X197" i="12"/>
  <c r="X201" i="12"/>
  <c r="X184" i="12"/>
  <c r="X188" i="12"/>
  <c r="X192" i="12"/>
  <c r="X196" i="12"/>
  <c r="X200" i="12"/>
  <c r="X216" i="12"/>
  <c r="X171" i="12"/>
  <c r="X175" i="12"/>
  <c r="X179" i="12"/>
  <c r="X170" i="12"/>
  <c r="X174" i="12"/>
  <c r="X178" i="12"/>
  <c r="N203" i="14"/>
  <c r="W203" i="14" s="1"/>
  <c r="O203" i="14"/>
  <c r="P203" i="14"/>
  <c r="Q203" i="14"/>
  <c r="R203" i="14"/>
  <c r="S203" i="14"/>
  <c r="T203" i="14"/>
  <c r="U203" i="14"/>
  <c r="N204" i="14"/>
  <c r="W204" i="14" s="1"/>
  <c r="O204" i="14"/>
  <c r="P204" i="14"/>
  <c r="Q204" i="14"/>
  <c r="R204" i="14"/>
  <c r="S204" i="14"/>
  <c r="T204" i="14"/>
  <c r="U204" i="14"/>
  <c r="Y160" i="12"/>
  <c r="K182" i="12"/>
  <c r="K215" i="12"/>
  <c r="O182" i="12"/>
  <c r="O204" i="12"/>
  <c r="O215" i="12"/>
  <c r="M204" i="12"/>
  <c r="M182" i="12"/>
  <c r="M215" i="12"/>
  <c r="AI181" i="12"/>
  <c r="U204" i="12"/>
  <c r="U215" i="12"/>
  <c r="U182" i="12"/>
  <c r="AH181" i="12"/>
  <c r="Q182" i="12"/>
  <c r="Q215" i="12"/>
  <c r="Q204" i="12"/>
  <c r="AE218" i="12"/>
  <c r="K218" i="12"/>
  <c r="S182" i="12"/>
  <c r="S215" i="12"/>
  <c r="S204" i="12"/>
  <c r="K204" i="12"/>
  <c r="U218" i="12"/>
  <c r="Q218" i="12"/>
  <c r="M218" i="12"/>
  <c r="G167" i="12"/>
  <c r="G159" i="12" s="1"/>
  <c r="W204" i="12"/>
  <c r="W215" i="12"/>
  <c r="W182" i="12"/>
  <c r="O218" i="12"/>
  <c r="I167" i="12"/>
  <c r="I159" i="12" s="1"/>
  <c r="K167" i="12"/>
  <c r="K159" i="12" s="1"/>
  <c r="AG181" i="12"/>
  <c r="AC159" i="12"/>
  <c r="AD159" i="12"/>
  <c r="AE159" i="12"/>
  <c r="AJ181" i="12"/>
  <c r="AF181" i="12"/>
  <c r="AD218" i="12"/>
  <c r="AC218" i="12"/>
  <c r="AE181" i="12"/>
  <c r="H181" i="12"/>
  <c r="F181" i="12"/>
  <c r="AM200" i="14" l="1"/>
  <c r="AD200" i="14"/>
  <c r="AM199" i="14"/>
  <c r="AD199" i="14"/>
  <c r="AM207" i="14"/>
  <c r="AD207" i="14"/>
  <c r="AM204" i="14"/>
  <c r="AD204" i="14"/>
  <c r="AM203" i="14"/>
  <c r="AD203" i="14"/>
  <c r="AL204" i="14"/>
  <c r="AC204" i="14"/>
  <c r="AH204" i="14"/>
  <c r="Y204" i="14"/>
  <c r="AF204" i="14"/>
  <c r="AJ203" i="14"/>
  <c r="AA203" i="14"/>
  <c r="AH203" i="14"/>
  <c r="Y203" i="14"/>
  <c r="AK200" i="14"/>
  <c r="AB200" i="14"/>
  <c r="AI200" i="14"/>
  <c r="Z200" i="14"/>
  <c r="AG200" i="14"/>
  <c r="X200" i="14"/>
  <c r="AK199" i="14"/>
  <c r="AB199" i="14"/>
  <c r="AI199" i="14"/>
  <c r="Z199" i="14"/>
  <c r="AG199" i="14"/>
  <c r="X199" i="14"/>
  <c r="AK207" i="14"/>
  <c r="AB207" i="14"/>
  <c r="AI207" i="14"/>
  <c r="Z207" i="14"/>
  <c r="R178" i="14"/>
  <c r="Z178" i="14"/>
  <c r="R190" i="14"/>
  <c r="Z190" i="14"/>
  <c r="AK204" i="14"/>
  <c r="AB204" i="14"/>
  <c r="AI204" i="14"/>
  <c r="Z204" i="14"/>
  <c r="AG204" i="14"/>
  <c r="X204" i="14"/>
  <c r="AK203" i="14"/>
  <c r="AB203" i="14"/>
  <c r="AI203" i="14"/>
  <c r="Z203" i="14"/>
  <c r="AG203" i="14"/>
  <c r="X203" i="14"/>
  <c r="AL200" i="14"/>
  <c r="AC200" i="14"/>
  <c r="AJ200" i="14"/>
  <c r="AA200" i="14"/>
  <c r="AH200" i="14"/>
  <c r="Y200" i="14"/>
  <c r="AF200" i="14"/>
  <c r="AL199" i="14"/>
  <c r="AC199" i="14"/>
  <c r="AJ199" i="14"/>
  <c r="AA199" i="14"/>
  <c r="AH199" i="14"/>
  <c r="Y199" i="14"/>
  <c r="AF199" i="14"/>
  <c r="AL207" i="14"/>
  <c r="AC207" i="14"/>
  <c r="AJ207" i="14"/>
  <c r="AA207" i="14"/>
  <c r="AH207" i="14"/>
  <c r="Y207" i="14"/>
  <c r="AF207" i="14"/>
  <c r="R183" i="14"/>
  <c r="Z183" i="14"/>
  <c r="R191" i="14"/>
  <c r="Z191" i="14"/>
  <c r="R181" i="14"/>
  <c r="Z181" i="14"/>
  <c r="R188" i="14"/>
  <c r="Z188" i="14"/>
  <c r="R182" i="14"/>
  <c r="Z182" i="14"/>
  <c r="R180" i="14"/>
  <c r="Z180" i="14"/>
  <c r="R179" i="14"/>
  <c r="Z179" i="14"/>
  <c r="AJ204" i="14"/>
  <c r="AA204" i="14"/>
  <c r="AL203" i="14"/>
  <c r="AC203" i="14"/>
  <c r="AF203" i="14"/>
  <c r="AG207" i="14"/>
  <c r="X207" i="14"/>
  <c r="S195" i="14"/>
  <c r="AA195" i="14"/>
  <c r="Y215" i="12"/>
  <c r="Y204" i="12"/>
  <c r="Y182" i="12"/>
  <c r="AL181" i="12"/>
  <c r="W181" i="12"/>
  <c r="K181" i="12"/>
  <c r="G182" i="12"/>
  <c r="G215" i="12"/>
  <c r="G204" i="12"/>
  <c r="E160" i="12"/>
  <c r="X160" i="12" s="1"/>
  <c r="E167" i="12"/>
  <c r="X167" i="12" s="1"/>
  <c r="I215" i="12"/>
  <c r="I204" i="12"/>
  <c r="I182" i="12"/>
  <c r="S181" i="12"/>
  <c r="M181" i="12"/>
  <c r="I218" i="12"/>
  <c r="O181" i="12"/>
  <c r="Q181" i="12"/>
  <c r="U181" i="12"/>
  <c r="G218" i="12"/>
  <c r="AB159" i="12"/>
  <c r="AK159" i="12" s="1"/>
  <c r="AD181" i="12"/>
  <c r="AC181" i="12"/>
  <c r="AB218" i="12"/>
  <c r="AK218" i="12" s="1"/>
  <c r="D181" i="12"/>
  <c r="AB87" i="12"/>
  <c r="AK87" i="12" s="1"/>
  <c r="AC87" i="12"/>
  <c r="AD87" i="12"/>
  <c r="AE87" i="12"/>
  <c r="AF87" i="12"/>
  <c r="AG87" i="12"/>
  <c r="AH87" i="12"/>
  <c r="AL87" i="12" s="1"/>
  <c r="AI87" i="12"/>
  <c r="AJ87" i="12"/>
  <c r="AB88" i="12"/>
  <c r="AK88" i="12" s="1"/>
  <c r="AC88" i="12"/>
  <c r="AD88" i="12"/>
  <c r="AE88" i="12"/>
  <c r="AF88" i="12"/>
  <c r="AG88" i="12"/>
  <c r="AH88" i="12"/>
  <c r="AL88" i="12" s="1"/>
  <c r="AI88" i="12"/>
  <c r="AJ88" i="12"/>
  <c r="AB90" i="12"/>
  <c r="AC90" i="12"/>
  <c r="AD90" i="12"/>
  <c r="AE90" i="12"/>
  <c r="AF90" i="12"/>
  <c r="AG90" i="12"/>
  <c r="AH90" i="12"/>
  <c r="AL90" i="12" s="1"/>
  <c r="AI90" i="12"/>
  <c r="AJ90" i="12"/>
  <c r="AB91" i="12"/>
  <c r="AC91" i="12"/>
  <c r="AD91" i="12"/>
  <c r="AE91" i="12"/>
  <c r="AF91" i="12"/>
  <c r="AG91" i="12"/>
  <c r="AH91" i="12"/>
  <c r="AI91" i="12"/>
  <c r="AJ91" i="12"/>
  <c r="AB92" i="12"/>
  <c r="AC92" i="12"/>
  <c r="AD92" i="12"/>
  <c r="AE92" i="12"/>
  <c r="AF92" i="12"/>
  <c r="AG92" i="12"/>
  <c r="AH92" i="12"/>
  <c r="AI92" i="12"/>
  <c r="AJ92" i="12"/>
  <c r="AB93" i="12"/>
  <c r="AC93" i="12"/>
  <c r="AD93" i="12"/>
  <c r="AE93" i="12"/>
  <c r="AF93" i="12"/>
  <c r="AG93" i="12"/>
  <c r="AH93" i="12"/>
  <c r="AI93" i="12"/>
  <c r="AJ93" i="12"/>
  <c r="AB94" i="12"/>
  <c r="AC94" i="12"/>
  <c r="AD94" i="12"/>
  <c r="AE94" i="12"/>
  <c r="AF94" i="12"/>
  <c r="AG94" i="12"/>
  <c r="AH94" i="12"/>
  <c r="AI94" i="12"/>
  <c r="AJ94" i="12"/>
  <c r="AB95" i="12"/>
  <c r="AC95" i="12"/>
  <c r="AD95" i="12"/>
  <c r="AE95" i="12"/>
  <c r="AF95" i="12"/>
  <c r="AG95" i="12"/>
  <c r="AH95" i="12"/>
  <c r="AI95" i="12"/>
  <c r="AJ95" i="12"/>
  <c r="AB96" i="12"/>
  <c r="AC96" i="12"/>
  <c r="AD96" i="12"/>
  <c r="AE96" i="12"/>
  <c r="AF96" i="12"/>
  <c r="AG96" i="12"/>
  <c r="AH96" i="12"/>
  <c r="AI96" i="12"/>
  <c r="AJ96" i="12"/>
  <c r="AB97" i="12"/>
  <c r="AK97" i="12" s="1"/>
  <c r="AC97" i="12"/>
  <c r="AD97" i="12"/>
  <c r="AE97" i="12"/>
  <c r="AF97" i="12"/>
  <c r="AG97" i="12"/>
  <c r="AH97" i="12"/>
  <c r="AI97" i="12"/>
  <c r="AJ97" i="12"/>
  <c r="AB99" i="12"/>
  <c r="AC99" i="12"/>
  <c r="AD99" i="12"/>
  <c r="AE99" i="12"/>
  <c r="AF99" i="12"/>
  <c r="AG99" i="12"/>
  <c r="AH99" i="12"/>
  <c r="AI99" i="12"/>
  <c r="AJ99" i="12"/>
  <c r="AB100" i="12"/>
  <c r="AK100" i="12" s="1"/>
  <c r="AC100" i="12"/>
  <c r="AD100" i="12"/>
  <c r="AE100" i="12"/>
  <c r="AF100" i="12"/>
  <c r="AG100" i="12"/>
  <c r="AH100" i="12"/>
  <c r="AI100" i="12"/>
  <c r="AJ100" i="12"/>
  <c r="AB101" i="12"/>
  <c r="AK101" i="12" s="1"/>
  <c r="AC101" i="12"/>
  <c r="AD101" i="12"/>
  <c r="AE101" i="12"/>
  <c r="AF101" i="12"/>
  <c r="AG101" i="12"/>
  <c r="AH101" i="12"/>
  <c r="AI101" i="12"/>
  <c r="AJ101" i="12"/>
  <c r="AB103" i="12"/>
  <c r="AC103" i="12"/>
  <c r="AD103" i="12"/>
  <c r="AE103" i="12"/>
  <c r="AF103" i="12"/>
  <c r="AG103" i="12"/>
  <c r="AH103" i="12"/>
  <c r="AL103" i="12" s="1"/>
  <c r="AI103" i="12"/>
  <c r="AJ103" i="12"/>
  <c r="AB104" i="12"/>
  <c r="AC104" i="12"/>
  <c r="AD104" i="12"/>
  <c r="AE104" i="12"/>
  <c r="AF104" i="12"/>
  <c r="AG104" i="12"/>
  <c r="AH104" i="12"/>
  <c r="AI104" i="12"/>
  <c r="AJ104" i="12"/>
  <c r="AB105" i="12"/>
  <c r="AC105" i="12"/>
  <c r="AD105" i="12"/>
  <c r="AE105" i="12"/>
  <c r="AF105" i="12"/>
  <c r="AG105" i="12"/>
  <c r="AH105" i="12"/>
  <c r="AI105" i="12"/>
  <c r="AJ105" i="12"/>
  <c r="AB106" i="12"/>
  <c r="AK106" i="12" s="1"/>
  <c r="AC106" i="12"/>
  <c r="AD106" i="12"/>
  <c r="AE106" i="12"/>
  <c r="AF106" i="12"/>
  <c r="AG106" i="12"/>
  <c r="AH106" i="12"/>
  <c r="AI106" i="12"/>
  <c r="AJ106" i="12"/>
  <c r="AB107" i="12"/>
  <c r="AC107" i="12"/>
  <c r="AD107" i="12"/>
  <c r="AE107" i="12"/>
  <c r="AF107" i="12"/>
  <c r="AG107" i="12"/>
  <c r="AH107" i="12"/>
  <c r="AL107" i="12" s="1"/>
  <c r="AI107" i="12"/>
  <c r="AJ107" i="12"/>
  <c r="AB108" i="12"/>
  <c r="AK108" i="12" s="1"/>
  <c r="AC108" i="12"/>
  <c r="AD108" i="12"/>
  <c r="AE108" i="12"/>
  <c r="AF108" i="12"/>
  <c r="AG108" i="12"/>
  <c r="AH108" i="12"/>
  <c r="AL108" i="12" s="1"/>
  <c r="AI108" i="12"/>
  <c r="AJ108" i="12"/>
  <c r="AB110" i="12"/>
  <c r="AK110" i="12" s="1"/>
  <c r="AC110" i="12"/>
  <c r="AD110" i="12"/>
  <c r="AE110" i="12"/>
  <c r="AF110" i="12"/>
  <c r="AG110" i="12"/>
  <c r="AH110" i="12"/>
  <c r="AI110" i="12"/>
  <c r="AJ110" i="12"/>
  <c r="AB111" i="12"/>
  <c r="AK111" i="12" s="1"/>
  <c r="AC111" i="12"/>
  <c r="AD111" i="12"/>
  <c r="AE111" i="12"/>
  <c r="AF111" i="12"/>
  <c r="AG111" i="12"/>
  <c r="AH111" i="12"/>
  <c r="AL111" i="12" s="1"/>
  <c r="AI111" i="12"/>
  <c r="AJ111" i="12"/>
  <c r="AB112" i="12"/>
  <c r="AC112" i="12"/>
  <c r="AD112" i="12"/>
  <c r="AE112" i="12"/>
  <c r="AF112" i="12"/>
  <c r="AG112" i="12"/>
  <c r="AH112" i="12"/>
  <c r="AL112" i="12" s="1"/>
  <c r="AI112" i="12"/>
  <c r="AJ112" i="12"/>
  <c r="AB113" i="12"/>
  <c r="AC113" i="12"/>
  <c r="AD113" i="12"/>
  <c r="AE113" i="12"/>
  <c r="AF113" i="12"/>
  <c r="AG113" i="12"/>
  <c r="AH113" i="12"/>
  <c r="AL113" i="12" s="1"/>
  <c r="AI113" i="12"/>
  <c r="AJ113" i="12"/>
  <c r="AB114" i="12"/>
  <c r="AK114" i="12" s="1"/>
  <c r="AC114" i="12"/>
  <c r="AD114" i="12"/>
  <c r="AE114" i="12"/>
  <c r="AF114" i="12"/>
  <c r="AG114" i="12"/>
  <c r="AH114" i="12"/>
  <c r="AL114" i="12" s="1"/>
  <c r="AI114" i="12"/>
  <c r="AJ114" i="12"/>
  <c r="AH115" i="12"/>
  <c r="AB116" i="12"/>
  <c r="AC116" i="12"/>
  <c r="AD116" i="12"/>
  <c r="AE116" i="12"/>
  <c r="AF116" i="12"/>
  <c r="AG116" i="12"/>
  <c r="AH116" i="12"/>
  <c r="AL116" i="12" s="1"/>
  <c r="AI116" i="12"/>
  <c r="AJ116" i="12"/>
  <c r="AB117" i="12"/>
  <c r="AK117" i="12" s="1"/>
  <c r="AC117" i="12"/>
  <c r="AD117" i="12"/>
  <c r="AE117" i="12"/>
  <c r="AF117" i="12"/>
  <c r="AG117" i="12"/>
  <c r="AH117" i="12"/>
  <c r="AL117" i="12" s="1"/>
  <c r="AI117" i="12"/>
  <c r="AJ117" i="12"/>
  <c r="AB119" i="12"/>
  <c r="AK119" i="12" s="1"/>
  <c r="AC119" i="12"/>
  <c r="AD119" i="12"/>
  <c r="AE119" i="12"/>
  <c r="AF119" i="12"/>
  <c r="AG119" i="12"/>
  <c r="AH119" i="12"/>
  <c r="AI119" i="12"/>
  <c r="AJ119" i="12"/>
  <c r="AB120" i="12"/>
  <c r="AC120" i="12"/>
  <c r="AD120" i="12"/>
  <c r="AE120" i="12"/>
  <c r="AF120" i="12"/>
  <c r="AG120" i="12"/>
  <c r="AH120" i="12"/>
  <c r="AL120" i="12" s="1"/>
  <c r="AI120" i="12"/>
  <c r="AJ120" i="12"/>
  <c r="AB121" i="12"/>
  <c r="AK121" i="12" s="1"/>
  <c r="AC121" i="12"/>
  <c r="AD121" i="12"/>
  <c r="AE121" i="12"/>
  <c r="AF121" i="12"/>
  <c r="AG121" i="12"/>
  <c r="AH121" i="12"/>
  <c r="AL121" i="12" s="1"/>
  <c r="AI121" i="12"/>
  <c r="AJ121" i="12"/>
  <c r="AB122" i="12"/>
  <c r="AK122" i="12" s="1"/>
  <c r="AC122" i="12"/>
  <c r="AD122" i="12"/>
  <c r="AE122" i="12"/>
  <c r="AF122" i="12"/>
  <c r="AG122" i="12"/>
  <c r="AH122" i="12"/>
  <c r="AL122" i="12" s="1"/>
  <c r="AI122" i="12"/>
  <c r="AJ122" i="12"/>
  <c r="AB128" i="12"/>
  <c r="AC128" i="12"/>
  <c r="AD128" i="12"/>
  <c r="AE128" i="12"/>
  <c r="AF128" i="12"/>
  <c r="AG128" i="12"/>
  <c r="AH128" i="12"/>
  <c r="AI128" i="12"/>
  <c r="AJ128" i="12"/>
  <c r="AB130" i="12"/>
  <c r="AK130" i="12" s="1"/>
  <c r="AC130" i="12"/>
  <c r="AD130" i="12"/>
  <c r="AE130" i="12"/>
  <c r="AF130" i="12"/>
  <c r="AG130" i="12"/>
  <c r="AH130" i="12"/>
  <c r="AI130" i="12"/>
  <c r="AJ130" i="12"/>
  <c r="AB131" i="12"/>
  <c r="AK131" i="12" s="1"/>
  <c r="AC131" i="12"/>
  <c r="AD131" i="12"/>
  <c r="AE131" i="12"/>
  <c r="AF131" i="12"/>
  <c r="AG131" i="12"/>
  <c r="AH131" i="12"/>
  <c r="AL131" i="12" s="1"/>
  <c r="AI131" i="12"/>
  <c r="AJ131" i="12"/>
  <c r="AB132" i="12"/>
  <c r="AC132" i="12"/>
  <c r="AD132" i="12"/>
  <c r="AE132" i="12"/>
  <c r="AF132" i="12"/>
  <c r="AG132" i="12"/>
  <c r="AH132" i="12"/>
  <c r="AI132" i="12"/>
  <c r="AJ132" i="12"/>
  <c r="AB133" i="12"/>
  <c r="AC133" i="12"/>
  <c r="AD133" i="12"/>
  <c r="AE133" i="12"/>
  <c r="AF133" i="12"/>
  <c r="AG133" i="12"/>
  <c r="AH133" i="12"/>
  <c r="AI133" i="12"/>
  <c r="AJ133" i="12"/>
  <c r="AB134" i="12"/>
  <c r="AK134" i="12" s="1"/>
  <c r="AC134" i="12"/>
  <c r="AD134" i="12"/>
  <c r="AE134" i="12"/>
  <c r="AF134" i="12"/>
  <c r="AG134" i="12"/>
  <c r="AH134" i="12"/>
  <c r="AL134" i="12" s="1"/>
  <c r="AI134" i="12"/>
  <c r="AJ134" i="12"/>
  <c r="AB135" i="12"/>
  <c r="AC135" i="12"/>
  <c r="AD135" i="12"/>
  <c r="AE135" i="12"/>
  <c r="AF135" i="12"/>
  <c r="AG135" i="12"/>
  <c r="AH135" i="12"/>
  <c r="AL135" i="12" s="1"/>
  <c r="AI135" i="12"/>
  <c r="AJ135" i="12"/>
  <c r="AB136" i="12"/>
  <c r="AK136" i="12" s="1"/>
  <c r="AC136" i="12"/>
  <c r="AD136" i="12"/>
  <c r="AE136" i="12"/>
  <c r="AF136" i="12"/>
  <c r="AG136" i="12"/>
  <c r="AH136" i="12"/>
  <c r="AL136" i="12" s="1"/>
  <c r="AI136" i="12"/>
  <c r="AJ136" i="12"/>
  <c r="AB138" i="12"/>
  <c r="AC138" i="12"/>
  <c r="AD138" i="12"/>
  <c r="AE138" i="12"/>
  <c r="AF138" i="12"/>
  <c r="AG138" i="12"/>
  <c r="AH138" i="12"/>
  <c r="AI138" i="12"/>
  <c r="AJ138" i="12"/>
  <c r="AB139" i="12"/>
  <c r="AK139" i="12" s="1"/>
  <c r="AC139" i="12"/>
  <c r="AD139" i="12"/>
  <c r="AE139" i="12"/>
  <c r="AF139" i="12"/>
  <c r="AG139" i="12"/>
  <c r="AH139" i="12"/>
  <c r="AI139" i="12"/>
  <c r="AJ139" i="12"/>
  <c r="AB140" i="12"/>
  <c r="AC140" i="12"/>
  <c r="AD140" i="12"/>
  <c r="AE140" i="12"/>
  <c r="AF140" i="12"/>
  <c r="AG140" i="12"/>
  <c r="AH140" i="12"/>
  <c r="AL140" i="12" s="1"/>
  <c r="AI140" i="12"/>
  <c r="AJ140" i="12"/>
  <c r="AJ141" i="12"/>
  <c r="AB142" i="12"/>
  <c r="AC142" i="12"/>
  <c r="AD142" i="12"/>
  <c r="AE142" i="12"/>
  <c r="AF142" i="12"/>
  <c r="AG142" i="12"/>
  <c r="AH142" i="12"/>
  <c r="AL142" i="12" s="1"/>
  <c r="AI142" i="12"/>
  <c r="AJ142" i="12"/>
  <c r="AD143" i="12"/>
  <c r="AE143" i="12"/>
  <c r="AF143" i="12"/>
  <c r="AG143" i="12"/>
  <c r="AH143" i="12"/>
  <c r="AL143" i="12" s="1"/>
  <c r="AI143" i="12"/>
  <c r="AJ143" i="12"/>
  <c r="AB144" i="12"/>
  <c r="AK144" i="12" s="1"/>
  <c r="AC144" i="12"/>
  <c r="AD144" i="12"/>
  <c r="AE144" i="12"/>
  <c r="AF144" i="12"/>
  <c r="AG144" i="12"/>
  <c r="AH144" i="12"/>
  <c r="AL144" i="12" s="1"/>
  <c r="AI144" i="12"/>
  <c r="AJ144" i="12"/>
  <c r="AB146" i="12"/>
  <c r="AC146" i="12"/>
  <c r="AD146" i="12"/>
  <c r="AE146" i="12"/>
  <c r="AF146" i="12"/>
  <c r="AG146" i="12"/>
  <c r="AH146" i="12"/>
  <c r="AI146" i="12"/>
  <c r="AJ146" i="12"/>
  <c r="AB147" i="12"/>
  <c r="AK147" i="12" s="1"/>
  <c r="AC147" i="12"/>
  <c r="AF147" i="12"/>
  <c r="AG147" i="12"/>
  <c r="AH147" i="12"/>
  <c r="AL147" i="12" s="1"/>
  <c r="AI147" i="12"/>
  <c r="AJ147" i="12"/>
  <c r="AB149" i="12"/>
  <c r="AK149" i="12" s="1"/>
  <c r="AC149" i="12"/>
  <c r="AD149" i="12"/>
  <c r="AE149" i="12"/>
  <c r="AF149" i="12"/>
  <c r="AG149" i="12"/>
  <c r="AH149" i="12"/>
  <c r="AL149" i="12" s="1"/>
  <c r="AI149" i="12"/>
  <c r="AJ149" i="12"/>
  <c r="AB150" i="12"/>
  <c r="AK150" i="12" s="1"/>
  <c r="AC150" i="12"/>
  <c r="AD150" i="12"/>
  <c r="AE150" i="12"/>
  <c r="AF150" i="12"/>
  <c r="AG150" i="12"/>
  <c r="AH150" i="12"/>
  <c r="AL150" i="12" s="1"/>
  <c r="AI150" i="12"/>
  <c r="AJ150" i="12"/>
  <c r="AB23" i="12"/>
  <c r="AC23" i="12"/>
  <c r="AD23" i="12"/>
  <c r="AE23" i="12"/>
  <c r="AF23" i="12"/>
  <c r="AG23" i="12"/>
  <c r="AH23" i="12"/>
  <c r="AI23" i="12"/>
  <c r="AJ23" i="12"/>
  <c r="AB24" i="12"/>
  <c r="AK24" i="12" s="1"/>
  <c r="AC24" i="12"/>
  <c r="AD24" i="12"/>
  <c r="AE24" i="12"/>
  <c r="AF24" i="12"/>
  <c r="AG24" i="12"/>
  <c r="AH24" i="12"/>
  <c r="AL24" i="12" s="1"/>
  <c r="AI24" i="12"/>
  <c r="AJ24" i="12"/>
  <c r="AB25" i="12"/>
  <c r="AK25" i="12" s="1"/>
  <c r="AC25" i="12"/>
  <c r="AD25" i="12"/>
  <c r="AE25" i="12"/>
  <c r="AF25" i="12"/>
  <c r="AG25" i="12"/>
  <c r="AH25" i="12"/>
  <c r="AL25" i="12" s="1"/>
  <c r="AI25" i="12"/>
  <c r="AJ25" i="12"/>
  <c r="AB26" i="12"/>
  <c r="AK26" i="12" s="1"/>
  <c r="AC26" i="12"/>
  <c r="AD26" i="12"/>
  <c r="AE26" i="12"/>
  <c r="AF26" i="12"/>
  <c r="AG26" i="12"/>
  <c r="AH26" i="12"/>
  <c r="AL26" i="12" s="1"/>
  <c r="AI26" i="12"/>
  <c r="AJ26" i="12"/>
  <c r="AB27" i="12"/>
  <c r="AK27" i="12" s="1"/>
  <c r="AC27" i="12"/>
  <c r="AD27" i="12"/>
  <c r="AE27" i="12"/>
  <c r="AF27" i="12"/>
  <c r="AG27" i="12"/>
  <c r="AH27" i="12"/>
  <c r="AL27" i="12" s="1"/>
  <c r="AI27" i="12"/>
  <c r="AJ27" i="12"/>
  <c r="AB28" i="12"/>
  <c r="AK28" i="12" s="1"/>
  <c r="AC28" i="12"/>
  <c r="AD28" i="12"/>
  <c r="AE28" i="12"/>
  <c r="AF28" i="12"/>
  <c r="AG28" i="12"/>
  <c r="AH28" i="12"/>
  <c r="AI28" i="12"/>
  <c r="AJ28" i="12"/>
  <c r="AB29" i="12"/>
  <c r="AC29" i="12"/>
  <c r="AD29" i="12"/>
  <c r="AE29" i="12"/>
  <c r="AF29" i="12"/>
  <c r="AG29" i="12"/>
  <c r="AH29" i="12"/>
  <c r="AI29" i="12"/>
  <c r="AJ29" i="12"/>
  <c r="AB30" i="12"/>
  <c r="AK30" i="12" s="1"/>
  <c r="AC30" i="12"/>
  <c r="AD30" i="12"/>
  <c r="AE30" i="12"/>
  <c r="AF30" i="12"/>
  <c r="AG30" i="12"/>
  <c r="AH30" i="12"/>
  <c r="AL30" i="12" s="1"/>
  <c r="AI30" i="12"/>
  <c r="AJ30" i="12"/>
  <c r="AB31" i="12"/>
  <c r="AK31" i="12" s="1"/>
  <c r="AC31" i="12"/>
  <c r="AD31" i="12"/>
  <c r="AE31" i="12"/>
  <c r="AF31" i="12"/>
  <c r="AG31" i="12"/>
  <c r="AH31" i="12"/>
  <c r="AL31" i="12" s="1"/>
  <c r="AI31" i="12"/>
  <c r="AJ31" i="12"/>
  <c r="AB32" i="12"/>
  <c r="AK32" i="12" s="1"/>
  <c r="AC32" i="12"/>
  <c r="AD32" i="12"/>
  <c r="AE32" i="12"/>
  <c r="AF32" i="12"/>
  <c r="AG32" i="12"/>
  <c r="AH32" i="12"/>
  <c r="AL32" i="12" s="1"/>
  <c r="AI32" i="12"/>
  <c r="AJ32" i="12"/>
  <c r="AB33" i="12"/>
  <c r="AK33" i="12" s="1"/>
  <c r="AC33" i="12"/>
  <c r="AD33" i="12"/>
  <c r="AE33" i="12"/>
  <c r="AF33" i="12"/>
  <c r="AG33" i="12"/>
  <c r="AH33" i="12"/>
  <c r="AL33" i="12" s="1"/>
  <c r="AI33" i="12"/>
  <c r="AJ33" i="12"/>
  <c r="AB34" i="12"/>
  <c r="AK34" i="12" s="1"/>
  <c r="AC34" i="12"/>
  <c r="AD34" i="12"/>
  <c r="AE34" i="12"/>
  <c r="AF34" i="12"/>
  <c r="AG34" i="12"/>
  <c r="AH34" i="12"/>
  <c r="AL34" i="12" s="1"/>
  <c r="AI34" i="12"/>
  <c r="AJ34" i="12"/>
  <c r="AB35" i="12"/>
  <c r="AK35" i="12" s="1"/>
  <c r="AC35" i="12"/>
  <c r="AD35" i="12"/>
  <c r="AE35" i="12"/>
  <c r="AF35" i="12"/>
  <c r="AG35" i="12"/>
  <c r="AH35" i="12"/>
  <c r="AI35" i="12"/>
  <c r="AJ35" i="12"/>
  <c r="AB36" i="12"/>
  <c r="AK36" i="12" s="1"/>
  <c r="AC36" i="12"/>
  <c r="AD36" i="12"/>
  <c r="AE36" i="12"/>
  <c r="AF36" i="12"/>
  <c r="AG36" i="12"/>
  <c r="AH36" i="12"/>
  <c r="AL36" i="12" s="1"/>
  <c r="AI36" i="12"/>
  <c r="AJ36" i="12"/>
  <c r="AB37" i="12"/>
  <c r="AC37" i="12"/>
  <c r="AD37" i="12"/>
  <c r="AE37" i="12"/>
  <c r="AF37" i="12"/>
  <c r="AG37" i="12"/>
  <c r="AH37" i="12"/>
  <c r="AL37" i="12" s="1"/>
  <c r="AI37" i="12"/>
  <c r="AJ37" i="12"/>
  <c r="AB38" i="12"/>
  <c r="AK38" i="12" s="1"/>
  <c r="AC38" i="12"/>
  <c r="AD38" i="12"/>
  <c r="AE38" i="12"/>
  <c r="AF38" i="12"/>
  <c r="AG38" i="12"/>
  <c r="AH38" i="12"/>
  <c r="AI38" i="12"/>
  <c r="AJ38" i="12"/>
  <c r="AB40" i="12"/>
  <c r="AC40" i="12"/>
  <c r="AD40" i="12"/>
  <c r="AE40" i="12"/>
  <c r="AF40" i="12"/>
  <c r="AG40" i="12"/>
  <c r="AH40" i="12"/>
  <c r="AI40" i="12"/>
  <c r="AJ40" i="12"/>
  <c r="AB41" i="12"/>
  <c r="AC41" i="12"/>
  <c r="AD41" i="12"/>
  <c r="AE41" i="12"/>
  <c r="AF41" i="12"/>
  <c r="AG41" i="12"/>
  <c r="AH41" i="12"/>
  <c r="AI41" i="12"/>
  <c r="AJ41" i="12"/>
  <c r="AB42" i="12"/>
  <c r="AK42" i="12" s="1"/>
  <c r="AC42" i="12"/>
  <c r="AD42" i="12"/>
  <c r="AE42" i="12"/>
  <c r="AF42" i="12"/>
  <c r="AG42" i="12"/>
  <c r="AH42" i="12"/>
  <c r="AL42" i="12" s="1"/>
  <c r="AI42" i="12"/>
  <c r="AJ42" i="12"/>
  <c r="AB43" i="12"/>
  <c r="AC43" i="12"/>
  <c r="AD43" i="12"/>
  <c r="AE43" i="12"/>
  <c r="AF43" i="12"/>
  <c r="AG43" i="12"/>
  <c r="AH43" i="12"/>
  <c r="AI43" i="12"/>
  <c r="AJ43" i="12"/>
  <c r="AB44" i="12"/>
  <c r="AK44" i="12" s="1"/>
  <c r="AC44" i="12"/>
  <c r="AD44" i="12"/>
  <c r="AE44" i="12"/>
  <c r="AF44" i="12"/>
  <c r="AG44" i="12"/>
  <c r="AH44" i="12"/>
  <c r="AL44" i="12" s="1"/>
  <c r="AI44" i="12"/>
  <c r="AJ44" i="12"/>
  <c r="AB45" i="12"/>
  <c r="AK45" i="12" s="1"/>
  <c r="AC45" i="12"/>
  <c r="AD45" i="12"/>
  <c r="AE45" i="12"/>
  <c r="AF45" i="12"/>
  <c r="AG45" i="12"/>
  <c r="AH45" i="12"/>
  <c r="AL45" i="12" s="1"/>
  <c r="AI45" i="12"/>
  <c r="AJ45" i="12"/>
  <c r="AB46" i="12"/>
  <c r="AC46" i="12"/>
  <c r="AD46" i="12"/>
  <c r="AE46" i="12"/>
  <c r="AF46" i="12"/>
  <c r="AG46" i="12"/>
  <c r="AH46" i="12"/>
  <c r="AI46" i="12"/>
  <c r="AJ46" i="12"/>
  <c r="AB47" i="12"/>
  <c r="AK47" i="12" s="1"/>
  <c r="AC47" i="12"/>
  <c r="AD47" i="12"/>
  <c r="AE47" i="12"/>
  <c r="AF47" i="12"/>
  <c r="AG47" i="12"/>
  <c r="AH47" i="12"/>
  <c r="AJ47" i="12"/>
  <c r="AB48" i="12"/>
  <c r="AC48" i="12"/>
  <c r="AD48" i="12"/>
  <c r="AE48" i="12"/>
  <c r="AF48" i="12"/>
  <c r="AG48" i="12"/>
  <c r="AH48" i="12"/>
  <c r="AI48" i="12"/>
  <c r="AJ48" i="12"/>
  <c r="AB49" i="12"/>
  <c r="AC49" i="12"/>
  <c r="AD49" i="12"/>
  <c r="AE49" i="12"/>
  <c r="AF49" i="12"/>
  <c r="AG49" i="12"/>
  <c r="AH49" i="12"/>
  <c r="AL49" i="12" s="1"/>
  <c r="AI49" i="12"/>
  <c r="AJ49" i="12"/>
  <c r="AB50" i="12"/>
  <c r="AK50" i="12" s="1"/>
  <c r="AC50" i="12"/>
  <c r="AD50" i="12"/>
  <c r="AE50" i="12"/>
  <c r="AF50" i="12"/>
  <c r="AG50" i="12"/>
  <c r="AH50" i="12"/>
  <c r="AL50" i="12" s="1"/>
  <c r="AI50" i="12"/>
  <c r="AJ50" i="12"/>
  <c r="AB51" i="12"/>
  <c r="AK51" i="12" s="1"/>
  <c r="AC51" i="12"/>
  <c r="AD51" i="12"/>
  <c r="AE51" i="12"/>
  <c r="AF51" i="12"/>
  <c r="AG51" i="12"/>
  <c r="AH51" i="12"/>
  <c r="AI51" i="12"/>
  <c r="AJ51" i="12"/>
  <c r="AB52" i="12"/>
  <c r="AC52" i="12"/>
  <c r="AD52" i="12"/>
  <c r="AE52" i="12"/>
  <c r="AF52" i="12"/>
  <c r="AG52" i="12"/>
  <c r="AH52" i="12"/>
  <c r="AI52" i="12"/>
  <c r="AJ52" i="12"/>
  <c r="AB53" i="12"/>
  <c r="AC53" i="12"/>
  <c r="AD53" i="12"/>
  <c r="AE53" i="12"/>
  <c r="AF53" i="12"/>
  <c r="AG53" i="12"/>
  <c r="AH53" i="12"/>
  <c r="AI53" i="12"/>
  <c r="AJ53" i="12"/>
  <c r="AB54" i="12"/>
  <c r="AC54" i="12"/>
  <c r="AD54" i="12"/>
  <c r="AE54" i="12"/>
  <c r="AF54" i="12"/>
  <c r="AG54" i="12"/>
  <c r="AH54" i="12"/>
  <c r="AI54" i="12"/>
  <c r="AJ54" i="12"/>
  <c r="AB56" i="12"/>
  <c r="AC56" i="12"/>
  <c r="AD56" i="12"/>
  <c r="AE56" i="12"/>
  <c r="AF56" i="12"/>
  <c r="AG56" i="12"/>
  <c r="AH56" i="12"/>
  <c r="AI56" i="12"/>
  <c r="AJ56" i="12"/>
  <c r="AB57" i="12"/>
  <c r="AC57" i="12"/>
  <c r="AD57" i="12"/>
  <c r="AE57" i="12"/>
  <c r="AF57" i="12"/>
  <c r="AG57" i="12"/>
  <c r="AH57" i="12"/>
  <c r="AI57" i="12"/>
  <c r="AJ57" i="12"/>
  <c r="AB58" i="12"/>
  <c r="AC58" i="12"/>
  <c r="AD58" i="12"/>
  <c r="AE58" i="12"/>
  <c r="AF58" i="12"/>
  <c r="AG58" i="12"/>
  <c r="AH58" i="12"/>
  <c r="AI58" i="12"/>
  <c r="AJ58" i="12"/>
  <c r="AB59" i="12"/>
  <c r="AC59" i="12"/>
  <c r="AD59" i="12"/>
  <c r="AE59" i="12"/>
  <c r="AF59" i="12"/>
  <c r="AG59" i="12"/>
  <c r="AH59" i="12"/>
  <c r="AI59" i="12"/>
  <c r="AJ59" i="12"/>
  <c r="AB60" i="12"/>
  <c r="AC60" i="12"/>
  <c r="AD60" i="12"/>
  <c r="AE60" i="12"/>
  <c r="AF60" i="12"/>
  <c r="AG60" i="12"/>
  <c r="AH60" i="12"/>
  <c r="AI60" i="12"/>
  <c r="AJ60" i="12"/>
  <c r="AB61" i="12"/>
  <c r="AC61" i="12"/>
  <c r="AD61" i="12"/>
  <c r="AE61" i="12"/>
  <c r="AF61" i="12"/>
  <c r="AG61" i="12"/>
  <c r="AH61" i="12"/>
  <c r="AI61" i="12"/>
  <c r="AJ61" i="12"/>
  <c r="AB62" i="12"/>
  <c r="AK62" i="12" s="1"/>
  <c r="AC62" i="12"/>
  <c r="AD62" i="12"/>
  <c r="AE62" i="12"/>
  <c r="AF62" i="12"/>
  <c r="AG62" i="12"/>
  <c r="AH62" i="12"/>
  <c r="AL62" i="12" s="1"/>
  <c r="AI62" i="12"/>
  <c r="AJ62" i="12"/>
  <c r="AB64" i="12"/>
  <c r="AK64" i="12" s="1"/>
  <c r="AC64" i="12"/>
  <c r="AD64" i="12"/>
  <c r="AE64" i="12"/>
  <c r="AF64" i="12"/>
  <c r="AG64" i="12"/>
  <c r="AH64" i="12"/>
  <c r="AL64" i="12" s="1"/>
  <c r="AI64" i="12"/>
  <c r="AJ64" i="12"/>
  <c r="AB65" i="12"/>
  <c r="AK65" i="12" s="1"/>
  <c r="AC65" i="12"/>
  <c r="AD65" i="12"/>
  <c r="AE65" i="12"/>
  <c r="AF65" i="12"/>
  <c r="AG65" i="12"/>
  <c r="AH65" i="12"/>
  <c r="AL65" i="12" s="1"/>
  <c r="AI65" i="12"/>
  <c r="AJ65" i="12"/>
  <c r="AB66" i="12"/>
  <c r="AK66" i="12" s="1"/>
  <c r="AC66" i="12"/>
  <c r="AD66" i="12"/>
  <c r="AE66" i="12"/>
  <c r="AF66" i="12"/>
  <c r="AG66" i="12"/>
  <c r="AH66" i="12"/>
  <c r="AL66" i="12" s="1"/>
  <c r="AI66" i="12"/>
  <c r="AJ66" i="12"/>
  <c r="AB68" i="12"/>
  <c r="AC68" i="12"/>
  <c r="AD68" i="12"/>
  <c r="AE68" i="12"/>
  <c r="AF68" i="12"/>
  <c r="AG68" i="12"/>
  <c r="AH68" i="12"/>
  <c r="AI68" i="12"/>
  <c r="AJ68" i="12"/>
  <c r="AB69" i="12"/>
  <c r="AC69" i="12"/>
  <c r="AD69" i="12"/>
  <c r="AE69" i="12"/>
  <c r="AF69" i="12"/>
  <c r="AG69" i="12"/>
  <c r="AH69" i="12"/>
  <c r="AI69" i="12"/>
  <c r="AJ69" i="12"/>
  <c r="AB71" i="12"/>
  <c r="AC71" i="12"/>
  <c r="AD71" i="12"/>
  <c r="AE71" i="12"/>
  <c r="AF71" i="12"/>
  <c r="AG71" i="12"/>
  <c r="AH71" i="12"/>
  <c r="AI71" i="12"/>
  <c r="AJ71" i="12"/>
  <c r="AB72" i="12"/>
  <c r="AC72" i="12"/>
  <c r="AD72" i="12"/>
  <c r="AE72" i="12"/>
  <c r="AF72" i="12"/>
  <c r="AG72" i="12"/>
  <c r="AH72" i="12"/>
  <c r="AI72" i="12"/>
  <c r="AJ72" i="12"/>
  <c r="AB73" i="12"/>
  <c r="AK73" i="12" s="1"/>
  <c r="AC73" i="12"/>
  <c r="AD73" i="12"/>
  <c r="AE73" i="12"/>
  <c r="AF73" i="12"/>
  <c r="AG73" i="12"/>
  <c r="AH73" i="12"/>
  <c r="AL73" i="12" s="1"/>
  <c r="AI73" i="12"/>
  <c r="AJ73" i="12"/>
  <c r="AB75" i="12"/>
  <c r="AC75" i="12"/>
  <c r="AD75" i="12"/>
  <c r="AE75" i="12"/>
  <c r="AF75" i="12"/>
  <c r="AG75" i="12"/>
  <c r="AH75" i="12"/>
  <c r="AI75" i="12"/>
  <c r="AJ75" i="12"/>
  <c r="AB76" i="12"/>
  <c r="AC76" i="12"/>
  <c r="AD76" i="12"/>
  <c r="AE76" i="12"/>
  <c r="AF76" i="12"/>
  <c r="AG76" i="12"/>
  <c r="AH76" i="12"/>
  <c r="AI76" i="12"/>
  <c r="AJ76" i="12"/>
  <c r="AB77" i="12"/>
  <c r="AK77" i="12" s="1"/>
  <c r="AC77" i="12"/>
  <c r="AD77" i="12"/>
  <c r="AE77" i="12"/>
  <c r="AF77" i="12"/>
  <c r="AG77" i="12"/>
  <c r="AH77" i="12"/>
  <c r="AL77" i="12" s="1"/>
  <c r="AI77" i="12"/>
  <c r="AJ77" i="12"/>
  <c r="AB78" i="12"/>
  <c r="AC78" i="12"/>
  <c r="AD78" i="12"/>
  <c r="AE78" i="12"/>
  <c r="AF78" i="12"/>
  <c r="AG78" i="12"/>
  <c r="AH78" i="12"/>
  <c r="AL78" i="12" s="1"/>
  <c r="AI78" i="12"/>
  <c r="AJ78" i="12"/>
  <c r="AB13" i="12"/>
  <c r="AK13" i="12" s="1"/>
  <c r="AC13" i="12"/>
  <c r="AD13" i="12"/>
  <c r="AE13" i="12"/>
  <c r="AF13" i="12"/>
  <c r="AG13" i="12"/>
  <c r="AH13" i="12"/>
  <c r="AI13" i="12"/>
  <c r="AJ13" i="12"/>
  <c r="AB14" i="12"/>
  <c r="AK14" i="12" s="1"/>
  <c r="AC14" i="12"/>
  <c r="AD14" i="12"/>
  <c r="AE14" i="12"/>
  <c r="AF14" i="12"/>
  <c r="AG14" i="12"/>
  <c r="AH14" i="12"/>
  <c r="AL14" i="12" s="1"/>
  <c r="AI14" i="12"/>
  <c r="AJ14" i="12"/>
  <c r="AB15" i="12"/>
  <c r="AC15" i="12"/>
  <c r="AD15" i="12"/>
  <c r="AE15" i="12"/>
  <c r="AF15" i="12"/>
  <c r="AG15" i="12"/>
  <c r="AH15" i="12"/>
  <c r="AL15" i="12" s="1"/>
  <c r="AI15" i="12"/>
  <c r="AJ15" i="12"/>
  <c r="AB16" i="12"/>
  <c r="AK16" i="12" s="1"/>
  <c r="AC16" i="12"/>
  <c r="AD16" i="12"/>
  <c r="AE16" i="12"/>
  <c r="AF16" i="12"/>
  <c r="AG16" i="12"/>
  <c r="AH16" i="12"/>
  <c r="AL16" i="12" s="1"/>
  <c r="AI16" i="12"/>
  <c r="AJ16" i="12"/>
  <c r="AB17" i="12"/>
  <c r="AC17" i="12"/>
  <c r="AD17" i="12"/>
  <c r="AE17" i="12"/>
  <c r="AF17" i="12"/>
  <c r="AG17" i="12"/>
  <c r="AH17" i="12"/>
  <c r="AI17" i="12"/>
  <c r="AJ17" i="12"/>
  <c r="AB18" i="12"/>
  <c r="AK18" i="12" s="1"/>
  <c r="AC18" i="12"/>
  <c r="AD18" i="12"/>
  <c r="AE18" i="12"/>
  <c r="AF18" i="12"/>
  <c r="AG18" i="12"/>
  <c r="AH18" i="12"/>
  <c r="AL18" i="12" s="1"/>
  <c r="AI18" i="12"/>
  <c r="AJ18" i="12"/>
  <c r="AB19" i="12"/>
  <c r="AC19" i="12"/>
  <c r="AD19" i="12"/>
  <c r="AE19" i="12"/>
  <c r="AF19" i="12"/>
  <c r="AG19" i="12"/>
  <c r="AH19" i="12"/>
  <c r="AL19" i="12" s="1"/>
  <c r="AI19" i="12"/>
  <c r="AJ19" i="12"/>
  <c r="AB20" i="12"/>
  <c r="AK20" i="12" s="1"/>
  <c r="AC20" i="12"/>
  <c r="AD20" i="12"/>
  <c r="AE20" i="12"/>
  <c r="AF20" i="12"/>
  <c r="AG20" i="12"/>
  <c r="AH20" i="12"/>
  <c r="AL20" i="12" s="1"/>
  <c r="AI20" i="12"/>
  <c r="AJ20" i="12"/>
  <c r="AB21" i="12"/>
  <c r="AK21" i="12" s="1"/>
  <c r="AC21" i="12"/>
  <c r="AD21" i="12"/>
  <c r="AE21" i="12"/>
  <c r="AF21" i="12"/>
  <c r="AG21" i="12"/>
  <c r="AH21" i="12"/>
  <c r="AL21" i="12" s="1"/>
  <c r="AI21" i="12"/>
  <c r="AJ21" i="12"/>
  <c r="AB22" i="12"/>
  <c r="AK22" i="12" s="1"/>
  <c r="AC22" i="12"/>
  <c r="AD22" i="12"/>
  <c r="AE22" i="12"/>
  <c r="AF22" i="12"/>
  <c r="AG22" i="12"/>
  <c r="AH22" i="12"/>
  <c r="AL22" i="12" s="1"/>
  <c r="AI22" i="12"/>
  <c r="AJ22" i="12"/>
  <c r="AB8" i="12"/>
  <c r="AC8" i="12"/>
  <c r="AD8" i="12"/>
  <c r="AE8" i="12"/>
  <c r="AF8" i="12"/>
  <c r="AG8" i="12"/>
  <c r="AH8" i="12"/>
  <c r="AI8" i="12"/>
  <c r="AJ8" i="12"/>
  <c r="AB9" i="12"/>
  <c r="AC9" i="12"/>
  <c r="AD9" i="12"/>
  <c r="AE9" i="12"/>
  <c r="AF9" i="12"/>
  <c r="AG9" i="12"/>
  <c r="AH9" i="12"/>
  <c r="AI9" i="12"/>
  <c r="AJ9" i="12"/>
  <c r="AB10" i="12"/>
  <c r="AC10" i="12"/>
  <c r="AD10" i="12"/>
  <c r="AE10" i="12"/>
  <c r="AF10" i="12"/>
  <c r="AG10" i="12"/>
  <c r="AH10" i="12"/>
  <c r="AI10" i="12"/>
  <c r="AJ10" i="12"/>
  <c r="AB11" i="12"/>
  <c r="AC11" i="12"/>
  <c r="AD11" i="12"/>
  <c r="AE11" i="12"/>
  <c r="AF11" i="12"/>
  <c r="AG11" i="12"/>
  <c r="AH11" i="12"/>
  <c r="AI11" i="12"/>
  <c r="AJ11" i="12"/>
  <c r="D55" i="12"/>
  <c r="V145" i="12"/>
  <c r="V129" i="12"/>
  <c r="V118" i="12"/>
  <c r="W122" i="12" s="1"/>
  <c r="V115" i="12"/>
  <c r="V109" i="12"/>
  <c r="V102" i="12"/>
  <c r="V98" i="12"/>
  <c r="V86" i="12"/>
  <c r="T86" i="12"/>
  <c r="R86" i="12"/>
  <c r="V74" i="12"/>
  <c r="V70" i="12"/>
  <c r="V67" i="12"/>
  <c r="V7" i="12"/>
  <c r="V80" i="12" s="1"/>
  <c r="T148" i="12"/>
  <c r="T145" i="12"/>
  <c r="T137" i="12"/>
  <c r="T129" i="12"/>
  <c r="T127" i="12"/>
  <c r="T118" i="12"/>
  <c r="U122" i="12" s="1"/>
  <c r="T115" i="12"/>
  <c r="T109" i="12"/>
  <c r="T102" i="12"/>
  <c r="T98" i="12"/>
  <c r="T89" i="12"/>
  <c r="T12" i="12"/>
  <c r="T74" i="12"/>
  <c r="R74" i="12"/>
  <c r="T70" i="12"/>
  <c r="T67" i="12"/>
  <c r="T63" i="12"/>
  <c r="T55" i="12"/>
  <c r="T39" i="12"/>
  <c r="T7" i="12"/>
  <c r="R145" i="12"/>
  <c r="R148" i="12"/>
  <c r="R141" i="12"/>
  <c r="R137" i="12"/>
  <c r="R129" i="12"/>
  <c r="R127" i="12"/>
  <c r="R118" i="12"/>
  <c r="S122" i="12" s="1"/>
  <c r="R109" i="12"/>
  <c r="R102" i="12"/>
  <c r="R98" i="12"/>
  <c r="R89" i="12"/>
  <c r="R70" i="12"/>
  <c r="R67" i="12"/>
  <c r="R63" i="12"/>
  <c r="R55" i="12"/>
  <c r="R39" i="12"/>
  <c r="R12" i="12"/>
  <c r="R7" i="12"/>
  <c r="N115" i="12"/>
  <c r="P148" i="12"/>
  <c r="P145" i="12"/>
  <c r="P141" i="12"/>
  <c r="P137" i="12"/>
  <c r="P129" i="12"/>
  <c r="P127" i="12"/>
  <c r="P118" i="12"/>
  <c r="Q122" i="12" s="1"/>
  <c r="N118" i="12"/>
  <c r="O122" i="12" s="1"/>
  <c r="P109" i="12"/>
  <c r="P102" i="12"/>
  <c r="P98" i="12"/>
  <c r="P89" i="12"/>
  <c r="P86" i="12"/>
  <c r="S190" i="14" l="1"/>
  <c r="AA190" i="14"/>
  <c r="S178" i="14"/>
  <c r="AA178" i="14"/>
  <c r="S179" i="14"/>
  <c r="AA179" i="14"/>
  <c r="S180" i="14"/>
  <c r="AA180" i="14"/>
  <c r="S182" i="14"/>
  <c r="AA182" i="14"/>
  <c r="S188" i="14"/>
  <c r="AA188" i="14"/>
  <c r="S181" i="14"/>
  <c r="AA181" i="14"/>
  <c r="S191" i="14"/>
  <c r="AA191" i="14"/>
  <c r="S183" i="14"/>
  <c r="AA183" i="14"/>
  <c r="T195" i="14"/>
  <c r="AB195" i="14"/>
  <c r="AL47" i="12"/>
  <c r="AK135" i="12"/>
  <c r="AL119" i="12"/>
  <c r="AK103" i="12"/>
  <c r="AL10" i="12"/>
  <c r="AL8" i="12"/>
  <c r="AL13" i="12"/>
  <c r="AL69" i="12"/>
  <c r="AL61" i="12"/>
  <c r="AL100" i="12"/>
  <c r="Y122" i="12"/>
  <c r="AL17" i="12"/>
  <c r="AK17" i="12"/>
  <c r="AK75" i="12"/>
  <c r="AL59" i="12"/>
  <c r="AL57" i="12"/>
  <c r="AK57" i="12"/>
  <c r="AL54" i="12"/>
  <c r="AK54" i="12"/>
  <c r="AL52" i="12"/>
  <c r="AK52" i="12"/>
  <c r="AL48" i="12"/>
  <c r="AK48" i="12"/>
  <c r="AL43" i="12"/>
  <c r="AK43" i="12"/>
  <c r="AL41" i="12"/>
  <c r="AK41" i="12"/>
  <c r="AL38" i="12"/>
  <c r="AL28" i="12"/>
  <c r="AK142" i="12"/>
  <c r="AK140" i="12"/>
  <c r="AL138" i="12"/>
  <c r="AK138" i="12"/>
  <c r="AL133" i="12"/>
  <c r="AK133" i="12"/>
  <c r="AL128" i="12"/>
  <c r="AK128" i="12"/>
  <c r="AK116" i="12"/>
  <c r="AK112" i="12"/>
  <c r="AL110" i="12"/>
  <c r="AK107" i="12"/>
  <c r="AL105" i="12"/>
  <c r="AK105" i="12"/>
  <c r="AL97" i="12"/>
  <c r="AL95" i="12"/>
  <c r="AK95" i="12"/>
  <c r="AL93" i="12"/>
  <c r="AK93" i="12"/>
  <c r="AL91" i="12"/>
  <c r="AK91" i="12"/>
  <c r="AK10" i="12"/>
  <c r="AK8" i="12"/>
  <c r="AK19" i="12"/>
  <c r="AK15" i="12"/>
  <c r="AL75" i="12"/>
  <c r="AL72" i="12"/>
  <c r="AK72" i="12"/>
  <c r="AK69" i="12"/>
  <c r="AK61" i="12"/>
  <c r="AK59" i="12"/>
  <c r="V126" i="12"/>
  <c r="AL11" i="12"/>
  <c r="AK11" i="12"/>
  <c r="AL9" i="12"/>
  <c r="AK9" i="12"/>
  <c r="AK78" i="12"/>
  <c r="AL76" i="12"/>
  <c r="AK76" i="12"/>
  <c r="AL71" i="12"/>
  <c r="AK71" i="12"/>
  <c r="AL68" i="12"/>
  <c r="AK68" i="12"/>
  <c r="AL60" i="12"/>
  <c r="AK60" i="12"/>
  <c r="AL58" i="12"/>
  <c r="AK58" i="12"/>
  <c r="AL56" i="12"/>
  <c r="AK56" i="12"/>
  <c r="AL53" i="12"/>
  <c r="AK53" i="12"/>
  <c r="AL51" i="12"/>
  <c r="AK49" i="12"/>
  <c r="AL46" i="12"/>
  <c r="AK46" i="12"/>
  <c r="AL40" i="12"/>
  <c r="AK40" i="12"/>
  <c r="AK37" i="12"/>
  <c r="AL35" i="12"/>
  <c r="AL29" i="12"/>
  <c r="AK29" i="12"/>
  <c r="AL23" i="12"/>
  <c r="AK23" i="12"/>
  <c r="AL146" i="12"/>
  <c r="AK146" i="12"/>
  <c r="AL139" i="12"/>
  <c r="AL132" i="12"/>
  <c r="AK132" i="12"/>
  <c r="AL130" i="12"/>
  <c r="AK120" i="12"/>
  <c r="AK113" i="12"/>
  <c r="AL106" i="12"/>
  <c r="AL104" i="12"/>
  <c r="AK104" i="12"/>
  <c r="AL101" i="12"/>
  <c r="AL99" i="12"/>
  <c r="AK99" i="12"/>
  <c r="AL96" i="12"/>
  <c r="AK96" i="12"/>
  <c r="AL94" i="12"/>
  <c r="AK94" i="12"/>
  <c r="AL92" i="12"/>
  <c r="AK92" i="12"/>
  <c r="AK90" i="12"/>
  <c r="Y181" i="12"/>
  <c r="V6" i="12"/>
  <c r="O121" i="12"/>
  <c r="O120" i="12"/>
  <c r="O119" i="12"/>
  <c r="O116" i="12"/>
  <c r="O117" i="12"/>
  <c r="R81" i="12"/>
  <c r="S62" i="12"/>
  <c r="S58" i="12"/>
  <c r="S59" i="12"/>
  <c r="S61" i="12"/>
  <c r="S60" i="12"/>
  <c r="S56" i="12"/>
  <c r="S57" i="12"/>
  <c r="S120" i="12"/>
  <c r="S121" i="12"/>
  <c r="S119" i="12"/>
  <c r="S142" i="12"/>
  <c r="Y142" i="12" s="1"/>
  <c r="U73" i="12"/>
  <c r="U71" i="12"/>
  <c r="U72" i="12"/>
  <c r="W36" i="12"/>
  <c r="W32" i="12"/>
  <c r="W28" i="12"/>
  <c r="W24" i="12"/>
  <c r="W20" i="12"/>
  <c r="W16" i="12"/>
  <c r="W37" i="12"/>
  <c r="W33" i="12"/>
  <c r="W29" i="12"/>
  <c r="W25" i="12"/>
  <c r="W21" i="12"/>
  <c r="W17" i="12"/>
  <c r="W13" i="12"/>
  <c r="W31" i="12"/>
  <c r="W23" i="12"/>
  <c r="W15" i="12"/>
  <c r="W38" i="12"/>
  <c r="W30" i="12"/>
  <c r="W22" i="12"/>
  <c r="W14" i="12"/>
  <c r="W35" i="12"/>
  <c r="W19" i="12"/>
  <c r="W26" i="12"/>
  <c r="W34" i="12"/>
  <c r="W18" i="12"/>
  <c r="W27" i="12"/>
  <c r="W87" i="12"/>
  <c r="W88" i="12"/>
  <c r="W134" i="12"/>
  <c r="W130" i="12"/>
  <c r="W135" i="12"/>
  <c r="W131" i="12"/>
  <c r="W133" i="12"/>
  <c r="W132" i="12"/>
  <c r="W136" i="12"/>
  <c r="Q87" i="12"/>
  <c r="Q88" i="12"/>
  <c r="Q114" i="12"/>
  <c r="Q110" i="12"/>
  <c r="Q113" i="12"/>
  <c r="Q112" i="12"/>
  <c r="Q111" i="12"/>
  <c r="AG148" i="12"/>
  <c r="Q149" i="12"/>
  <c r="Q150" i="12"/>
  <c r="S112" i="12"/>
  <c r="S113" i="12"/>
  <c r="S114" i="12"/>
  <c r="S111" i="12"/>
  <c r="S110" i="12"/>
  <c r="U37" i="12"/>
  <c r="U33" i="12"/>
  <c r="U29" i="12"/>
  <c r="U25" i="12"/>
  <c r="U21" i="12"/>
  <c r="U17" i="12"/>
  <c r="U13" i="12"/>
  <c r="U38" i="12"/>
  <c r="U34" i="12"/>
  <c r="U30" i="12"/>
  <c r="U26" i="12"/>
  <c r="U22" i="12"/>
  <c r="U18" i="12"/>
  <c r="U14" i="12"/>
  <c r="U36" i="12"/>
  <c r="U28" i="12"/>
  <c r="U20" i="12"/>
  <c r="U35" i="12"/>
  <c r="U27" i="12"/>
  <c r="U19" i="12"/>
  <c r="U32" i="12"/>
  <c r="U16" i="12"/>
  <c r="U24" i="12"/>
  <c r="U31" i="12"/>
  <c r="U15" i="12"/>
  <c r="U23" i="12"/>
  <c r="U133" i="12"/>
  <c r="U134" i="12"/>
  <c r="U130" i="12"/>
  <c r="U135" i="12"/>
  <c r="U132" i="12"/>
  <c r="U136" i="12"/>
  <c r="U131" i="12"/>
  <c r="W68" i="12"/>
  <c r="W69" i="12"/>
  <c r="U87" i="12"/>
  <c r="U88" i="12"/>
  <c r="W128" i="12"/>
  <c r="Q106" i="12"/>
  <c r="Q105" i="12"/>
  <c r="Q107" i="12"/>
  <c r="Q108" i="12"/>
  <c r="Q103" i="12"/>
  <c r="Q104" i="12"/>
  <c r="Q128" i="12"/>
  <c r="P219" i="12"/>
  <c r="J238" i="12"/>
  <c r="Q147" i="12"/>
  <c r="Q146" i="12"/>
  <c r="S35" i="12"/>
  <c r="S31" i="12"/>
  <c r="S27" i="12"/>
  <c r="S38" i="12"/>
  <c r="S33" i="12"/>
  <c r="Y33" i="12" s="1"/>
  <c r="S28" i="12"/>
  <c r="S23" i="12"/>
  <c r="S19" i="12"/>
  <c r="S15" i="12"/>
  <c r="S37" i="12"/>
  <c r="Y37" i="12" s="1"/>
  <c r="S32" i="12"/>
  <c r="S26" i="12"/>
  <c r="Y26" i="12" s="1"/>
  <c r="S22" i="12"/>
  <c r="S18" i="12"/>
  <c r="Y18" i="12" s="1"/>
  <c r="S14" i="12"/>
  <c r="Y14" i="12" s="1"/>
  <c r="S30" i="12"/>
  <c r="S21" i="12"/>
  <c r="S13" i="12"/>
  <c r="Y13" i="12" s="1"/>
  <c r="S34" i="12"/>
  <c r="S25" i="12"/>
  <c r="S29" i="12"/>
  <c r="S20" i="12"/>
  <c r="Y20" i="12" s="1"/>
  <c r="S24" i="12"/>
  <c r="S16" i="12"/>
  <c r="S36" i="12"/>
  <c r="S17" i="12"/>
  <c r="S69" i="12"/>
  <c r="S68" i="12"/>
  <c r="S108" i="12"/>
  <c r="S104" i="12"/>
  <c r="S105" i="12"/>
  <c r="S107" i="12"/>
  <c r="S106" i="12"/>
  <c r="S103" i="12"/>
  <c r="S135" i="12"/>
  <c r="S131" i="12"/>
  <c r="Y131" i="12" s="1"/>
  <c r="S136" i="12"/>
  <c r="S132" i="12"/>
  <c r="Y132" i="12" s="1"/>
  <c r="S133" i="12"/>
  <c r="S130" i="12"/>
  <c r="Y130" i="12" s="1"/>
  <c r="S134" i="12"/>
  <c r="R219" i="12"/>
  <c r="K238" i="12"/>
  <c r="S146" i="12"/>
  <c r="S147" i="12"/>
  <c r="U65" i="12"/>
  <c r="U66" i="12"/>
  <c r="U64" i="12"/>
  <c r="U77" i="12"/>
  <c r="U78" i="12"/>
  <c r="U76" i="12"/>
  <c r="U75" i="12"/>
  <c r="U107" i="12"/>
  <c r="U103" i="12"/>
  <c r="U108" i="12"/>
  <c r="U104" i="12"/>
  <c r="U106" i="12"/>
  <c r="U105" i="12"/>
  <c r="U128" i="12"/>
  <c r="U150" i="12"/>
  <c r="U149" i="12"/>
  <c r="V81" i="12"/>
  <c r="W60" i="12"/>
  <c r="W56" i="12"/>
  <c r="W61" i="12"/>
  <c r="W57" i="12"/>
  <c r="W62" i="12"/>
  <c r="W58" i="12"/>
  <c r="W59" i="12"/>
  <c r="S88" i="12"/>
  <c r="Y88" i="12" s="1"/>
  <c r="S87" i="12"/>
  <c r="Y87" i="12" s="1"/>
  <c r="W99" i="12"/>
  <c r="W100" i="12"/>
  <c r="W101" i="12"/>
  <c r="W119" i="12"/>
  <c r="W121" i="12"/>
  <c r="W120" i="12"/>
  <c r="V219" i="12"/>
  <c r="M238" i="12"/>
  <c r="W147" i="12"/>
  <c r="W146" i="12"/>
  <c r="P124" i="12"/>
  <c r="Q94" i="12"/>
  <c r="Q90" i="12"/>
  <c r="Q97" i="12"/>
  <c r="Q93" i="12"/>
  <c r="Q91" i="12"/>
  <c r="Q96" i="12"/>
  <c r="Q92" i="12"/>
  <c r="Q95" i="12"/>
  <c r="Q138" i="12"/>
  <c r="Q139" i="12"/>
  <c r="Q140" i="12"/>
  <c r="R124" i="12"/>
  <c r="S96" i="12"/>
  <c r="S92" i="12"/>
  <c r="S97" i="12"/>
  <c r="S93" i="12"/>
  <c r="S91" i="12"/>
  <c r="S90" i="12"/>
  <c r="S94" i="12"/>
  <c r="S95" i="12"/>
  <c r="U53" i="12"/>
  <c r="U49" i="12"/>
  <c r="U45" i="12"/>
  <c r="U41" i="12"/>
  <c r="U54" i="12"/>
  <c r="U50" i="12"/>
  <c r="U46" i="12"/>
  <c r="U42" i="12"/>
  <c r="U52" i="12"/>
  <c r="U44" i="12"/>
  <c r="U51" i="12"/>
  <c r="U43" i="12"/>
  <c r="U48" i="12"/>
  <c r="U47" i="12"/>
  <c r="U40" i="12"/>
  <c r="T124" i="12"/>
  <c r="U95" i="12"/>
  <c r="U91" i="12"/>
  <c r="U96" i="12"/>
  <c r="U92" i="12"/>
  <c r="U90" i="12"/>
  <c r="U97" i="12"/>
  <c r="U94" i="12"/>
  <c r="U93" i="12"/>
  <c r="AI115" i="12"/>
  <c r="U116" i="12"/>
  <c r="U117" i="12"/>
  <c r="U138" i="12"/>
  <c r="U140" i="12"/>
  <c r="U139" i="12"/>
  <c r="W72" i="12"/>
  <c r="W73" i="12"/>
  <c r="W71" i="12"/>
  <c r="W114" i="12"/>
  <c r="W110" i="12"/>
  <c r="W111" i="12"/>
  <c r="W113" i="12"/>
  <c r="W112" i="12"/>
  <c r="Q133" i="12"/>
  <c r="Q134" i="12"/>
  <c r="Q130" i="12"/>
  <c r="Q131" i="12"/>
  <c r="Q136" i="12"/>
  <c r="Q135" i="12"/>
  <c r="Q132" i="12"/>
  <c r="S51" i="12"/>
  <c r="S47" i="12"/>
  <c r="S43" i="12"/>
  <c r="S54" i="12"/>
  <c r="S49" i="12"/>
  <c r="S44" i="12"/>
  <c r="S53" i="12"/>
  <c r="S48" i="12"/>
  <c r="S42" i="12"/>
  <c r="S52" i="12"/>
  <c r="S41" i="12"/>
  <c r="S46" i="12"/>
  <c r="S50" i="12"/>
  <c r="S40" i="12"/>
  <c r="S45" i="12"/>
  <c r="S71" i="12"/>
  <c r="Y71" i="12" s="1"/>
  <c r="S73" i="12"/>
  <c r="Y73" i="12" s="1"/>
  <c r="S72" i="12"/>
  <c r="Y72" i="12" s="1"/>
  <c r="S139" i="12"/>
  <c r="S140" i="12"/>
  <c r="S138" i="12"/>
  <c r="AJ7" i="12"/>
  <c r="T80" i="12"/>
  <c r="U9" i="12"/>
  <c r="U10" i="12"/>
  <c r="U11" i="12"/>
  <c r="U8" i="12"/>
  <c r="U69" i="12"/>
  <c r="U68" i="12"/>
  <c r="U111" i="12"/>
  <c r="U112" i="12"/>
  <c r="U114" i="12"/>
  <c r="U113" i="12"/>
  <c r="U110" i="12"/>
  <c r="W8" i="12"/>
  <c r="W9" i="12"/>
  <c r="W11" i="12"/>
  <c r="W10" i="12"/>
  <c r="W106" i="12"/>
  <c r="W107" i="12"/>
  <c r="W103" i="12"/>
  <c r="W105" i="12"/>
  <c r="W104" i="12"/>
  <c r="W108" i="12"/>
  <c r="E62" i="12"/>
  <c r="E58" i="12"/>
  <c r="E59" i="12"/>
  <c r="E60" i="12"/>
  <c r="E61" i="12"/>
  <c r="E57" i="12"/>
  <c r="E56" i="12"/>
  <c r="Q101" i="12"/>
  <c r="Q100" i="12"/>
  <c r="Q99" i="12"/>
  <c r="Q121" i="12"/>
  <c r="Q120" i="12"/>
  <c r="Q119" i="12"/>
  <c r="Q142" i="12"/>
  <c r="R80" i="12"/>
  <c r="K227" i="12" s="1"/>
  <c r="S11" i="12"/>
  <c r="S10" i="12"/>
  <c r="S8" i="12"/>
  <c r="S9" i="12"/>
  <c r="S66" i="12"/>
  <c r="Y66" i="12" s="1"/>
  <c r="S65" i="12"/>
  <c r="Y65" i="12" s="1"/>
  <c r="S64" i="12"/>
  <c r="Y64" i="12" s="1"/>
  <c r="S100" i="12"/>
  <c r="S101" i="12"/>
  <c r="S99" i="12"/>
  <c r="S128" i="12"/>
  <c r="Y128" i="12" s="1"/>
  <c r="S149" i="12"/>
  <c r="Y149" i="12" s="1"/>
  <c r="S150" i="12"/>
  <c r="Y150" i="12" s="1"/>
  <c r="T81" i="12"/>
  <c r="U61" i="12"/>
  <c r="U57" i="12"/>
  <c r="U62" i="12"/>
  <c r="U58" i="12"/>
  <c r="U60" i="12"/>
  <c r="U59" i="12"/>
  <c r="U56" i="12"/>
  <c r="S78" i="12"/>
  <c r="S75" i="12"/>
  <c r="S77" i="12"/>
  <c r="S76" i="12"/>
  <c r="U99" i="12"/>
  <c r="U100" i="12"/>
  <c r="U101" i="12"/>
  <c r="U119" i="12"/>
  <c r="U120" i="12"/>
  <c r="U121" i="12"/>
  <c r="T219" i="12"/>
  <c r="L238" i="12"/>
  <c r="U147" i="12"/>
  <c r="U146" i="12"/>
  <c r="W52" i="12"/>
  <c r="W48" i="12"/>
  <c r="W44" i="12"/>
  <c r="W40" i="12"/>
  <c r="W53" i="12"/>
  <c r="W49" i="12"/>
  <c r="W45" i="12"/>
  <c r="W41" i="12"/>
  <c r="W47" i="12"/>
  <c r="W54" i="12"/>
  <c r="W46" i="12"/>
  <c r="W51" i="12"/>
  <c r="W43" i="12"/>
  <c r="W50" i="12"/>
  <c r="W42" i="12"/>
  <c r="W76" i="12"/>
  <c r="W77" i="12"/>
  <c r="W75" i="12"/>
  <c r="W78" i="12"/>
  <c r="V124" i="12"/>
  <c r="M227" i="12" s="1"/>
  <c r="W94" i="12"/>
  <c r="W90" i="12"/>
  <c r="W95" i="12"/>
  <c r="W91" i="12"/>
  <c r="W97" i="12"/>
  <c r="W96" i="12"/>
  <c r="W93" i="12"/>
  <c r="W92" i="12"/>
  <c r="W116" i="12"/>
  <c r="W117" i="12"/>
  <c r="W138" i="12"/>
  <c r="W139" i="12"/>
  <c r="W140" i="12"/>
  <c r="I181" i="12"/>
  <c r="E159" i="12"/>
  <c r="X159" i="12" s="1"/>
  <c r="E204" i="12"/>
  <c r="X204" i="12" s="1"/>
  <c r="E182" i="12"/>
  <c r="X182" i="12" s="1"/>
  <c r="E215" i="12"/>
  <c r="X215" i="12" s="1"/>
  <c r="E218" i="12"/>
  <c r="G181" i="12"/>
  <c r="AB181" i="12"/>
  <c r="AK181" i="12" s="1"/>
  <c r="AH118" i="12"/>
  <c r="AH141" i="12"/>
  <c r="AL141" i="12" s="1"/>
  <c r="AI39" i="12"/>
  <c r="AI63" i="12"/>
  <c r="AI70" i="12"/>
  <c r="AI74" i="12"/>
  <c r="AI127" i="12"/>
  <c r="AI137" i="12"/>
  <c r="AI148" i="12"/>
  <c r="AJ55" i="12"/>
  <c r="AH86" i="12"/>
  <c r="AL86" i="12" s="1"/>
  <c r="AJ86" i="12"/>
  <c r="AJ98" i="12"/>
  <c r="AJ109" i="12"/>
  <c r="AJ118" i="12"/>
  <c r="AJ145" i="12"/>
  <c r="AH89" i="12"/>
  <c r="AH102" i="12"/>
  <c r="AH145" i="12"/>
  <c r="AI89" i="12"/>
  <c r="AI102" i="12"/>
  <c r="AJ70" i="12"/>
  <c r="AH98" i="12"/>
  <c r="AH127" i="12"/>
  <c r="AH137" i="12"/>
  <c r="AH148" i="12"/>
  <c r="AL148" i="12" s="1"/>
  <c r="AI67" i="12"/>
  <c r="AI98" i="12"/>
  <c r="AI145" i="12"/>
  <c r="AJ67" i="12"/>
  <c r="AJ74" i="12"/>
  <c r="AI86" i="12"/>
  <c r="AJ89" i="12"/>
  <c r="AJ102" i="12"/>
  <c r="AJ115" i="12"/>
  <c r="AJ127" i="12"/>
  <c r="AJ137" i="12"/>
  <c r="AG118" i="12"/>
  <c r="AH109" i="12"/>
  <c r="AI55" i="12"/>
  <c r="AI109" i="12"/>
  <c r="AI118" i="12"/>
  <c r="AI129" i="12"/>
  <c r="AI7" i="12"/>
  <c r="AJ148" i="12"/>
  <c r="AI141" i="12"/>
  <c r="AG115" i="12"/>
  <c r="AH129" i="12"/>
  <c r="AJ129" i="12"/>
  <c r="AJ63" i="12"/>
  <c r="AJ39" i="12"/>
  <c r="AI12" i="12"/>
  <c r="AJ12" i="12"/>
  <c r="W129" i="12"/>
  <c r="V85" i="12"/>
  <c r="W12" i="12"/>
  <c r="T6" i="12"/>
  <c r="L232" i="12" s="1"/>
  <c r="T126" i="12"/>
  <c r="U141" i="12" s="1"/>
  <c r="T85" i="12"/>
  <c r="L233" i="12" s="1"/>
  <c r="R126" i="12"/>
  <c r="S127" i="12" s="1"/>
  <c r="R85" i="12"/>
  <c r="R6" i="12"/>
  <c r="P126" i="12"/>
  <c r="Q127" i="12" s="1"/>
  <c r="P85" i="12"/>
  <c r="Q109" i="12" s="1"/>
  <c r="F12" i="12"/>
  <c r="H12" i="12"/>
  <c r="J12" i="12"/>
  <c r="L12" i="12"/>
  <c r="N12" i="12"/>
  <c r="P12" i="12"/>
  <c r="P74" i="12"/>
  <c r="P70" i="12"/>
  <c r="P67" i="12"/>
  <c r="P63" i="12"/>
  <c r="P55" i="12"/>
  <c r="P39" i="12"/>
  <c r="P7" i="12"/>
  <c r="N63" i="12"/>
  <c r="N145" i="12"/>
  <c r="N141" i="12"/>
  <c r="N137" i="12"/>
  <c r="N129" i="12"/>
  <c r="N127" i="12"/>
  <c r="N86" i="12"/>
  <c r="L86" i="12"/>
  <c r="J86" i="12"/>
  <c r="F86" i="12"/>
  <c r="H86" i="12"/>
  <c r="D86" i="12"/>
  <c r="N109" i="12"/>
  <c r="N102" i="12"/>
  <c r="N98" i="12"/>
  <c r="N89" i="12"/>
  <c r="N74" i="12"/>
  <c r="N70" i="12"/>
  <c r="N67" i="12"/>
  <c r="N55" i="12"/>
  <c r="N39" i="12"/>
  <c r="N7" i="12"/>
  <c r="F148" i="12"/>
  <c r="H148" i="12"/>
  <c r="J148" i="12"/>
  <c r="L148" i="12"/>
  <c r="D148" i="12"/>
  <c r="L145" i="12"/>
  <c r="L141" i="12"/>
  <c r="L129" i="12"/>
  <c r="L127" i="12"/>
  <c r="F115" i="12"/>
  <c r="H115" i="12"/>
  <c r="J115" i="12"/>
  <c r="L115" i="12"/>
  <c r="D115" i="12"/>
  <c r="D118" i="12"/>
  <c r="F118" i="12"/>
  <c r="G122" i="12" s="1"/>
  <c r="H118" i="12"/>
  <c r="I122" i="12" s="1"/>
  <c r="J118" i="12"/>
  <c r="K122" i="12" s="1"/>
  <c r="L118" i="12"/>
  <c r="M122" i="12" s="1"/>
  <c r="L109" i="12"/>
  <c r="L102" i="12"/>
  <c r="L98" i="12"/>
  <c r="L89" i="12"/>
  <c r="L7" i="12"/>
  <c r="L39" i="12"/>
  <c r="L74" i="12"/>
  <c r="L70" i="12"/>
  <c r="L67" i="12"/>
  <c r="L63" i="12"/>
  <c r="L55" i="12"/>
  <c r="Y134" i="12" l="1"/>
  <c r="Y133" i="12"/>
  <c r="Y136" i="12"/>
  <c r="Y135" i="12"/>
  <c r="Y36" i="12"/>
  <c r="Y24" i="12"/>
  <c r="Y29" i="12"/>
  <c r="Y34" i="12"/>
  <c r="Y21" i="12"/>
  <c r="Y22" i="12"/>
  <c r="Y32" i="12"/>
  <c r="Y23" i="12"/>
  <c r="Y35" i="12"/>
  <c r="T183" i="14"/>
  <c r="AB183" i="14"/>
  <c r="T191" i="14"/>
  <c r="AB191" i="14"/>
  <c r="T181" i="14"/>
  <c r="AB181" i="14"/>
  <c r="T188" i="14"/>
  <c r="AB188" i="14"/>
  <c r="T182" i="14"/>
  <c r="AB182" i="14"/>
  <c r="T180" i="14"/>
  <c r="AB180" i="14"/>
  <c r="T179" i="14"/>
  <c r="AB179" i="14"/>
  <c r="T178" i="14"/>
  <c r="AB178" i="14"/>
  <c r="T190" i="14"/>
  <c r="AB190" i="14"/>
  <c r="U195" i="14"/>
  <c r="AD195" i="14" s="1"/>
  <c r="AC195" i="14"/>
  <c r="W39" i="12"/>
  <c r="M232" i="12"/>
  <c r="Y8" i="12"/>
  <c r="Y17" i="12"/>
  <c r="Y16" i="12"/>
  <c r="Y25" i="12"/>
  <c r="Y30" i="12"/>
  <c r="Y19" i="12"/>
  <c r="Y28" i="12"/>
  <c r="Y38" i="12"/>
  <c r="Y11" i="12"/>
  <c r="Y31" i="12"/>
  <c r="N124" i="12"/>
  <c r="AL98" i="12"/>
  <c r="N132" i="14"/>
  <c r="O132" i="14"/>
  <c r="P132" i="14"/>
  <c r="Y101" i="12"/>
  <c r="M237" i="12"/>
  <c r="W137" i="12"/>
  <c r="N133" i="14"/>
  <c r="O133" i="14"/>
  <c r="P133" i="14"/>
  <c r="Q133" i="14" s="1"/>
  <c r="R133" i="14" s="1"/>
  <c r="S133" i="14" s="1"/>
  <c r="T133" i="14" s="1"/>
  <c r="U133" i="14" s="1"/>
  <c r="N131" i="14"/>
  <c r="O131" i="14"/>
  <c r="P131" i="14"/>
  <c r="AL115" i="12"/>
  <c r="AL109" i="12"/>
  <c r="AL137" i="12"/>
  <c r="AL145" i="12"/>
  <c r="AL89" i="12"/>
  <c r="AL118" i="12"/>
  <c r="Y76" i="12"/>
  <c r="Y75" i="12"/>
  <c r="Y138" i="12"/>
  <c r="Y139" i="12"/>
  <c r="Y45" i="12"/>
  <c r="Y50" i="12"/>
  <c r="Y41" i="12"/>
  <c r="Y42" i="12"/>
  <c r="Y53" i="12"/>
  <c r="Y49" i="12"/>
  <c r="Y43" i="12"/>
  <c r="Y51" i="12"/>
  <c r="Y116" i="12"/>
  <c r="Y95" i="12"/>
  <c r="Y90" i="12"/>
  <c r="Y93" i="12"/>
  <c r="Y92" i="12"/>
  <c r="Y146" i="12"/>
  <c r="O123" i="14"/>
  <c r="P123" i="14"/>
  <c r="Q123" i="14"/>
  <c r="R123" i="14"/>
  <c r="S123" i="14"/>
  <c r="T123" i="14"/>
  <c r="U123" i="14"/>
  <c r="O125" i="14"/>
  <c r="P125" i="14"/>
  <c r="Q125" i="14"/>
  <c r="R125" i="14"/>
  <c r="S125" i="14"/>
  <c r="T125" i="14"/>
  <c r="U125" i="14"/>
  <c r="O124" i="14"/>
  <c r="P124" i="14"/>
  <c r="Q124" i="14"/>
  <c r="R124" i="14"/>
  <c r="S124" i="14"/>
  <c r="T124" i="14"/>
  <c r="U124" i="14"/>
  <c r="Y103" i="12"/>
  <c r="Y107" i="12"/>
  <c r="Y104" i="12"/>
  <c r="Y68" i="12"/>
  <c r="Y111" i="12"/>
  <c r="Y113" i="12"/>
  <c r="Y121" i="12"/>
  <c r="Y57" i="12"/>
  <c r="Y60" i="12"/>
  <c r="Y59" i="12"/>
  <c r="Y62" i="12"/>
  <c r="K233" i="12"/>
  <c r="K234" i="12"/>
  <c r="K232" i="12"/>
  <c r="AL129" i="12"/>
  <c r="AL127" i="12"/>
  <c r="AL102" i="12"/>
  <c r="Y77" i="12"/>
  <c r="Y78" i="12"/>
  <c r="Y99" i="12"/>
  <c r="Y100" i="12"/>
  <c r="Y9" i="12"/>
  <c r="Y10" i="12"/>
  <c r="Y140" i="12"/>
  <c r="Y40" i="12"/>
  <c r="Y46" i="12"/>
  <c r="Y52" i="12"/>
  <c r="Y48" i="12"/>
  <c r="Y44" i="12"/>
  <c r="Y54" i="12"/>
  <c r="Y47" i="12"/>
  <c r="Y117" i="12"/>
  <c r="Y94" i="12"/>
  <c r="Y91" i="12"/>
  <c r="Y97" i="12"/>
  <c r="Y96" i="12"/>
  <c r="Y147" i="12"/>
  <c r="O127" i="14"/>
  <c r="P127" i="14"/>
  <c r="Q127" i="14"/>
  <c r="R127" i="14"/>
  <c r="S127" i="14"/>
  <c r="T127" i="14"/>
  <c r="U127" i="14"/>
  <c r="O126" i="14"/>
  <c r="P126" i="14"/>
  <c r="Q126" i="14"/>
  <c r="R126" i="14"/>
  <c r="S126" i="14"/>
  <c r="T126" i="14"/>
  <c r="U126" i="14"/>
  <c r="O129" i="14"/>
  <c r="P129" i="14"/>
  <c r="Q129" i="14"/>
  <c r="R129" i="14"/>
  <c r="S129" i="14"/>
  <c r="T129" i="14"/>
  <c r="U129" i="14"/>
  <c r="O128" i="14"/>
  <c r="P128" i="14"/>
  <c r="Q128" i="14"/>
  <c r="R128" i="14"/>
  <c r="S128" i="14"/>
  <c r="T128" i="14"/>
  <c r="U128" i="14"/>
  <c r="Y106" i="12"/>
  <c r="Y105" i="12"/>
  <c r="Y108" i="12"/>
  <c r="Y69" i="12"/>
  <c r="Y15" i="12"/>
  <c r="Y27" i="12"/>
  <c r="Y110" i="12"/>
  <c r="Y114" i="12"/>
  <c r="Y112" i="12"/>
  <c r="Y119" i="12"/>
  <c r="Y120" i="12"/>
  <c r="Y56" i="12"/>
  <c r="Y61" i="12"/>
  <c r="Y58" i="12"/>
  <c r="K237" i="12"/>
  <c r="E121" i="12"/>
  <c r="E122" i="12"/>
  <c r="X122" i="12" s="1"/>
  <c r="Q98" i="12"/>
  <c r="Q86" i="12"/>
  <c r="S89" i="12"/>
  <c r="S118" i="12"/>
  <c r="W67" i="12"/>
  <c r="S63" i="12"/>
  <c r="U55" i="12"/>
  <c r="S137" i="12"/>
  <c r="S39" i="12"/>
  <c r="U74" i="12"/>
  <c r="Q102" i="12"/>
  <c r="U12" i="12"/>
  <c r="W7" i="12"/>
  <c r="S70" i="12"/>
  <c r="U63" i="12"/>
  <c r="S12" i="12"/>
  <c r="Y12" i="12" s="1"/>
  <c r="U70" i="12"/>
  <c r="L124" i="12"/>
  <c r="M94" i="12"/>
  <c r="M90" i="12"/>
  <c r="M95" i="12"/>
  <c r="M91" i="12"/>
  <c r="M97" i="12"/>
  <c r="M92" i="12"/>
  <c r="M96" i="12"/>
  <c r="M93" i="12"/>
  <c r="M119" i="12"/>
  <c r="M121" i="12"/>
  <c r="M120" i="12"/>
  <c r="I116" i="12"/>
  <c r="I117" i="12"/>
  <c r="M149" i="12"/>
  <c r="M150" i="12"/>
  <c r="O73" i="12"/>
  <c r="O72" i="12"/>
  <c r="O71" i="12"/>
  <c r="G88" i="12"/>
  <c r="G87" i="12"/>
  <c r="N219" i="12"/>
  <c r="I238" i="12"/>
  <c r="O147" i="12"/>
  <c r="O146" i="12"/>
  <c r="Q78" i="12"/>
  <c r="Q75" i="12"/>
  <c r="Q76" i="12"/>
  <c r="Q77" i="12"/>
  <c r="M234" i="12"/>
  <c r="M231" i="12"/>
  <c r="M68" i="12"/>
  <c r="M69" i="12"/>
  <c r="M114" i="12"/>
  <c r="M110" i="12"/>
  <c r="M111" i="12"/>
  <c r="M113" i="12"/>
  <c r="M112" i="12"/>
  <c r="K116" i="12"/>
  <c r="K117" i="12"/>
  <c r="E150" i="12"/>
  <c r="X150" i="12" s="1"/>
  <c r="E149" i="12"/>
  <c r="X149" i="12" s="1"/>
  <c r="O69" i="12"/>
  <c r="O68" i="12"/>
  <c r="I88" i="12"/>
  <c r="I87" i="12"/>
  <c r="Q43" i="12"/>
  <c r="Q54" i="12"/>
  <c r="Q50" i="12"/>
  <c r="Q46" i="12"/>
  <c r="Q42" i="12"/>
  <c r="Q51" i="12"/>
  <c r="Q47" i="12"/>
  <c r="Q52" i="12"/>
  <c r="Q45" i="12"/>
  <c r="Q48" i="12"/>
  <c r="Q49" i="12"/>
  <c r="Q41" i="12"/>
  <c r="Q44" i="12"/>
  <c r="Q53" i="12"/>
  <c r="Q40" i="12"/>
  <c r="M36" i="12"/>
  <c r="M32" i="12"/>
  <c r="M28" i="12"/>
  <c r="M24" i="12"/>
  <c r="M20" i="12"/>
  <c r="M16" i="12"/>
  <c r="M37" i="12"/>
  <c r="M33" i="12"/>
  <c r="M29" i="12"/>
  <c r="M25" i="12"/>
  <c r="M21" i="12"/>
  <c r="M17" i="12"/>
  <c r="M13" i="12"/>
  <c r="M35" i="12"/>
  <c r="M27" i="12"/>
  <c r="M19" i="12"/>
  <c r="M38" i="12"/>
  <c r="M22" i="12"/>
  <c r="M34" i="12"/>
  <c r="M26" i="12"/>
  <c r="M18" i="12"/>
  <c r="M30" i="12"/>
  <c r="M14" i="12"/>
  <c r="M23" i="12"/>
  <c r="M31" i="12"/>
  <c r="M15" i="12"/>
  <c r="R82" i="12"/>
  <c r="R83" i="12" s="1"/>
  <c r="K228" i="12"/>
  <c r="V82" i="12"/>
  <c r="V83" i="12" s="1"/>
  <c r="M228" i="12"/>
  <c r="M64" i="12"/>
  <c r="M65" i="12"/>
  <c r="M66" i="12"/>
  <c r="M52" i="12"/>
  <c r="M48" i="12"/>
  <c r="M44" i="12"/>
  <c r="M40" i="12"/>
  <c r="M53" i="12"/>
  <c r="M49" i="12"/>
  <c r="M45" i="12"/>
  <c r="M41" i="12"/>
  <c r="M51" i="12"/>
  <c r="M43" i="12"/>
  <c r="M54" i="12"/>
  <c r="M50" i="12"/>
  <c r="M42" i="12"/>
  <c r="M46" i="12"/>
  <c r="M47" i="12"/>
  <c r="M106" i="12"/>
  <c r="M107" i="12"/>
  <c r="M103" i="12"/>
  <c r="M105" i="12"/>
  <c r="M108" i="12"/>
  <c r="M104" i="12"/>
  <c r="I120" i="12"/>
  <c r="I121" i="12"/>
  <c r="I119" i="12"/>
  <c r="M116" i="12"/>
  <c r="M117" i="12"/>
  <c r="M128" i="12"/>
  <c r="L219" i="12"/>
  <c r="H238" i="12"/>
  <c r="M146" i="12"/>
  <c r="M147" i="12"/>
  <c r="I150" i="12"/>
  <c r="I149" i="12"/>
  <c r="N81" i="12"/>
  <c r="O60" i="12"/>
  <c r="O57" i="12"/>
  <c r="O61" i="12"/>
  <c r="O62" i="12"/>
  <c r="O58" i="12"/>
  <c r="O56" i="12"/>
  <c r="O59" i="12"/>
  <c r="O93" i="12"/>
  <c r="O97" i="12"/>
  <c r="O92" i="12"/>
  <c r="O96" i="12"/>
  <c r="O91" i="12"/>
  <c r="O95" i="12"/>
  <c r="O94" i="12"/>
  <c r="O90" i="12"/>
  <c r="E88" i="12"/>
  <c r="X88" i="12" s="1"/>
  <c r="E87" i="12"/>
  <c r="X87" i="12" s="1"/>
  <c r="M87" i="12"/>
  <c r="M88" i="12"/>
  <c r="O139" i="12"/>
  <c r="O138" i="12"/>
  <c r="O140" i="12"/>
  <c r="P80" i="12"/>
  <c r="Q11" i="12"/>
  <c r="Q10" i="12"/>
  <c r="Q9" i="12"/>
  <c r="Q8" i="12"/>
  <c r="Q68" i="12"/>
  <c r="Q69" i="12"/>
  <c r="O25" i="12"/>
  <c r="O37" i="12"/>
  <c r="O18" i="12"/>
  <c r="O22" i="12"/>
  <c r="O26" i="12"/>
  <c r="O30" i="12"/>
  <c r="O34" i="12"/>
  <c r="O38" i="12"/>
  <c r="O17" i="12"/>
  <c r="O21" i="12"/>
  <c r="O29" i="12"/>
  <c r="O33" i="12"/>
  <c r="O13" i="12"/>
  <c r="O16" i="12"/>
  <c r="O23" i="12"/>
  <c r="O15" i="12"/>
  <c r="O28" i="12"/>
  <c r="O19" i="12"/>
  <c r="O27" i="12"/>
  <c r="O35" i="12"/>
  <c r="O24" i="12"/>
  <c r="O32" i="12"/>
  <c r="O14" i="12"/>
  <c r="O31" i="12"/>
  <c r="O20" i="12"/>
  <c r="O36" i="12"/>
  <c r="G38" i="12"/>
  <c r="G34" i="12"/>
  <c r="G30" i="12"/>
  <c r="G26" i="12"/>
  <c r="G22" i="12"/>
  <c r="G18" i="12"/>
  <c r="G14" i="12"/>
  <c r="G35" i="12"/>
  <c r="G31" i="12"/>
  <c r="G27" i="12"/>
  <c r="G23" i="12"/>
  <c r="G19" i="12"/>
  <c r="G15" i="12"/>
  <c r="G33" i="12"/>
  <c r="G25" i="12"/>
  <c r="G17" i="12"/>
  <c r="G36" i="12"/>
  <c r="G20" i="12"/>
  <c r="G32" i="12"/>
  <c r="G24" i="12"/>
  <c r="G16" i="12"/>
  <c r="G28" i="12"/>
  <c r="G13" i="12"/>
  <c r="G37" i="12"/>
  <c r="G21" i="12"/>
  <c r="G29" i="12"/>
  <c r="K231" i="12"/>
  <c r="S115" i="12"/>
  <c r="T82" i="12"/>
  <c r="T83" i="12" s="1"/>
  <c r="L228" i="12"/>
  <c r="L227" i="12"/>
  <c r="U98" i="12"/>
  <c r="W102" i="12"/>
  <c r="W109" i="12"/>
  <c r="U115" i="12"/>
  <c r="U102" i="12"/>
  <c r="U86" i="12"/>
  <c r="W86" i="12"/>
  <c r="U118" i="12"/>
  <c r="W70" i="12"/>
  <c r="U127" i="12"/>
  <c r="S129" i="12"/>
  <c r="S67" i="12"/>
  <c r="Q145" i="12"/>
  <c r="W127" i="12"/>
  <c r="S55" i="12"/>
  <c r="U145" i="12"/>
  <c r="S74" i="12"/>
  <c r="S98" i="12"/>
  <c r="U67" i="12"/>
  <c r="U7" i="12"/>
  <c r="Q129" i="12"/>
  <c r="U39" i="12"/>
  <c r="Q89" i="12"/>
  <c r="W145" i="12"/>
  <c r="S86" i="12"/>
  <c r="S145" i="12"/>
  <c r="Y145" i="12" s="1"/>
  <c r="S102" i="12"/>
  <c r="J237" i="12"/>
  <c r="Q148" i="12"/>
  <c r="S141" i="12"/>
  <c r="M72" i="12"/>
  <c r="M73" i="12"/>
  <c r="M71" i="12"/>
  <c r="E120" i="12"/>
  <c r="E119" i="12"/>
  <c r="M139" i="12"/>
  <c r="M140" i="12"/>
  <c r="N80" i="12"/>
  <c r="I228" i="12" s="1"/>
  <c r="O10" i="12"/>
  <c r="O11" i="12"/>
  <c r="O9" i="12"/>
  <c r="O8" i="12"/>
  <c r="AG102" i="12"/>
  <c r="O107" i="12"/>
  <c r="O106" i="12"/>
  <c r="O108" i="12"/>
  <c r="O105" i="12"/>
  <c r="O104" i="12"/>
  <c r="O103" i="12"/>
  <c r="O128" i="12"/>
  <c r="P81" i="12"/>
  <c r="Q62" i="12"/>
  <c r="Q58" i="12"/>
  <c r="Q59" i="12"/>
  <c r="Q61" i="12"/>
  <c r="Q57" i="12"/>
  <c r="Q60" i="12"/>
  <c r="Q56" i="12"/>
  <c r="K37" i="12"/>
  <c r="K33" i="12"/>
  <c r="K29" i="12"/>
  <c r="K25" i="12"/>
  <c r="K21" i="12"/>
  <c r="K17" i="12"/>
  <c r="K13" i="12"/>
  <c r="K38" i="12"/>
  <c r="K34" i="12"/>
  <c r="K30" i="12"/>
  <c r="K26" i="12"/>
  <c r="K22" i="12"/>
  <c r="K18" i="12"/>
  <c r="K14" i="12"/>
  <c r="K32" i="12"/>
  <c r="K24" i="12"/>
  <c r="K16" i="12"/>
  <c r="K19" i="12"/>
  <c r="K31" i="12"/>
  <c r="K23" i="12"/>
  <c r="K15" i="12"/>
  <c r="K35" i="12"/>
  <c r="K27" i="12"/>
  <c r="K20" i="12"/>
  <c r="K28" i="12"/>
  <c r="K36" i="12"/>
  <c r="L234" i="12"/>
  <c r="L231" i="12"/>
  <c r="L80" i="12"/>
  <c r="M8" i="12"/>
  <c r="M9" i="12"/>
  <c r="M11" i="12"/>
  <c r="M10" i="12"/>
  <c r="G120" i="12"/>
  <c r="G121" i="12"/>
  <c r="G119" i="12"/>
  <c r="M135" i="12"/>
  <c r="M131" i="12"/>
  <c r="M136" i="12"/>
  <c r="M132" i="12"/>
  <c r="M134" i="12"/>
  <c r="M133" i="12"/>
  <c r="M130" i="12"/>
  <c r="G150" i="12"/>
  <c r="G149" i="12"/>
  <c r="AG98" i="12"/>
  <c r="O100" i="12"/>
  <c r="O101" i="12"/>
  <c r="O99" i="12"/>
  <c r="O87" i="12"/>
  <c r="O88" i="12"/>
  <c r="O142" i="12"/>
  <c r="Q71" i="12"/>
  <c r="Q73" i="12"/>
  <c r="Q72" i="12"/>
  <c r="J234" i="12"/>
  <c r="Q115" i="12"/>
  <c r="W63" i="12"/>
  <c r="L81" i="12"/>
  <c r="M60" i="12"/>
  <c r="M56" i="12"/>
  <c r="M61" i="12"/>
  <c r="M57" i="12"/>
  <c r="M59" i="12"/>
  <c r="M58" i="12"/>
  <c r="M62" i="12"/>
  <c r="M76" i="12"/>
  <c r="M77" i="12"/>
  <c r="M75" i="12"/>
  <c r="M78" i="12"/>
  <c r="M99" i="12"/>
  <c r="M100" i="12"/>
  <c r="M101" i="12"/>
  <c r="K119" i="12"/>
  <c r="K120" i="12"/>
  <c r="K121" i="12"/>
  <c r="E117" i="12"/>
  <c r="E116" i="12"/>
  <c r="G116" i="12"/>
  <c r="G117" i="12"/>
  <c r="M142" i="12"/>
  <c r="K150" i="12"/>
  <c r="K149" i="12"/>
  <c r="O48" i="12"/>
  <c r="O41" i="12"/>
  <c r="O45" i="12"/>
  <c r="O49" i="12"/>
  <c r="O53" i="12"/>
  <c r="O44" i="12"/>
  <c r="O52" i="12"/>
  <c r="O54" i="12"/>
  <c r="O43" i="12"/>
  <c r="O42" i="12"/>
  <c r="O50" i="12"/>
  <c r="O47" i="12"/>
  <c r="O40" i="12"/>
  <c r="O46" i="12"/>
  <c r="O51" i="12"/>
  <c r="O78" i="12"/>
  <c r="O77" i="12"/>
  <c r="O75" i="12"/>
  <c r="O76" i="12"/>
  <c r="O111" i="12"/>
  <c r="O110" i="12"/>
  <c r="O114" i="12"/>
  <c r="O113" i="12"/>
  <c r="O112" i="12"/>
  <c r="K87" i="12"/>
  <c r="K88" i="12"/>
  <c r="O131" i="12"/>
  <c r="O132" i="12"/>
  <c r="O136" i="12"/>
  <c r="O135" i="12"/>
  <c r="O134" i="12"/>
  <c r="O130" i="12"/>
  <c r="O133" i="12"/>
  <c r="O66" i="12"/>
  <c r="O65" i="12"/>
  <c r="O64" i="12"/>
  <c r="Q66" i="12"/>
  <c r="Q64" i="12"/>
  <c r="Q65" i="12"/>
  <c r="Q31" i="12"/>
  <c r="Q23" i="12"/>
  <c r="Q38" i="12"/>
  <c r="Q34" i="12"/>
  <c r="Q30" i="12"/>
  <c r="Q26" i="12"/>
  <c r="Q22" i="12"/>
  <c r="Q18" i="12"/>
  <c r="Q14" i="12"/>
  <c r="Q35" i="12"/>
  <c r="Q27" i="12"/>
  <c r="Q19" i="12"/>
  <c r="Q15" i="12"/>
  <c r="Q20" i="12"/>
  <c r="Q29" i="12"/>
  <c r="Q13" i="12"/>
  <c r="Q32" i="12"/>
  <c r="Q16" i="12"/>
  <c r="Q33" i="12"/>
  <c r="Q25" i="12"/>
  <c r="Q17" i="12"/>
  <c r="Q36" i="12"/>
  <c r="Q28" i="12"/>
  <c r="Q37" i="12"/>
  <c r="Q21" i="12"/>
  <c r="Q24" i="12"/>
  <c r="I37" i="12"/>
  <c r="I33" i="12"/>
  <c r="I29" i="12"/>
  <c r="I25" i="12"/>
  <c r="I21" i="12"/>
  <c r="I17" i="12"/>
  <c r="I13" i="12"/>
  <c r="I38" i="12"/>
  <c r="I34" i="12"/>
  <c r="I30" i="12"/>
  <c r="I26" i="12"/>
  <c r="I22" i="12"/>
  <c r="I18" i="12"/>
  <c r="I14" i="12"/>
  <c r="I36" i="12"/>
  <c r="I28" i="12"/>
  <c r="I20" i="12"/>
  <c r="I23" i="12"/>
  <c r="I35" i="12"/>
  <c r="I27" i="12"/>
  <c r="I19" i="12"/>
  <c r="I31" i="12"/>
  <c r="I15" i="12"/>
  <c r="I16" i="12"/>
  <c r="I24" i="12"/>
  <c r="I32" i="12"/>
  <c r="W148" i="12"/>
  <c r="W141" i="12"/>
  <c r="U89" i="12"/>
  <c r="W115" i="12"/>
  <c r="W89" i="12"/>
  <c r="W74" i="12"/>
  <c r="L237" i="12"/>
  <c r="S148" i="12"/>
  <c r="S7" i="12"/>
  <c r="Q141" i="12"/>
  <c r="Q118" i="12"/>
  <c r="U109" i="12"/>
  <c r="U137" i="12"/>
  <c r="Q137" i="12"/>
  <c r="W118" i="12"/>
  <c r="W98" i="12"/>
  <c r="W55" i="12"/>
  <c r="U148" i="12"/>
  <c r="U129" i="12"/>
  <c r="S109" i="12"/>
  <c r="Y109" i="12" s="1"/>
  <c r="J233" i="12"/>
  <c r="M233" i="12"/>
  <c r="E181" i="12"/>
  <c r="X181" i="12" s="1"/>
  <c r="AE115" i="12"/>
  <c r="AC115" i="12"/>
  <c r="AC148" i="12"/>
  <c r="AF7" i="12"/>
  <c r="AB86" i="12"/>
  <c r="AK86" i="12" s="1"/>
  <c r="AE86" i="12"/>
  <c r="AG67" i="12"/>
  <c r="AG74" i="12"/>
  <c r="AB115" i="12"/>
  <c r="AB148" i="12"/>
  <c r="AK148" i="12" s="1"/>
  <c r="AF89" i="12"/>
  <c r="AF127" i="12"/>
  <c r="AF137" i="12"/>
  <c r="AF145" i="12"/>
  <c r="AG7" i="12"/>
  <c r="AF115" i="12"/>
  <c r="AG137" i="12"/>
  <c r="AH74" i="12"/>
  <c r="AL74" i="12" s="1"/>
  <c r="AH7" i="12"/>
  <c r="AL7" i="12" s="1"/>
  <c r="AE148" i="12"/>
  <c r="AF148" i="12"/>
  <c r="AF70" i="12"/>
  <c r="AF102" i="12"/>
  <c r="AD118" i="12"/>
  <c r="AB118" i="12"/>
  <c r="AD115" i="12"/>
  <c r="AD148" i="12"/>
  <c r="AF67" i="12"/>
  <c r="AF74" i="12"/>
  <c r="AF98" i="12"/>
  <c r="AC86" i="12"/>
  <c r="AD86" i="12"/>
  <c r="AF86" i="12"/>
  <c r="AF141" i="12"/>
  <c r="AF63" i="12"/>
  <c r="AG70" i="12"/>
  <c r="AH85" i="12"/>
  <c r="AH67" i="12"/>
  <c r="AL67" i="12" s="1"/>
  <c r="AG145" i="12"/>
  <c r="AG127" i="12"/>
  <c r="AG89" i="12"/>
  <c r="AH70" i="12"/>
  <c r="AL70" i="12" s="1"/>
  <c r="AG141" i="12"/>
  <c r="AG86" i="12"/>
  <c r="AH126" i="12"/>
  <c r="AI126" i="12"/>
  <c r="AJ126" i="12"/>
  <c r="AF129" i="12"/>
  <c r="AG129" i="12"/>
  <c r="AE118" i="12"/>
  <c r="AC118" i="12"/>
  <c r="AJ85" i="12"/>
  <c r="AF118" i="12"/>
  <c r="AF109" i="12"/>
  <c r="AI85" i="12"/>
  <c r="AG109" i="12"/>
  <c r="AG63" i="12"/>
  <c r="AH63" i="12"/>
  <c r="AL63" i="12" s="1"/>
  <c r="AF55" i="12"/>
  <c r="AG55" i="12"/>
  <c r="AH55" i="12"/>
  <c r="AL55" i="12" s="1"/>
  <c r="AF39" i="12"/>
  <c r="AG39" i="12"/>
  <c r="AH39" i="12"/>
  <c r="AL39" i="12" s="1"/>
  <c r="AF12" i="12"/>
  <c r="AD12" i="12"/>
  <c r="AI6" i="12"/>
  <c r="AG12" i="12"/>
  <c r="AH12" i="12"/>
  <c r="AL12" i="12" s="1"/>
  <c r="AE12" i="12"/>
  <c r="AC12" i="12"/>
  <c r="AJ6" i="12"/>
  <c r="AB12" i="12"/>
  <c r="V152" i="12"/>
  <c r="T152" i="12"/>
  <c r="R152" i="12"/>
  <c r="P152" i="12"/>
  <c r="P6" i="12"/>
  <c r="AH6" i="12" s="1"/>
  <c r="N126" i="12"/>
  <c r="O148" i="12" s="1"/>
  <c r="N85" i="12"/>
  <c r="I233" i="12" s="1"/>
  <c r="N6" i="12"/>
  <c r="I232" i="12" s="1"/>
  <c r="L6" i="12"/>
  <c r="H232" i="12" s="1"/>
  <c r="L126" i="12"/>
  <c r="L85" i="12"/>
  <c r="M102" i="12" s="1"/>
  <c r="J147" i="12"/>
  <c r="F145" i="12"/>
  <c r="H145" i="12"/>
  <c r="D145" i="12"/>
  <c r="J141" i="12"/>
  <c r="J137" i="12"/>
  <c r="J129" i="12"/>
  <c r="J127" i="12"/>
  <c r="J109" i="12"/>
  <c r="J102" i="12"/>
  <c r="J98" i="12"/>
  <c r="J89" i="12"/>
  <c r="F109" i="12"/>
  <c r="H109" i="12"/>
  <c r="D109" i="12"/>
  <c r="J7" i="12"/>
  <c r="J74" i="12"/>
  <c r="J70" i="12"/>
  <c r="J67" i="12"/>
  <c r="J63" i="12"/>
  <c r="J55" i="12"/>
  <c r="J39" i="12"/>
  <c r="D127" i="12"/>
  <c r="D129" i="12"/>
  <c r="D137" i="12"/>
  <c r="D74" i="12"/>
  <c r="D70" i="12"/>
  <c r="D67" i="12"/>
  <c r="D63" i="12"/>
  <c r="D39" i="12"/>
  <c r="H7" i="12"/>
  <c r="F7" i="12"/>
  <c r="D7" i="12"/>
  <c r="H141" i="12"/>
  <c r="H137" i="12"/>
  <c r="H129" i="12"/>
  <c r="H127" i="12"/>
  <c r="H102" i="12"/>
  <c r="H98" i="12"/>
  <c r="H89" i="12"/>
  <c r="H74" i="12"/>
  <c r="H70" i="12"/>
  <c r="H67" i="12"/>
  <c r="H55" i="12"/>
  <c r="H63" i="12"/>
  <c r="F63" i="12"/>
  <c r="F55" i="12"/>
  <c r="H39" i="12"/>
  <c r="F143" i="12"/>
  <c r="F141" i="12"/>
  <c r="D141" i="12"/>
  <c r="F137" i="12"/>
  <c r="D143" i="12"/>
  <c r="F129" i="12"/>
  <c r="F127" i="12"/>
  <c r="F102" i="12"/>
  <c r="F98" i="12"/>
  <c r="F89" i="12"/>
  <c r="D89" i="12"/>
  <c r="F74" i="12"/>
  <c r="F70" i="12"/>
  <c r="F67" i="12"/>
  <c r="F39" i="12"/>
  <c r="D102" i="12"/>
  <c r="D98" i="12"/>
  <c r="Y7" i="12" l="1"/>
  <c r="U190" i="14"/>
  <c r="AD190" i="14" s="1"/>
  <c r="AC190" i="14"/>
  <c r="U178" i="14"/>
  <c r="AD178" i="14" s="1"/>
  <c r="AC178" i="14"/>
  <c r="U179" i="14"/>
  <c r="AD179" i="14" s="1"/>
  <c r="AC179" i="14"/>
  <c r="U180" i="14"/>
  <c r="AD180" i="14" s="1"/>
  <c r="AC180" i="14"/>
  <c r="U182" i="14"/>
  <c r="AD182" i="14" s="1"/>
  <c r="AC182" i="14"/>
  <c r="U188" i="14"/>
  <c r="AD188" i="14" s="1"/>
  <c r="AC188" i="14"/>
  <c r="U181" i="14"/>
  <c r="AD181" i="14" s="1"/>
  <c r="AC181" i="14"/>
  <c r="U191" i="14"/>
  <c r="AD191" i="14" s="1"/>
  <c r="AC191" i="14"/>
  <c r="U183" i="14"/>
  <c r="AD183" i="14" s="1"/>
  <c r="AC183" i="14"/>
  <c r="AL6" i="12"/>
  <c r="Y67" i="12"/>
  <c r="Y127" i="12"/>
  <c r="H237" i="12"/>
  <c r="M137" i="12"/>
  <c r="AK12" i="12"/>
  <c r="AK115" i="12"/>
  <c r="N134" i="14"/>
  <c r="O134" i="14"/>
  <c r="P134" i="14"/>
  <c r="X116" i="12"/>
  <c r="Y102" i="12"/>
  <c r="N97" i="14" s="1"/>
  <c r="AL126" i="12"/>
  <c r="AL85" i="12"/>
  <c r="AK118" i="12"/>
  <c r="N104" i="14"/>
  <c r="O104" i="14"/>
  <c r="P104" i="14"/>
  <c r="Q104" i="14"/>
  <c r="R104" i="14"/>
  <c r="S104" i="14"/>
  <c r="T104" i="14"/>
  <c r="U104" i="14"/>
  <c r="Y148" i="12"/>
  <c r="X120" i="12"/>
  <c r="Y141" i="12"/>
  <c r="Y98" i="12"/>
  <c r="X21" i="12"/>
  <c r="X13" i="12"/>
  <c r="X16" i="12"/>
  <c r="X32" i="12"/>
  <c r="X36" i="12"/>
  <c r="X25" i="12"/>
  <c r="X15" i="12"/>
  <c r="X23" i="12"/>
  <c r="X31" i="12"/>
  <c r="X14" i="12"/>
  <c r="X22" i="12"/>
  <c r="X30" i="12"/>
  <c r="X38" i="12"/>
  <c r="Y70" i="12"/>
  <c r="Y137" i="12"/>
  <c r="Y89" i="12"/>
  <c r="N84" i="14" s="1"/>
  <c r="X121" i="12"/>
  <c r="F124" i="12"/>
  <c r="X117" i="12"/>
  <c r="X119" i="12"/>
  <c r="O97" i="14"/>
  <c r="Q97" i="14"/>
  <c r="S97" i="14"/>
  <c r="U97" i="14"/>
  <c r="Y86" i="12"/>
  <c r="N81" i="14" s="1"/>
  <c r="Y74" i="12"/>
  <c r="Y55" i="12"/>
  <c r="Y129" i="12"/>
  <c r="Y115" i="12"/>
  <c r="N110" i="14" s="1"/>
  <c r="X29" i="12"/>
  <c r="X37" i="12"/>
  <c r="X28" i="12"/>
  <c r="X24" i="12"/>
  <c r="X20" i="12"/>
  <c r="X17" i="12"/>
  <c r="X33" i="12"/>
  <c r="X19" i="12"/>
  <c r="X27" i="12"/>
  <c r="X35" i="12"/>
  <c r="X18" i="12"/>
  <c r="X26" i="12"/>
  <c r="X34" i="12"/>
  <c r="Y39" i="12"/>
  <c r="Y63" i="12"/>
  <c r="Y118" i="12"/>
  <c r="N113" i="14" s="1"/>
  <c r="D238" i="12"/>
  <c r="Q85" i="12"/>
  <c r="S85" i="12"/>
  <c r="O12" i="12"/>
  <c r="M115" i="12"/>
  <c r="M118" i="12"/>
  <c r="M89" i="12"/>
  <c r="Q126" i="12"/>
  <c r="S126" i="12"/>
  <c r="H233" i="12"/>
  <c r="O67" i="12"/>
  <c r="O70" i="12"/>
  <c r="O129" i="12"/>
  <c r="I237" i="12"/>
  <c r="M98" i="12"/>
  <c r="W6" i="12"/>
  <c r="S6" i="12"/>
  <c r="M127" i="12"/>
  <c r="G96" i="12"/>
  <c r="G92" i="12"/>
  <c r="G97" i="12"/>
  <c r="G93" i="12"/>
  <c r="G95" i="12"/>
  <c r="G94" i="12"/>
  <c r="G90" i="12"/>
  <c r="G91" i="12"/>
  <c r="G142" i="12"/>
  <c r="I73" i="12"/>
  <c r="I71" i="12"/>
  <c r="I72" i="12"/>
  <c r="E54" i="12"/>
  <c r="E50" i="12"/>
  <c r="E46" i="12"/>
  <c r="E42" i="12"/>
  <c r="E51" i="12"/>
  <c r="E47" i="12"/>
  <c r="E43" i="12"/>
  <c r="E52" i="12"/>
  <c r="E44" i="12"/>
  <c r="E53" i="12"/>
  <c r="E45" i="12"/>
  <c r="E49" i="12"/>
  <c r="E41" i="12"/>
  <c r="E48" i="12"/>
  <c r="E40" i="12"/>
  <c r="K53" i="12"/>
  <c r="K49" i="12"/>
  <c r="K45" i="12"/>
  <c r="K41" i="12"/>
  <c r="K54" i="12"/>
  <c r="K50" i="12"/>
  <c r="K46" i="12"/>
  <c r="K42" i="12"/>
  <c r="K48" i="12"/>
  <c r="K40" i="12"/>
  <c r="K43" i="12"/>
  <c r="K47" i="12"/>
  <c r="K51" i="12"/>
  <c r="K52" i="12"/>
  <c r="K44" i="12"/>
  <c r="I112" i="12"/>
  <c r="I113" i="12"/>
  <c r="I110" i="12"/>
  <c r="I114" i="12"/>
  <c r="I111" i="12"/>
  <c r="K140" i="12"/>
  <c r="K139" i="12"/>
  <c r="K138" i="12"/>
  <c r="E238" i="12"/>
  <c r="G147" i="12"/>
  <c r="G146" i="12"/>
  <c r="J232" i="12"/>
  <c r="E97" i="12"/>
  <c r="E93" i="12"/>
  <c r="E94" i="12"/>
  <c r="E90" i="12"/>
  <c r="E91" i="12"/>
  <c r="E92" i="12"/>
  <c r="E96" i="12"/>
  <c r="E95" i="12"/>
  <c r="E142" i="12"/>
  <c r="I100" i="12"/>
  <c r="I101" i="12"/>
  <c r="I99" i="12"/>
  <c r="H80" i="12"/>
  <c r="I9" i="12"/>
  <c r="I10" i="12"/>
  <c r="I11" i="12"/>
  <c r="I8" i="12"/>
  <c r="E128" i="12"/>
  <c r="AE67" i="12"/>
  <c r="K69" i="12"/>
  <c r="K68" i="12"/>
  <c r="K99" i="12"/>
  <c r="K100" i="12"/>
  <c r="K101" i="12"/>
  <c r="F238" i="12"/>
  <c r="I146" i="12"/>
  <c r="I147" i="12"/>
  <c r="J227" i="12"/>
  <c r="J228" i="12"/>
  <c r="P82" i="12"/>
  <c r="P83" i="12" s="1"/>
  <c r="E105" i="12"/>
  <c r="E106" i="12"/>
  <c r="E107" i="12"/>
  <c r="E108" i="12"/>
  <c r="E104" i="12"/>
  <c r="E103" i="12"/>
  <c r="G78" i="12"/>
  <c r="G75" i="12"/>
  <c r="G76" i="12"/>
  <c r="G77" i="12"/>
  <c r="G108" i="12"/>
  <c r="G104" i="12"/>
  <c r="G105" i="12"/>
  <c r="G103" i="12"/>
  <c r="G106" i="12"/>
  <c r="G107" i="12"/>
  <c r="G138" i="12"/>
  <c r="G140" i="12"/>
  <c r="G139" i="12"/>
  <c r="I53" i="12"/>
  <c r="I49" i="12"/>
  <c r="I45" i="12"/>
  <c r="I41" i="12"/>
  <c r="I54" i="12"/>
  <c r="I50" i="12"/>
  <c r="I46" i="12"/>
  <c r="I42" i="12"/>
  <c r="I52" i="12"/>
  <c r="I44" i="12"/>
  <c r="I51" i="12"/>
  <c r="I43" i="12"/>
  <c r="I47" i="12"/>
  <c r="I48" i="12"/>
  <c r="I40" i="12"/>
  <c r="H81" i="12"/>
  <c r="I61" i="12"/>
  <c r="I57" i="12"/>
  <c r="I62" i="12"/>
  <c r="I58" i="12"/>
  <c r="I60" i="12"/>
  <c r="I59" i="12"/>
  <c r="I56" i="12"/>
  <c r="H124" i="12"/>
  <c r="I96" i="12"/>
  <c r="I92" i="12"/>
  <c r="I97" i="12"/>
  <c r="I93" i="12"/>
  <c r="I91" i="12"/>
  <c r="I90" i="12"/>
  <c r="I94" i="12"/>
  <c r="I95" i="12"/>
  <c r="I136" i="12"/>
  <c r="I132" i="12"/>
  <c r="I133" i="12"/>
  <c r="I135" i="12"/>
  <c r="I130" i="12"/>
  <c r="I134" i="12"/>
  <c r="I131" i="12"/>
  <c r="F80" i="12"/>
  <c r="G10" i="12"/>
  <c r="G11" i="12"/>
  <c r="G9" i="12"/>
  <c r="G8" i="12"/>
  <c r="E68" i="12"/>
  <c r="E69" i="12"/>
  <c r="E133" i="12"/>
  <c r="E134" i="12"/>
  <c r="E130" i="12"/>
  <c r="E135" i="12"/>
  <c r="E136" i="12"/>
  <c r="E132" i="12"/>
  <c r="E131" i="12"/>
  <c r="K65" i="12"/>
  <c r="K66" i="12"/>
  <c r="K64" i="12"/>
  <c r="J80" i="12"/>
  <c r="K9" i="12"/>
  <c r="K10" i="12"/>
  <c r="K8" i="12"/>
  <c r="K11" i="12"/>
  <c r="J124" i="12"/>
  <c r="K95" i="12"/>
  <c r="K91" i="12"/>
  <c r="K96" i="12"/>
  <c r="K92" i="12"/>
  <c r="K94" i="12"/>
  <c r="K97" i="12"/>
  <c r="K93" i="12"/>
  <c r="K90" i="12"/>
  <c r="K128" i="12"/>
  <c r="E147" i="12"/>
  <c r="E146" i="12"/>
  <c r="D219" i="12"/>
  <c r="H234" i="12"/>
  <c r="H231" i="12"/>
  <c r="I234" i="12"/>
  <c r="I231" i="12"/>
  <c r="N82" i="12"/>
  <c r="N83" i="12" s="1"/>
  <c r="I227" i="12"/>
  <c r="Q12" i="12"/>
  <c r="M70" i="12"/>
  <c r="Q39" i="12"/>
  <c r="Q63" i="12"/>
  <c r="W126" i="12"/>
  <c r="U126" i="12"/>
  <c r="W85" i="12"/>
  <c r="M145" i="12"/>
  <c r="M39" i="12"/>
  <c r="M63" i="12"/>
  <c r="M67" i="12"/>
  <c r="Q74" i="12"/>
  <c r="O145" i="12"/>
  <c r="M148" i="12"/>
  <c r="O63" i="12"/>
  <c r="O74" i="12"/>
  <c r="O39" i="12"/>
  <c r="M74" i="12"/>
  <c r="M55" i="12"/>
  <c r="J231" i="12"/>
  <c r="Q70" i="12"/>
  <c r="M129" i="12"/>
  <c r="Q55" i="12"/>
  <c r="O7" i="12"/>
  <c r="M86" i="12"/>
  <c r="G68" i="12"/>
  <c r="G69" i="12"/>
  <c r="G133" i="12"/>
  <c r="G134" i="12"/>
  <c r="G130" i="12"/>
  <c r="G132" i="12"/>
  <c r="G135" i="12"/>
  <c r="G131" i="12"/>
  <c r="G136" i="12"/>
  <c r="G66" i="12"/>
  <c r="G65" i="12"/>
  <c r="G64" i="12"/>
  <c r="I108" i="12"/>
  <c r="I104" i="12"/>
  <c r="I105" i="12"/>
  <c r="I107" i="12"/>
  <c r="I106" i="12"/>
  <c r="I103" i="12"/>
  <c r="I142" i="12"/>
  <c r="E78" i="12"/>
  <c r="E75" i="12"/>
  <c r="E76" i="12"/>
  <c r="E77" i="12"/>
  <c r="K73" i="12"/>
  <c r="K72" i="12"/>
  <c r="K71" i="12"/>
  <c r="K107" i="12"/>
  <c r="K103" i="12"/>
  <c r="K108" i="12"/>
  <c r="K104" i="12"/>
  <c r="K105" i="12"/>
  <c r="K106" i="12"/>
  <c r="G54" i="12"/>
  <c r="G50" i="12"/>
  <c r="G46" i="12"/>
  <c r="G42" i="12"/>
  <c r="G51" i="12"/>
  <c r="G47" i="12"/>
  <c r="G43" i="12"/>
  <c r="G49" i="12"/>
  <c r="G41" i="12"/>
  <c r="G52" i="12"/>
  <c r="G48" i="12"/>
  <c r="G40" i="12"/>
  <c r="G44" i="12"/>
  <c r="G45" i="12"/>
  <c r="G53" i="12"/>
  <c r="G128" i="12"/>
  <c r="F81" i="12"/>
  <c r="G62" i="12"/>
  <c r="G58" i="12"/>
  <c r="G59" i="12"/>
  <c r="G57" i="12"/>
  <c r="G56" i="12"/>
  <c r="G60" i="12"/>
  <c r="G61" i="12"/>
  <c r="I69" i="12"/>
  <c r="I68" i="12"/>
  <c r="I140" i="12"/>
  <c r="I138" i="12"/>
  <c r="I139" i="12"/>
  <c r="E71" i="12"/>
  <c r="E73" i="12"/>
  <c r="E72" i="12"/>
  <c r="E113" i="12"/>
  <c r="E114" i="12"/>
  <c r="E110" i="12"/>
  <c r="E112" i="12"/>
  <c r="E111" i="12"/>
  <c r="AE129" i="12"/>
  <c r="K136" i="12"/>
  <c r="K132" i="12"/>
  <c r="K133" i="12"/>
  <c r="K131" i="12"/>
  <c r="K134" i="12"/>
  <c r="K130" i="12"/>
  <c r="K135" i="12"/>
  <c r="E101" i="12"/>
  <c r="E99" i="12"/>
  <c r="E100" i="12"/>
  <c r="G71" i="12"/>
  <c r="G73" i="12"/>
  <c r="G72" i="12"/>
  <c r="G100" i="12"/>
  <c r="G101" i="12"/>
  <c r="G99" i="12"/>
  <c r="I65" i="12"/>
  <c r="I66" i="12"/>
  <c r="I64" i="12"/>
  <c r="I77" i="12"/>
  <c r="I78" i="12"/>
  <c r="I76" i="12"/>
  <c r="I75" i="12"/>
  <c r="I128" i="12"/>
  <c r="E10" i="12"/>
  <c r="X10" i="12" s="1"/>
  <c r="E11" i="12"/>
  <c r="E8" i="12"/>
  <c r="X8" i="12" s="1"/>
  <c r="E9" i="12"/>
  <c r="E66" i="12"/>
  <c r="X66" i="12" s="1"/>
  <c r="E65" i="12"/>
  <c r="X65" i="12" s="1"/>
  <c r="E64" i="12"/>
  <c r="X64" i="12" s="1"/>
  <c r="D81" i="12"/>
  <c r="E138" i="12"/>
  <c r="X138" i="12" s="1"/>
  <c r="E140" i="12"/>
  <c r="E139" i="12"/>
  <c r="X139" i="12" s="1"/>
  <c r="J81" i="12"/>
  <c r="K61" i="12"/>
  <c r="K57" i="12"/>
  <c r="K62" i="12"/>
  <c r="K58" i="12"/>
  <c r="K56" i="12"/>
  <c r="K59" i="12"/>
  <c r="K60" i="12"/>
  <c r="K77" i="12"/>
  <c r="K78" i="12"/>
  <c r="K75" i="12"/>
  <c r="K76" i="12"/>
  <c r="G112" i="12"/>
  <c r="G113" i="12"/>
  <c r="G111" i="12"/>
  <c r="G114" i="12"/>
  <c r="G110" i="12"/>
  <c r="AE109" i="12"/>
  <c r="K111" i="12"/>
  <c r="K112" i="12"/>
  <c r="K110" i="12"/>
  <c r="K113" i="12"/>
  <c r="K114" i="12"/>
  <c r="K142" i="12"/>
  <c r="L82" i="12"/>
  <c r="L83" i="12" s="1"/>
  <c r="H228" i="12"/>
  <c r="H227" i="12"/>
  <c r="M7" i="12"/>
  <c r="Q7" i="12"/>
  <c r="M141" i="12"/>
  <c r="O141" i="12"/>
  <c r="O127" i="12"/>
  <c r="U6" i="12"/>
  <c r="U85" i="12"/>
  <c r="Q67" i="12"/>
  <c r="O137" i="12"/>
  <c r="O55" i="12"/>
  <c r="M12" i="12"/>
  <c r="M109" i="12"/>
  <c r="O118" i="12"/>
  <c r="O109" i="12"/>
  <c r="O98" i="12"/>
  <c r="O115" i="12"/>
  <c r="O102" i="12"/>
  <c r="O89" i="12"/>
  <c r="O86" i="12"/>
  <c r="H219" i="12"/>
  <c r="AB70" i="12"/>
  <c r="AB127" i="12"/>
  <c r="AB67" i="12"/>
  <c r="AB74" i="12"/>
  <c r="F219" i="12"/>
  <c r="AB55" i="12"/>
  <c r="AB129" i="12"/>
  <c r="AB98" i="12"/>
  <c r="J145" i="12"/>
  <c r="AD147" i="12"/>
  <c r="AE147" i="12"/>
  <c r="AB89" i="12"/>
  <c r="AB102" i="12"/>
  <c r="AB137" i="12"/>
  <c r="AB141" i="12"/>
  <c r="AB63" i="12"/>
  <c r="AK63" i="12" s="1"/>
  <c r="AC70" i="12"/>
  <c r="AB7" i="12"/>
  <c r="AD63" i="12"/>
  <c r="AD7" i="12"/>
  <c r="AC109" i="12"/>
  <c r="AD127" i="12"/>
  <c r="AD137" i="12"/>
  <c r="AB145" i="12"/>
  <c r="AC141" i="12"/>
  <c r="AD70" i="12"/>
  <c r="AD89" i="12"/>
  <c r="AD102" i="12"/>
  <c r="AE7" i="12"/>
  <c r="AE137" i="12"/>
  <c r="AE70" i="12"/>
  <c r="AE127" i="12"/>
  <c r="AC89" i="12"/>
  <c r="AC102" i="12"/>
  <c r="AC67" i="12"/>
  <c r="AC74" i="12"/>
  <c r="AC98" i="12"/>
  <c r="AC127" i="12"/>
  <c r="AC137" i="12"/>
  <c r="AC7" i="12"/>
  <c r="AD67" i="12"/>
  <c r="AD74" i="12"/>
  <c r="AD98" i="12"/>
  <c r="AD141" i="12"/>
  <c r="AC145" i="12"/>
  <c r="AE141" i="12"/>
  <c r="AE98" i="12"/>
  <c r="AE74" i="12"/>
  <c r="AE102" i="12"/>
  <c r="AE89" i="12"/>
  <c r="AB143" i="12"/>
  <c r="AK143" i="12" s="1"/>
  <c r="AC143" i="12"/>
  <c r="AD129" i="12"/>
  <c r="AF126" i="12"/>
  <c r="AG126" i="12"/>
  <c r="AC129" i="12"/>
  <c r="AF85" i="12"/>
  <c r="R153" i="12"/>
  <c r="AH152" i="12"/>
  <c r="V153" i="12"/>
  <c r="AJ152" i="12"/>
  <c r="AB109" i="12"/>
  <c r="AD109" i="12"/>
  <c r="T153" i="12"/>
  <c r="AI152" i="12"/>
  <c r="AG85" i="12"/>
  <c r="AC63" i="12"/>
  <c r="AE63" i="12"/>
  <c r="AD55" i="12"/>
  <c r="AC55" i="12"/>
  <c r="AE55" i="12"/>
  <c r="AB39" i="12"/>
  <c r="AC39" i="12"/>
  <c r="AD39" i="12"/>
  <c r="AE39" i="12"/>
  <c r="AF6" i="12"/>
  <c r="AG6" i="12"/>
  <c r="N152" i="12"/>
  <c r="P153" i="12"/>
  <c r="F126" i="12"/>
  <c r="G148" i="12" s="1"/>
  <c r="D126" i="12"/>
  <c r="E148" i="12" s="1"/>
  <c r="F85" i="12"/>
  <c r="G98" i="12" s="1"/>
  <c r="H126" i="12"/>
  <c r="I148" i="12" s="1"/>
  <c r="L152" i="12"/>
  <c r="D85" i="12"/>
  <c r="J6" i="12"/>
  <c r="K7" i="12" s="1"/>
  <c r="J85" i="12"/>
  <c r="K102" i="12" s="1"/>
  <c r="D6" i="12"/>
  <c r="H85" i="12"/>
  <c r="I98" i="12" s="1"/>
  <c r="F6" i="12"/>
  <c r="G67" i="12" s="1"/>
  <c r="H6" i="12"/>
  <c r="I39" i="12" s="1"/>
  <c r="E89" i="12" l="1"/>
  <c r="D233" i="12"/>
  <c r="X140" i="12"/>
  <c r="X9" i="12"/>
  <c r="X11" i="12"/>
  <c r="T97" i="14"/>
  <c r="T99" i="14" s="1"/>
  <c r="R97" i="14"/>
  <c r="R98" i="14" s="1"/>
  <c r="P97" i="14"/>
  <c r="P99" i="14" s="1"/>
  <c r="AK109" i="12"/>
  <c r="AK98" i="12"/>
  <c r="X99" i="12"/>
  <c r="X73" i="12"/>
  <c r="AK39" i="12"/>
  <c r="AL152" i="12"/>
  <c r="AK141" i="12"/>
  <c r="AK102" i="12"/>
  <c r="AK129" i="12"/>
  <c r="AK67" i="12"/>
  <c r="AK70" i="12"/>
  <c r="X100" i="12"/>
  <c r="X101" i="12"/>
  <c r="X112" i="12"/>
  <c r="X114" i="12"/>
  <c r="X72" i="12"/>
  <c r="X71" i="12"/>
  <c r="X61" i="12"/>
  <c r="X56" i="12"/>
  <c r="X59" i="12"/>
  <c r="X62" i="12"/>
  <c r="X76" i="12"/>
  <c r="X78" i="12"/>
  <c r="X131" i="12"/>
  <c r="X136" i="12"/>
  <c r="X130" i="12"/>
  <c r="X133" i="12"/>
  <c r="X68" i="12"/>
  <c r="X103" i="12"/>
  <c r="X108" i="12"/>
  <c r="X106" i="12"/>
  <c r="X128" i="12"/>
  <c r="X95" i="12"/>
  <c r="X92" i="12"/>
  <c r="X90" i="12"/>
  <c r="X93" i="12"/>
  <c r="X48" i="12"/>
  <c r="X49" i="12"/>
  <c r="X53" i="12"/>
  <c r="X52" i="12"/>
  <c r="X47" i="12"/>
  <c r="X42" i="12"/>
  <c r="X50" i="12"/>
  <c r="Y126" i="12"/>
  <c r="Y85" i="12"/>
  <c r="N116" i="14"/>
  <c r="O113" i="14"/>
  <c r="O116" i="14" s="1"/>
  <c r="P113" i="14"/>
  <c r="P116" i="14" s="1"/>
  <c r="Q113" i="14"/>
  <c r="Q116" i="14" s="1"/>
  <c r="R113" i="14"/>
  <c r="R116" i="14" s="1"/>
  <c r="S113" i="14"/>
  <c r="S116" i="14" s="1"/>
  <c r="T113" i="14"/>
  <c r="T116" i="14" s="1"/>
  <c r="U113" i="14"/>
  <c r="U116" i="14" s="1"/>
  <c r="N112" i="14"/>
  <c r="O110" i="14"/>
  <c r="O112" i="14" s="1"/>
  <c r="P110" i="14"/>
  <c r="P112" i="14" s="1"/>
  <c r="Q110" i="14"/>
  <c r="Q112" i="14" s="1"/>
  <c r="R110" i="14"/>
  <c r="R112" i="14" s="1"/>
  <c r="S110" i="14"/>
  <c r="S112" i="14" s="1"/>
  <c r="T110" i="14"/>
  <c r="T112" i="14" s="1"/>
  <c r="U110" i="14"/>
  <c r="U112" i="14" s="1"/>
  <c r="N82" i="14"/>
  <c r="O81" i="14"/>
  <c r="O82" i="14" s="1"/>
  <c r="P81" i="14"/>
  <c r="P82" i="14" s="1"/>
  <c r="Q81" i="14"/>
  <c r="Q82" i="14" s="1"/>
  <c r="R81" i="14"/>
  <c r="R82" i="14" s="1"/>
  <c r="S81" i="14"/>
  <c r="S82" i="14" s="1"/>
  <c r="T81" i="14"/>
  <c r="T82" i="14" s="1"/>
  <c r="U81" i="14"/>
  <c r="U82" i="14" s="1"/>
  <c r="T101" i="14"/>
  <c r="R99" i="14"/>
  <c r="P103" i="14"/>
  <c r="N100" i="14"/>
  <c r="N103" i="14"/>
  <c r="N99" i="14"/>
  <c r="N102" i="14"/>
  <c r="N101" i="14"/>
  <c r="N98" i="14"/>
  <c r="T107" i="14"/>
  <c r="T106" i="14"/>
  <c r="T105" i="14"/>
  <c r="T109" i="14"/>
  <c r="T108" i="14"/>
  <c r="R108" i="14"/>
  <c r="R109" i="14"/>
  <c r="R106" i="14"/>
  <c r="R105" i="14"/>
  <c r="R107" i="14"/>
  <c r="P106" i="14"/>
  <c r="P105" i="14"/>
  <c r="P109" i="14"/>
  <c r="P108" i="14"/>
  <c r="P107" i="14"/>
  <c r="N106" i="14"/>
  <c r="N107" i="14"/>
  <c r="N105" i="14"/>
  <c r="N109" i="14"/>
  <c r="N108" i="14"/>
  <c r="AK7" i="12"/>
  <c r="AK137" i="12"/>
  <c r="AK89" i="12"/>
  <c r="AK55" i="12"/>
  <c r="AK74" i="12"/>
  <c r="AK127" i="12"/>
  <c r="X111" i="12"/>
  <c r="X110" i="12"/>
  <c r="X113" i="12"/>
  <c r="X60" i="12"/>
  <c r="X57" i="12"/>
  <c r="X58" i="12"/>
  <c r="X77" i="12"/>
  <c r="X75" i="12"/>
  <c r="X132" i="12"/>
  <c r="X135" i="12"/>
  <c r="X134" i="12"/>
  <c r="X69" i="12"/>
  <c r="X104" i="12"/>
  <c r="X107" i="12"/>
  <c r="X105" i="12"/>
  <c r="X142" i="12"/>
  <c r="X96" i="12"/>
  <c r="X91" i="12"/>
  <c r="X94" i="12"/>
  <c r="X97" i="12"/>
  <c r="X40" i="12"/>
  <c r="X41" i="12"/>
  <c r="X45" i="12"/>
  <c r="X44" i="12"/>
  <c r="X43" i="12"/>
  <c r="X51" i="12"/>
  <c r="X46" i="12"/>
  <c r="X54" i="12"/>
  <c r="Y6" i="12"/>
  <c r="U98" i="14"/>
  <c r="U100" i="14"/>
  <c r="U102" i="14"/>
  <c r="U99" i="14"/>
  <c r="U101" i="14"/>
  <c r="U103" i="14"/>
  <c r="S99" i="14"/>
  <c r="S101" i="14"/>
  <c r="S100" i="14"/>
  <c r="S98" i="14"/>
  <c r="S103" i="14"/>
  <c r="S102" i="14"/>
  <c r="Q100" i="14"/>
  <c r="Q99" i="14"/>
  <c r="Q103" i="14"/>
  <c r="Q98" i="14"/>
  <c r="Q102" i="14"/>
  <c r="Q101" i="14"/>
  <c r="O99" i="14"/>
  <c r="O102" i="14"/>
  <c r="O101" i="14"/>
  <c r="O100" i="14"/>
  <c r="O98" i="14"/>
  <c r="O103" i="14"/>
  <c r="O84" i="14"/>
  <c r="P84" i="14"/>
  <c r="Q84" i="14"/>
  <c r="R84" i="14"/>
  <c r="S84" i="14"/>
  <c r="T84" i="14"/>
  <c r="U84" i="14"/>
  <c r="N93" i="14"/>
  <c r="O93" i="14"/>
  <c r="P93" i="14"/>
  <c r="Q93" i="14"/>
  <c r="R93" i="14"/>
  <c r="S93" i="14"/>
  <c r="T93" i="14"/>
  <c r="U93" i="14"/>
  <c r="U105" i="14"/>
  <c r="U107" i="14"/>
  <c r="U109" i="14"/>
  <c r="U106" i="14"/>
  <c r="U108" i="14"/>
  <c r="S107" i="14"/>
  <c r="S105" i="14"/>
  <c r="S108" i="14"/>
  <c r="S106" i="14"/>
  <c r="S109" i="14"/>
  <c r="Q107" i="14"/>
  <c r="Q106" i="14"/>
  <c r="Q105" i="14"/>
  <c r="Q109" i="14"/>
  <c r="Q108" i="14"/>
  <c r="D237" i="12"/>
  <c r="G74" i="12"/>
  <c r="E109" i="12"/>
  <c r="G109" i="12"/>
  <c r="G63" i="12"/>
  <c r="K39" i="12"/>
  <c r="G89" i="12"/>
  <c r="E137" i="12"/>
  <c r="K63" i="12"/>
  <c r="G39" i="12"/>
  <c r="K70" i="12"/>
  <c r="K67" i="12"/>
  <c r="K74" i="12"/>
  <c r="K55" i="12"/>
  <c r="I7" i="12"/>
  <c r="M6" i="12"/>
  <c r="I127" i="12"/>
  <c r="I74" i="12"/>
  <c r="I63" i="12"/>
  <c r="I137" i="12"/>
  <c r="G55" i="12"/>
  <c r="M126" i="12"/>
  <c r="K98" i="12"/>
  <c r="D232" i="12"/>
  <c r="E12" i="12"/>
  <c r="E55" i="12"/>
  <c r="G228" i="12"/>
  <c r="G227" i="12"/>
  <c r="J82" i="12"/>
  <c r="J83" i="12" s="1"/>
  <c r="F234" i="12"/>
  <c r="F231" i="12"/>
  <c r="I86" i="12"/>
  <c r="I118" i="12"/>
  <c r="I115" i="12"/>
  <c r="F233" i="12"/>
  <c r="D234" i="12"/>
  <c r="D231" i="12"/>
  <c r="E118" i="12"/>
  <c r="E86" i="12"/>
  <c r="E115" i="12"/>
  <c r="G238" i="12"/>
  <c r="K146" i="12"/>
  <c r="X146" i="12" s="1"/>
  <c r="D82" i="12"/>
  <c r="D83" i="12" s="1"/>
  <c r="F227" i="12"/>
  <c r="F228" i="12"/>
  <c r="H82" i="12"/>
  <c r="H83" i="12" s="1"/>
  <c r="E232" i="12"/>
  <c r="G12" i="12"/>
  <c r="G232" i="12"/>
  <c r="K12" i="12"/>
  <c r="E234" i="12"/>
  <c r="E231" i="12"/>
  <c r="E233" i="12"/>
  <c r="G86" i="12"/>
  <c r="G115" i="12"/>
  <c r="G118" i="12"/>
  <c r="E63" i="12"/>
  <c r="X63" i="12" s="1"/>
  <c r="M85" i="12"/>
  <c r="G137" i="12"/>
  <c r="O126" i="12"/>
  <c r="Q6" i="12"/>
  <c r="K109" i="12"/>
  <c r="G127" i="12"/>
  <c r="I102" i="12"/>
  <c r="G129" i="12"/>
  <c r="E145" i="12"/>
  <c r="K89" i="12"/>
  <c r="E129" i="12"/>
  <c r="E67" i="12"/>
  <c r="I145" i="12"/>
  <c r="G145" i="12"/>
  <c r="I70" i="12"/>
  <c r="K147" i="12"/>
  <c r="X147" i="12" s="1"/>
  <c r="G70" i="12"/>
  <c r="I67" i="12"/>
  <c r="E74" i="12"/>
  <c r="G7" i="12"/>
  <c r="I129" i="12"/>
  <c r="I89" i="12"/>
  <c r="I55" i="12"/>
  <c r="G102" i="12"/>
  <c r="F237" i="12"/>
  <c r="E237" i="12"/>
  <c r="I109" i="12"/>
  <c r="G141" i="12"/>
  <c r="F232" i="12"/>
  <c r="I12" i="12"/>
  <c r="AE85" i="12"/>
  <c r="G231" i="12"/>
  <c r="K118" i="12"/>
  <c r="G233" i="12"/>
  <c r="K115" i="12"/>
  <c r="K86" i="12"/>
  <c r="E228" i="12"/>
  <c r="E227" i="12"/>
  <c r="F82" i="12"/>
  <c r="F83" i="12" s="1"/>
  <c r="E7" i="12"/>
  <c r="X7" i="12" s="1"/>
  <c r="E98" i="12"/>
  <c r="E70" i="12"/>
  <c r="I141" i="12"/>
  <c r="O6" i="12"/>
  <c r="E102" i="12"/>
  <c r="E127" i="12"/>
  <c r="E141" i="12"/>
  <c r="E39" i="12"/>
  <c r="O85" i="12"/>
  <c r="AB6" i="12"/>
  <c r="AD145" i="12"/>
  <c r="J219" i="12"/>
  <c r="J126" i="12"/>
  <c r="AE145" i="12"/>
  <c r="AB126" i="12"/>
  <c r="AC126" i="12"/>
  <c r="AB85" i="12"/>
  <c r="L153" i="12"/>
  <c r="N153" i="12"/>
  <c r="AF152" i="12"/>
  <c r="AG152" i="12"/>
  <c r="AC85" i="12"/>
  <c r="AD85" i="12"/>
  <c r="AD6" i="12"/>
  <c r="AC6" i="12"/>
  <c r="AE6" i="12"/>
  <c r="D152" i="12"/>
  <c r="D153" i="12" s="1"/>
  <c r="H152" i="12"/>
  <c r="P102" i="14" l="1"/>
  <c r="R100" i="14"/>
  <c r="R101" i="14"/>
  <c r="R102" i="14"/>
  <c r="R103" i="14"/>
  <c r="P101" i="14"/>
  <c r="T102" i="14"/>
  <c r="T103" i="14"/>
  <c r="P98" i="14"/>
  <c r="P100" i="14"/>
  <c r="T98" i="14"/>
  <c r="T100" i="14"/>
  <c r="AK145" i="12"/>
  <c r="X39" i="12"/>
  <c r="X70" i="12"/>
  <c r="X89" i="12"/>
  <c r="X109" i="12"/>
  <c r="AK6" i="12"/>
  <c r="X115" i="12"/>
  <c r="S95" i="14"/>
  <c r="S94" i="14"/>
  <c r="S96" i="14"/>
  <c r="U85" i="14"/>
  <c r="U87" i="14"/>
  <c r="U89" i="14"/>
  <c r="U91" i="14"/>
  <c r="U86" i="14"/>
  <c r="U88" i="14"/>
  <c r="U90" i="14"/>
  <c r="U92" i="14"/>
  <c r="S91" i="14"/>
  <c r="S92" i="14"/>
  <c r="S89" i="14"/>
  <c r="S90" i="14"/>
  <c r="S87" i="14"/>
  <c r="S88" i="14"/>
  <c r="S85" i="14"/>
  <c r="S86" i="14"/>
  <c r="Q88" i="14"/>
  <c r="Q92" i="14"/>
  <c r="Q87" i="14"/>
  <c r="Q91" i="14"/>
  <c r="Q86" i="14"/>
  <c r="Q90" i="14"/>
  <c r="Q85" i="14"/>
  <c r="Q89" i="14"/>
  <c r="O87" i="14"/>
  <c r="O91" i="14"/>
  <c r="O88" i="14"/>
  <c r="O92" i="14"/>
  <c r="O85" i="14"/>
  <c r="O89" i="14"/>
  <c r="O86" i="14"/>
  <c r="O90" i="14"/>
  <c r="X67" i="12"/>
  <c r="X86" i="12"/>
  <c r="X12" i="12"/>
  <c r="U95" i="14"/>
  <c r="U94" i="14"/>
  <c r="U96" i="14"/>
  <c r="Q95" i="14"/>
  <c r="Q96" i="14"/>
  <c r="Q94" i="14"/>
  <c r="O94" i="14"/>
  <c r="O95" i="14"/>
  <c r="O96" i="14"/>
  <c r="AK85" i="12"/>
  <c r="X102" i="12"/>
  <c r="X98" i="12"/>
  <c r="X74" i="12"/>
  <c r="X118" i="12"/>
  <c r="X55" i="12"/>
  <c r="T95" i="14"/>
  <c r="T96" i="14"/>
  <c r="T94" i="14"/>
  <c r="R94" i="14"/>
  <c r="R95" i="14"/>
  <c r="R96" i="14"/>
  <c r="P96" i="14"/>
  <c r="P94" i="14"/>
  <c r="P95" i="14"/>
  <c r="N96" i="14"/>
  <c r="N94" i="14"/>
  <c r="N95" i="14"/>
  <c r="N225" i="14" s="1"/>
  <c r="T85" i="14"/>
  <c r="T89" i="14"/>
  <c r="T86" i="14"/>
  <c r="T90" i="14"/>
  <c r="T87" i="14"/>
  <c r="T91" i="14"/>
  <c r="T88" i="14"/>
  <c r="T92" i="14"/>
  <c r="R85" i="14"/>
  <c r="R89" i="14"/>
  <c r="R88" i="14"/>
  <c r="R86" i="14"/>
  <c r="R87" i="14"/>
  <c r="R91" i="14"/>
  <c r="R92" i="14"/>
  <c r="R90" i="14"/>
  <c r="P85" i="14"/>
  <c r="P89" i="14"/>
  <c r="P86" i="14"/>
  <c r="P90" i="14"/>
  <c r="P87" i="14"/>
  <c r="P91" i="14"/>
  <c r="P88" i="14"/>
  <c r="P92" i="14"/>
  <c r="N86" i="14"/>
  <c r="N85" i="14"/>
  <c r="N89" i="14"/>
  <c r="N90" i="14"/>
  <c r="N91" i="14"/>
  <c r="N87" i="14"/>
  <c r="N92" i="14"/>
  <c r="N88" i="14"/>
  <c r="I85" i="12"/>
  <c r="K6" i="12"/>
  <c r="G6" i="12"/>
  <c r="I6" i="12"/>
  <c r="I126" i="12"/>
  <c r="E126" i="12"/>
  <c r="AE126" i="12"/>
  <c r="K148" i="12"/>
  <c r="X148" i="12" s="1"/>
  <c r="K137" i="12"/>
  <c r="X137" i="12" s="1"/>
  <c r="K141" i="12"/>
  <c r="X141" i="12" s="1"/>
  <c r="K127" i="12"/>
  <c r="X127" i="12" s="1"/>
  <c r="K129" i="12"/>
  <c r="X129" i="12" s="1"/>
  <c r="G234" i="12"/>
  <c r="E6" i="12"/>
  <c r="K85" i="12"/>
  <c r="K145" i="12"/>
  <c r="X145" i="12" s="1"/>
  <c r="G126" i="12"/>
  <c r="G85" i="12"/>
  <c r="G237" i="12"/>
  <c r="E85" i="12"/>
  <c r="AD126" i="12"/>
  <c r="AK126" i="12" s="1"/>
  <c r="J152" i="12"/>
  <c r="AD152" i="12" s="1"/>
  <c r="H153" i="12"/>
  <c r="F152" i="12"/>
  <c r="T225" i="14" l="1"/>
  <c r="X85" i="12"/>
  <c r="X6" i="12"/>
  <c r="Q225" i="14"/>
  <c r="R225" i="14"/>
  <c r="U225" i="14"/>
  <c r="S225" i="14"/>
  <c r="K126" i="12"/>
  <c r="X126" i="12" s="1"/>
  <c r="J153" i="12"/>
  <c r="AE152" i="12"/>
  <c r="F153" i="12"/>
  <c r="AB152" i="12"/>
  <c r="AC152" i="12"/>
  <c r="AK152" i="12" l="1"/>
  <c r="O105" i="14" l="1"/>
  <c r="O106" i="14"/>
  <c r="O107" i="14"/>
  <c r="O108" i="14"/>
  <c r="O109" i="14"/>
  <c r="O225" i="14" l="1"/>
  <c r="P225" i="14"/>
  <c r="N123" i="14" l="1"/>
  <c r="N124" i="14"/>
  <c r="N125" i="14"/>
  <c r="N126" i="14"/>
  <c r="N127" i="14"/>
  <c r="N128" i="14"/>
  <c r="N129" i="14"/>
  <c r="N242" i="14" l="1"/>
  <c r="N243" i="14"/>
  <c r="N244" i="14"/>
  <c r="O175" i="14" l="1"/>
  <c r="X175" i="14" l="1"/>
  <c r="AG176" i="14"/>
  <c r="AG178" i="14"/>
  <c r="AG180" i="14"/>
  <c r="AG182" i="14"/>
  <c r="AG184" i="14"/>
  <c r="AG186" i="14"/>
  <c r="AG188" i="14"/>
  <c r="AG190" i="14"/>
  <c r="AG192" i="14"/>
  <c r="AG194" i="14"/>
  <c r="AG196" i="14"/>
  <c r="AG177" i="14"/>
  <c r="AG179" i="14"/>
  <c r="AG181" i="14"/>
  <c r="AG183" i="14"/>
  <c r="AG185" i="14"/>
  <c r="AG187" i="14"/>
  <c r="AG189" i="14"/>
  <c r="AG191" i="14"/>
  <c r="AG193" i="14"/>
  <c r="AG195" i="14"/>
  <c r="P175" i="14"/>
  <c r="O243" i="14"/>
  <c r="O244" i="14"/>
  <c r="O242" i="14"/>
  <c r="O220" i="14"/>
  <c r="O229" i="14"/>
  <c r="O209" i="14" s="1"/>
  <c r="Y175" i="14" l="1"/>
  <c r="AH177" i="14"/>
  <c r="AH179" i="14"/>
  <c r="AH181" i="14"/>
  <c r="AH183" i="14"/>
  <c r="AH185" i="14"/>
  <c r="AH187" i="14"/>
  <c r="AH189" i="14"/>
  <c r="AH191" i="14"/>
  <c r="AH193" i="14"/>
  <c r="AH176" i="14"/>
  <c r="AH178" i="14"/>
  <c r="AH180" i="14"/>
  <c r="AH182" i="14"/>
  <c r="AH184" i="14"/>
  <c r="AH186" i="14"/>
  <c r="AH188" i="14"/>
  <c r="AH190" i="14"/>
  <c r="AH192" i="14"/>
  <c r="AH194" i="14"/>
  <c r="AH196" i="14"/>
  <c r="AH195" i="14"/>
  <c r="O230" i="14"/>
  <c r="O214" i="14"/>
  <c r="O215" i="14" s="1"/>
  <c r="P242" i="14"/>
  <c r="Q175" i="14"/>
  <c r="P243" i="14"/>
  <c r="P244" i="14"/>
  <c r="P220" i="14"/>
  <c r="P229" i="14"/>
  <c r="Z175" i="14" l="1"/>
  <c r="AI176" i="14"/>
  <c r="AI178" i="14"/>
  <c r="AI180" i="14"/>
  <c r="AI182" i="14"/>
  <c r="AI184" i="14"/>
  <c r="AI186" i="14"/>
  <c r="AI188" i="14"/>
  <c r="AI190" i="14"/>
  <c r="AI192" i="14"/>
  <c r="AI194" i="14"/>
  <c r="AI196" i="14"/>
  <c r="AI177" i="14"/>
  <c r="AI179" i="14"/>
  <c r="AI181" i="14"/>
  <c r="AI183" i="14"/>
  <c r="AI185" i="14"/>
  <c r="AI187" i="14"/>
  <c r="AI189" i="14"/>
  <c r="AI191" i="14"/>
  <c r="AI193" i="14"/>
  <c r="AI195" i="14"/>
  <c r="R175" i="14"/>
  <c r="Q243" i="14"/>
  <c r="Q244" i="14"/>
  <c r="Q242" i="14"/>
  <c r="Q220" i="14"/>
  <c r="Q229" i="14"/>
  <c r="P209" i="14"/>
  <c r="P214" i="14"/>
  <c r="P215" i="14" s="1"/>
  <c r="O208" i="14"/>
  <c r="O231" i="14"/>
  <c r="O233" i="14"/>
  <c r="O234" i="14"/>
  <c r="AG209" i="14" l="1"/>
  <c r="P230" i="14"/>
  <c r="Y209" i="14"/>
  <c r="AA175" i="14"/>
  <c r="AJ177" i="14"/>
  <c r="AJ179" i="14"/>
  <c r="AJ181" i="14"/>
  <c r="AJ183" i="14"/>
  <c r="AJ185" i="14"/>
  <c r="AJ187" i="14"/>
  <c r="AJ189" i="14"/>
  <c r="AJ191" i="14"/>
  <c r="AJ193" i="14"/>
  <c r="AJ176" i="14"/>
  <c r="AJ178" i="14"/>
  <c r="AJ180" i="14"/>
  <c r="AJ182" i="14"/>
  <c r="AJ184" i="14"/>
  <c r="AJ186" i="14"/>
  <c r="AJ188" i="14"/>
  <c r="AJ190" i="14"/>
  <c r="AJ192" i="14"/>
  <c r="AJ194" i="14"/>
  <c r="AJ196" i="14"/>
  <c r="AJ195" i="14"/>
  <c r="Q214" i="14"/>
  <c r="Q215" i="14" s="1"/>
  <c r="O211" i="14"/>
  <c r="Q209" i="14"/>
  <c r="R242" i="14"/>
  <c r="S175" i="14"/>
  <c r="R243" i="14"/>
  <c r="R244" i="14"/>
  <c r="R220" i="14"/>
  <c r="R229" i="14"/>
  <c r="O235" i="14"/>
  <c r="O236" i="14"/>
  <c r="O228" i="14"/>
  <c r="P208" i="14"/>
  <c r="P231" i="14"/>
  <c r="P233" i="14"/>
  <c r="P234" i="14"/>
  <c r="Z209" i="14" l="1"/>
  <c r="Y208" i="14"/>
  <c r="AB175" i="14"/>
  <c r="AK176" i="14"/>
  <c r="AK178" i="14"/>
  <c r="AK180" i="14"/>
  <c r="AK182" i="14"/>
  <c r="AK184" i="14"/>
  <c r="AK186" i="14"/>
  <c r="AK188" i="14"/>
  <c r="AK190" i="14"/>
  <c r="AK192" i="14"/>
  <c r="AK194" i="14"/>
  <c r="AK196" i="14"/>
  <c r="AK177" i="14"/>
  <c r="AK179" i="14"/>
  <c r="AK181" i="14"/>
  <c r="AK183" i="14"/>
  <c r="AK185" i="14"/>
  <c r="AK187" i="14"/>
  <c r="AK189" i="14"/>
  <c r="AK191" i="14"/>
  <c r="AK193" i="14"/>
  <c r="AK195" i="14"/>
  <c r="O174" i="14"/>
  <c r="AG211" i="14" s="1"/>
  <c r="AH209" i="14"/>
  <c r="R214" i="14"/>
  <c r="R215" i="14" s="1"/>
  <c r="O237" i="14"/>
  <c r="O222" i="14" s="1"/>
  <c r="P235" i="14"/>
  <c r="P236" i="14"/>
  <c r="P228" i="14"/>
  <c r="R209" i="14"/>
  <c r="Q208" i="14"/>
  <c r="Q231" i="14"/>
  <c r="Q233" i="14"/>
  <c r="Q234" i="14"/>
  <c r="P211" i="14"/>
  <c r="T175" i="14"/>
  <c r="S243" i="14"/>
  <c r="S244" i="14"/>
  <c r="S242" i="14"/>
  <c r="S220" i="14"/>
  <c r="S229" i="14"/>
  <c r="Q230" i="14"/>
  <c r="O139" i="14"/>
  <c r="AI209" i="14" l="1"/>
  <c r="Q211" i="14"/>
  <c r="Q131" i="14" s="1"/>
  <c r="AC175" i="14"/>
  <c r="AL177" i="14"/>
  <c r="AL179" i="14"/>
  <c r="AL181" i="14"/>
  <c r="AL183" i="14"/>
  <c r="AL185" i="14"/>
  <c r="AL187" i="14"/>
  <c r="AL189" i="14"/>
  <c r="AL191" i="14"/>
  <c r="AL193" i="14"/>
  <c r="AL176" i="14"/>
  <c r="AL178" i="14"/>
  <c r="AL180" i="14"/>
  <c r="AL182" i="14"/>
  <c r="AL184" i="14"/>
  <c r="AL186" i="14"/>
  <c r="AL188" i="14"/>
  <c r="AL190" i="14"/>
  <c r="AL192" i="14"/>
  <c r="AL194" i="14"/>
  <c r="AL196" i="14"/>
  <c r="AL195" i="14"/>
  <c r="R230" i="14"/>
  <c r="AA209" i="14"/>
  <c r="Y211" i="14"/>
  <c r="Z208" i="14"/>
  <c r="AG197" i="14"/>
  <c r="AG175" i="14"/>
  <c r="AG208" i="14"/>
  <c r="P237" i="14"/>
  <c r="P222" i="14" s="1"/>
  <c r="P139" i="14"/>
  <c r="P138" i="14" s="1"/>
  <c r="Q235" i="14"/>
  <c r="Q236" i="14"/>
  <c r="Q228" i="14"/>
  <c r="O138" i="14"/>
  <c r="S209" i="14"/>
  <c r="S214" i="14"/>
  <c r="S215" i="14" s="1"/>
  <c r="T242" i="14"/>
  <c r="U175" i="14"/>
  <c r="AD175" i="14" s="1"/>
  <c r="T243" i="14"/>
  <c r="T244" i="14"/>
  <c r="T220" i="14"/>
  <c r="T229" i="14"/>
  <c r="P174" i="14"/>
  <c r="R208" i="14"/>
  <c r="R231" i="14"/>
  <c r="R233" i="14"/>
  <c r="R234" i="14"/>
  <c r="Q139" i="14" l="1"/>
  <c r="P212" i="14"/>
  <c r="Q132" i="14"/>
  <c r="AG174" i="14"/>
  <c r="AA208" i="14"/>
  <c r="AH197" i="14"/>
  <c r="Y174" i="14"/>
  <c r="AH175" i="14"/>
  <c r="AH208" i="14"/>
  <c r="AB209" i="14"/>
  <c r="AJ209" i="14"/>
  <c r="Q174" i="14"/>
  <c r="AI211" i="14" s="1"/>
  <c r="Z211" i="14"/>
  <c r="AM176" i="14"/>
  <c r="AM178" i="14"/>
  <c r="AM180" i="14"/>
  <c r="AM182" i="14"/>
  <c r="AM184" i="14"/>
  <c r="AM186" i="14"/>
  <c r="AM188" i="14"/>
  <c r="AM190" i="14"/>
  <c r="AM192" i="14"/>
  <c r="AM194" i="14"/>
  <c r="AM196" i="14"/>
  <c r="AM177" i="14"/>
  <c r="AM179" i="14"/>
  <c r="AM181" i="14"/>
  <c r="AM183" i="14"/>
  <c r="AM185" i="14"/>
  <c r="AM187" i="14"/>
  <c r="AM189" i="14"/>
  <c r="AM191" i="14"/>
  <c r="AM193" i="14"/>
  <c r="AM195" i="14"/>
  <c r="AH211" i="14"/>
  <c r="Q237" i="14"/>
  <c r="Q222" i="14" s="1"/>
  <c r="R235" i="14"/>
  <c r="R236" i="14"/>
  <c r="R228" i="14"/>
  <c r="U243" i="14"/>
  <c r="U244" i="14"/>
  <c r="U242" i="14"/>
  <c r="U220" i="14"/>
  <c r="U229" i="14"/>
  <c r="S208" i="14"/>
  <c r="S231" i="14"/>
  <c r="S233" i="14"/>
  <c r="S234" i="14"/>
  <c r="O212" i="14"/>
  <c r="R211" i="14"/>
  <c r="Q138" i="14"/>
  <c r="T209" i="14"/>
  <c r="T214" i="14"/>
  <c r="T215" i="14" s="1"/>
  <c r="S230" i="14"/>
  <c r="T230" i="14" l="1"/>
  <c r="AC209" i="14"/>
  <c r="AB208" i="14"/>
  <c r="AH174" i="14"/>
  <c r="R174" i="14"/>
  <c r="AJ211" i="14" s="1"/>
  <c r="AA211" i="14"/>
  <c r="AI197" i="14"/>
  <c r="Z174" i="14"/>
  <c r="AI175" i="14"/>
  <c r="AI208" i="14"/>
  <c r="AK209" i="14"/>
  <c r="U214" i="14"/>
  <c r="U215" i="14" s="1"/>
  <c r="R237" i="14"/>
  <c r="R222" i="14" s="1"/>
  <c r="S235" i="14"/>
  <c r="S236" i="14"/>
  <c r="S228" i="14"/>
  <c r="U209" i="14"/>
  <c r="AD209" i="14" s="1"/>
  <c r="T208" i="14"/>
  <c r="T231" i="14"/>
  <c r="T233" i="14"/>
  <c r="T234" i="14"/>
  <c r="Q212" i="14"/>
  <c r="Q130" i="14"/>
  <c r="R132" i="14" s="1"/>
  <c r="R131" i="14"/>
  <c r="R139" i="14"/>
  <c r="R138" i="14" s="1"/>
  <c r="R212" i="14" s="1"/>
  <c r="S211" i="14"/>
  <c r="S174" i="14" l="1"/>
  <c r="AB211" i="14"/>
  <c r="AC208" i="14"/>
  <c r="AJ197" i="14"/>
  <c r="AA174" i="14"/>
  <c r="AJ175" i="14"/>
  <c r="AJ208" i="14"/>
  <c r="AI174" i="14"/>
  <c r="AL209" i="14"/>
  <c r="S237" i="14"/>
  <c r="S222" i="14" s="1"/>
  <c r="T211" i="14"/>
  <c r="U208" i="14"/>
  <c r="AD208" i="14" s="1"/>
  <c r="U231" i="14"/>
  <c r="U233" i="14"/>
  <c r="U234" i="14"/>
  <c r="S131" i="14"/>
  <c r="S139" i="14"/>
  <c r="S138" i="14" s="1"/>
  <c r="S212" i="14" s="1"/>
  <c r="Q134" i="14"/>
  <c r="T235" i="14"/>
  <c r="T236" i="14"/>
  <c r="T228" i="14"/>
  <c r="U230" i="14"/>
  <c r="R130" i="14"/>
  <c r="AB174" i="14" l="1"/>
  <c r="AK197" i="14"/>
  <c r="AK175" i="14"/>
  <c r="AK208" i="14"/>
  <c r="T174" i="14"/>
  <c r="AL211" i="14" s="1"/>
  <c r="AC211" i="14"/>
  <c r="AM209" i="14"/>
  <c r="AJ174" i="14"/>
  <c r="AK211" i="14"/>
  <c r="T237" i="14"/>
  <c r="T222" i="14" s="1"/>
  <c r="R134" i="14"/>
  <c r="S132" i="14"/>
  <c r="S130" i="14" s="1"/>
  <c r="T132" i="14" s="1"/>
  <c r="U235" i="14"/>
  <c r="U236" i="14"/>
  <c r="U228" i="14"/>
  <c r="T131" i="14"/>
  <c r="T139" i="14"/>
  <c r="T138" i="14" s="1"/>
  <c r="U211" i="14"/>
  <c r="AD211" i="14" s="1"/>
  <c r="AK174" i="14" l="1"/>
  <c r="U174" i="14"/>
  <c r="AL197" i="14"/>
  <c r="AC174" i="14"/>
  <c r="AL175" i="14"/>
  <c r="AL208" i="14"/>
  <c r="T130" i="14"/>
  <c r="U132" i="14" s="1"/>
  <c r="U237" i="14"/>
  <c r="U222" i="14" s="1"/>
  <c r="U131" i="14"/>
  <c r="U139" i="14"/>
  <c r="U138" i="14" s="1"/>
  <c r="U212" i="14" s="1"/>
  <c r="T212" i="14"/>
  <c r="S134" i="14"/>
  <c r="AM211" i="14" l="1"/>
  <c r="AD174" i="14"/>
  <c r="AM197" i="14"/>
  <c r="AM175" i="14"/>
  <c r="AM208" i="14"/>
  <c r="AL174" i="14"/>
  <c r="U130" i="14"/>
  <c r="U134" i="14" s="1"/>
  <c r="T134" i="14"/>
  <c r="AB40" i="13"/>
  <c r="AE41" i="13" s="1"/>
  <c r="AC41" i="13"/>
  <c r="AM174" i="14" l="1"/>
  <c r="N157" i="14"/>
  <c r="W157" i="14" s="1"/>
  <c r="X157" i="14" l="1"/>
  <c r="N153" i="14"/>
  <c r="N220" i="14"/>
  <c r="N214" i="14" l="1"/>
  <c r="N215" i="14"/>
  <c r="W153" i="14"/>
  <c r="AF156" i="14"/>
  <c r="AF158" i="14"/>
  <c r="AF154" i="14"/>
  <c r="AF155" i="14"/>
  <c r="AF159" i="14"/>
  <c r="X153" i="14"/>
  <c r="AF157" i="14"/>
  <c r="N152" i="14"/>
  <c r="W152" i="14" s="1"/>
  <c r="AF160" i="14" l="1"/>
  <c r="X152" i="14"/>
  <c r="AF153" i="14"/>
  <c r="N209" i="14"/>
  <c r="W209" i="14" l="1"/>
  <c r="N231" i="14"/>
  <c r="N230" i="14"/>
  <c r="AF152" i="14"/>
  <c r="X209" i="14"/>
  <c r="N233" i="14"/>
  <c r="N234" i="14"/>
  <c r="N208" i="14"/>
  <c r="N211" i="14" s="1"/>
  <c r="N174" i="14" l="1"/>
  <c r="W208" i="14"/>
  <c r="X208" i="14"/>
  <c r="AF209" i="14"/>
  <c r="W211" i="14"/>
  <c r="N235" i="14"/>
  <c r="N236" i="14"/>
  <c r="N228" i="14"/>
  <c r="X211" i="14" l="1"/>
  <c r="N237" i="14"/>
  <c r="N222" i="14" s="1"/>
  <c r="N139" i="14"/>
  <c r="AF211" i="14" l="1"/>
  <c r="W174" i="14"/>
  <c r="AF197" i="14"/>
  <c r="AF175" i="14"/>
  <c r="X174" i="14"/>
  <c r="AF208" i="14"/>
  <c r="N138" i="14"/>
  <c r="O143" i="14"/>
  <c r="AF174" i="14" l="1"/>
  <c r="O141" i="14"/>
  <c r="O119" i="14" s="1"/>
  <c r="P143" i="14"/>
  <c r="Q143" i="14" s="1"/>
  <c r="R143" i="14" s="1"/>
  <c r="N119" i="14"/>
  <c r="W119" i="14" s="1"/>
  <c r="N212" i="14"/>
  <c r="X119" i="14" l="1"/>
  <c r="N145" i="14"/>
  <c r="W145" i="14" s="1"/>
  <c r="N216" i="14"/>
  <c r="P141" i="14"/>
  <c r="P119" i="14" s="1"/>
  <c r="Y119" i="14" s="1"/>
  <c r="O216" i="14"/>
  <c r="O145" i="14"/>
  <c r="X145" i="14" s="1"/>
  <c r="P216" i="14" l="1"/>
  <c r="P145" i="14"/>
  <c r="Y145" i="14" s="1"/>
  <c r="O6" i="14"/>
  <c r="Q141" i="14"/>
  <c r="Q119" i="14" s="1"/>
  <c r="Z119" i="14" s="1"/>
  <c r="N6" i="14"/>
  <c r="N146" i="14" l="1"/>
  <c r="W6" i="14"/>
  <c r="X6" i="14"/>
  <c r="Q216" i="14"/>
  <c r="Q145" i="14"/>
  <c r="Z145" i="14" s="1"/>
  <c r="O12" i="14"/>
  <c r="O74" i="14"/>
  <c r="O70" i="14"/>
  <c r="O7" i="14"/>
  <c r="O67" i="14"/>
  <c r="O39" i="14"/>
  <c r="O55" i="14"/>
  <c r="N70" i="14"/>
  <c r="N74" i="14"/>
  <c r="N7" i="14"/>
  <c r="N12" i="14"/>
  <c r="N67" i="14"/>
  <c r="N55" i="14"/>
  <c r="N39" i="14"/>
  <c r="R141" i="14"/>
  <c r="R119" i="14" s="1"/>
  <c r="S143" i="14"/>
  <c r="O146" i="14"/>
  <c r="P6" i="14"/>
  <c r="Y6" i="14" s="1"/>
  <c r="R145" i="14" l="1"/>
  <c r="AA145" i="14" s="1"/>
  <c r="AA119" i="14"/>
  <c r="P7" i="14"/>
  <c r="P70" i="14"/>
  <c r="P67" i="14"/>
  <c r="P55" i="14"/>
  <c r="P12" i="14"/>
  <c r="P74" i="14"/>
  <c r="P39" i="14"/>
  <c r="R216" i="14"/>
  <c r="N58" i="14"/>
  <c r="N57" i="14"/>
  <c r="N62" i="14"/>
  <c r="N59" i="14"/>
  <c r="N60" i="14"/>
  <c r="N61" i="14"/>
  <c r="N63" i="14"/>
  <c r="N56" i="14"/>
  <c r="N24" i="14"/>
  <c r="N17" i="14"/>
  <c r="N31" i="14"/>
  <c r="N32" i="14"/>
  <c r="N18" i="14"/>
  <c r="N16" i="14"/>
  <c r="N25" i="14"/>
  <c r="N29" i="14"/>
  <c r="N23" i="14"/>
  <c r="N37" i="14"/>
  <c r="N30" i="14"/>
  <c r="N35" i="14"/>
  <c r="N13" i="14"/>
  <c r="N34" i="14"/>
  <c r="N22" i="14"/>
  <c r="N38" i="14"/>
  <c r="N33" i="14"/>
  <c r="N21" i="14"/>
  <c r="N26" i="14"/>
  <c r="N15" i="14"/>
  <c r="N36" i="14"/>
  <c r="N28" i="14"/>
  <c r="N27" i="14"/>
  <c r="N14" i="14"/>
  <c r="N20" i="14"/>
  <c r="N19" i="14"/>
  <c r="O57" i="14"/>
  <c r="O58" i="14"/>
  <c r="O62" i="14"/>
  <c r="O59" i="14"/>
  <c r="O61" i="14"/>
  <c r="O60" i="14"/>
  <c r="O63" i="14"/>
  <c r="O56" i="14"/>
  <c r="O68" i="14"/>
  <c r="O69" i="14"/>
  <c r="O73" i="14"/>
  <c r="O72" i="14"/>
  <c r="O71" i="14"/>
  <c r="P146" i="14"/>
  <c r="S141" i="14"/>
  <c r="S119" i="14" s="1"/>
  <c r="AB119" i="14" s="1"/>
  <c r="T143" i="14"/>
  <c r="N52" i="14"/>
  <c r="N51" i="14"/>
  <c r="N45" i="14"/>
  <c r="N50" i="14"/>
  <c r="N53" i="14"/>
  <c r="N44" i="14"/>
  <c r="N47" i="14"/>
  <c r="N54" i="14"/>
  <c r="N41" i="14"/>
  <c r="N46" i="14"/>
  <c r="N42" i="14"/>
  <c r="N48" i="14"/>
  <c r="N43" i="14"/>
  <c r="N40" i="14"/>
  <c r="N49" i="14"/>
  <c r="N69" i="14"/>
  <c r="N68" i="14"/>
  <c r="N10" i="14"/>
  <c r="N9" i="14"/>
  <c r="N11" i="14"/>
  <c r="N8" i="14"/>
  <c r="N71" i="14"/>
  <c r="N72" i="14"/>
  <c r="N73" i="14"/>
  <c r="O43" i="14"/>
  <c r="O50" i="14"/>
  <c r="O51" i="14"/>
  <c r="O46" i="14"/>
  <c r="O41" i="14"/>
  <c r="O53" i="14"/>
  <c r="O44" i="14"/>
  <c r="O48" i="14"/>
  <c r="O54" i="14"/>
  <c r="O47" i="14"/>
  <c r="O45" i="14"/>
  <c r="O42" i="14"/>
  <c r="O52" i="14"/>
  <c r="O40" i="14"/>
  <c r="O49" i="14"/>
  <c r="O10" i="14"/>
  <c r="O8" i="14"/>
  <c r="O11" i="14"/>
  <c r="O9" i="14"/>
  <c r="O76" i="14"/>
  <c r="O75" i="14"/>
  <c r="O78" i="14"/>
  <c r="O77" i="14"/>
  <c r="Q6" i="14"/>
  <c r="N77" i="14"/>
  <c r="N78" i="14"/>
  <c r="N76" i="14"/>
  <c r="N75" i="14"/>
  <c r="O34" i="14"/>
  <c r="O16" i="14"/>
  <c r="O38" i="14"/>
  <c r="O18" i="14"/>
  <c r="O13" i="14"/>
  <c r="O27" i="14"/>
  <c r="O30" i="14"/>
  <c r="O23" i="14"/>
  <c r="O25" i="14"/>
  <c r="O29" i="14"/>
  <c r="O15" i="14"/>
  <c r="O31" i="14"/>
  <c r="O35" i="14"/>
  <c r="O24" i="14"/>
  <c r="O19" i="14"/>
  <c r="O26" i="14"/>
  <c r="O21" i="14"/>
  <c r="O28" i="14"/>
  <c r="O36" i="14"/>
  <c r="O20" i="14"/>
  <c r="O37" i="14"/>
  <c r="O14" i="14"/>
  <c r="O32" i="14"/>
  <c r="O22" i="14"/>
  <c r="O17" i="14"/>
  <c r="O33" i="14"/>
  <c r="Q146" i="14" l="1"/>
  <c r="Z6" i="14"/>
  <c r="N246" i="14"/>
  <c r="N248" i="14"/>
  <c r="Q12" i="14"/>
  <c r="Q7" i="14"/>
  <c r="Q70" i="14"/>
  <c r="Q74" i="14"/>
  <c r="Q67" i="14"/>
  <c r="Q55" i="14"/>
  <c r="Q39" i="14"/>
  <c r="N224" i="14"/>
  <c r="N223" i="14" s="1"/>
  <c r="N227" i="14" s="1"/>
  <c r="N241" i="14" s="1"/>
  <c r="N245" i="14" s="1"/>
  <c r="O224" i="14"/>
  <c r="O223" i="14" s="1"/>
  <c r="O227" i="14" s="1"/>
  <c r="O241" i="14" s="1"/>
  <c r="O245" i="14" s="1"/>
  <c r="S216" i="14"/>
  <c r="S145" i="14"/>
  <c r="AB145" i="14" s="1"/>
  <c r="O247" i="14"/>
  <c r="N247" i="14"/>
  <c r="P76" i="14"/>
  <c r="P77" i="14"/>
  <c r="P78" i="14"/>
  <c r="P75" i="14"/>
  <c r="P61" i="14"/>
  <c r="P62" i="14"/>
  <c r="P57" i="14"/>
  <c r="P63" i="14"/>
  <c r="P59" i="14"/>
  <c r="P60" i="14"/>
  <c r="P58" i="14"/>
  <c r="P56" i="14"/>
  <c r="P71" i="14"/>
  <c r="P72" i="14"/>
  <c r="P73" i="14"/>
  <c r="O246" i="14"/>
  <c r="T141" i="14"/>
  <c r="T119" i="14" s="1"/>
  <c r="AC119" i="14" s="1"/>
  <c r="U143" i="14"/>
  <c r="U141" i="14" s="1"/>
  <c r="U119" i="14" s="1"/>
  <c r="O248" i="14"/>
  <c r="R6" i="14"/>
  <c r="AA6" i="14" s="1"/>
  <c r="P42" i="14"/>
  <c r="P54" i="14"/>
  <c r="P41" i="14"/>
  <c r="P44" i="14"/>
  <c r="P53" i="14"/>
  <c r="P45" i="14"/>
  <c r="P50" i="14"/>
  <c r="P52" i="14"/>
  <c r="P47" i="14"/>
  <c r="P48" i="14"/>
  <c r="P40" i="14"/>
  <c r="P46" i="14"/>
  <c r="P43" i="14"/>
  <c r="P51" i="14"/>
  <c r="P49" i="14"/>
  <c r="P22" i="14"/>
  <c r="P25" i="14"/>
  <c r="P14" i="14"/>
  <c r="P35" i="14"/>
  <c r="P18" i="14"/>
  <c r="P36" i="14"/>
  <c r="P17" i="14"/>
  <c r="P31" i="14"/>
  <c r="P13" i="14"/>
  <c r="P16" i="14"/>
  <c r="P37" i="14"/>
  <c r="P32" i="14"/>
  <c r="P30" i="14"/>
  <c r="P28" i="14"/>
  <c r="P15" i="14"/>
  <c r="P24" i="14"/>
  <c r="P38" i="14"/>
  <c r="P26" i="14"/>
  <c r="P33" i="14"/>
  <c r="P27" i="14"/>
  <c r="P20" i="14"/>
  <c r="P34" i="14"/>
  <c r="P29" i="14"/>
  <c r="P21" i="14"/>
  <c r="P23" i="14"/>
  <c r="P19" i="14"/>
  <c r="P69" i="14"/>
  <c r="P68" i="14"/>
  <c r="P10" i="14"/>
  <c r="P11" i="14"/>
  <c r="P9" i="14"/>
  <c r="P8" i="14"/>
  <c r="AD119" i="14" l="1"/>
  <c r="N249" i="14"/>
  <c r="W249" i="14" s="1"/>
  <c r="P248" i="14"/>
  <c r="R12" i="14"/>
  <c r="R7" i="14"/>
  <c r="R70" i="14"/>
  <c r="R67" i="14"/>
  <c r="R74" i="14"/>
  <c r="R39" i="14"/>
  <c r="R55" i="14"/>
  <c r="T216" i="14"/>
  <c r="T145" i="14"/>
  <c r="AC145" i="14" s="1"/>
  <c r="R146" i="14"/>
  <c r="U216" i="14"/>
  <c r="U145" i="14"/>
  <c r="Q47" i="14"/>
  <c r="Q51" i="14"/>
  <c r="Q48" i="14"/>
  <c r="Q46" i="14"/>
  <c r="Q41" i="14"/>
  <c r="Q45" i="14"/>
  <c r="Q52" i="14"/>
  <c r="Q42" i="14"/>
  <c r="Q50" i="14"/>
  <c r="Q43" i="14"/>
  <c r="Q54" i="14"/>
  <c r="Q53" i="14"/>
  <c r="Q44" i="14"/>
  <c r="Q49" i="14"/>
  <c r="Q224" i="14" s="1"/>
  <c r="Q223" i="14" s="1"/>
  <c r="Q227" i="14" s="1"/>
  <c r="Q241" i="14" s="1"/>
  <c r="Q245" i="14" s="1"/>
  <c r="Q40" i="14"/>
  <c r="Q68" i="14"/>
  <c r="Q69" i="14"/>
  <c r="Q71" i="14"/>
  <c r="Q72" i="14"/>
  <c r="Q73" i="14"/>
  <c r="Q28" i="14"/>
  <c r="Q22" i="14"/>
  <c r="Q31" i="14"/>
  <c r="Q29" i="14"/>
  <c r="Q36" i="14"/>
  <c r="Q24" i="14"/>
  <c r="Q33" i="14"/>
  <c r="Q37" i="14"/>
  <c r="Q23" i="14"/>
  <c r="Q38" i="14"/>
  <c r="Q13" i="14"/>
  <c r="Q35" i="14"/>
  <c r="Q15" i="14"/>
  <c r="Q17" i="14"/>
  <c r="Q26" i="14"/>
  <c r="Q14" i="14"/>
  <c r="Q30" i="14"/>
  <c r="Q20" i="14"/>
  <c r="Q21" i="14"/>
  <c r="Q16" i="14"/>
  <c r="Q19" i="14"/>
  <c r="Q34" i="14"/>
  <c r="Q27" i="14"/>
  <c r="Q18" i="14"/>
  <c r="Q25" i="14"/>
  <c r="Q32" i="14"/>
  <c r="P247" i="14"/>
  <c r="S6" i="14"/>
  <c r="O249" i="14"/>
  <c r="P224" i="14"/>
  <c r="P223" i="14" s="1"/>
  <c r="P227" i="14" s="1"/>
  <c r="P241" i="14" s="1"/>
  <c r="P245" i="14" s="1"/>
  <c r="Q61" i="14"/>
  <c r="Q59" i="14"/>
  <c r="Q60" i="14"/>
  <c r="Q63" i="14"/>
  <c r="Q247" i="14" s="1"/>
  <c r="Q58" i="14"/>
  <c r="Q62" i="14"/>
  <c r="Q57" i="14"/>
  <c r="Q56" i="14"/>
  <c r="Q78" i="14"/>
  <c r="Q76" i="14"/>
  <c r="Q75" i="14"/>
  <c r="Q77" i="14"/>
  <c r="Q9" i="14"/>
  <c r="Q11" i="14"/>
  <c r="Q8" i="14"/>
  <c r="Q10" i="14"/>
  <c r="P246" i="14"/>
  <c r="S146" i="14" l="1"/>
  <c r="AB6" i="14"/>
  <c r="AD145" i="14"/>
  <c r="O253" i="14"/>
  <c r="X249" i="14"/>
  <c r="E44" i="50"/>
  <c r="E48" i="50"/>
  <c r="E36" i="50"/>
  <c r="E12" i="50"/>
  <c r="E52" i="50"/>
  <c r="E16" i="50"/>
  <c r="E20" i="50"/>
  <c r="E40" i="50"/>
  <c r="E8" i="50"/>
  <c r="E24" i="50"/>
  <c r="D40" i="50"/>
  <c r="D48" i="50"/>
  <c r="D44" i="50"/>
  <c r="D36" i="50"/>
  <c r="N253" i="14"/>
  <c r="D24" i="50"/>
  <c r="D12" i="50"/>
  <c r="D52" i="50"/>
  <c r="D8" i="50"/>
  <c r="D16" i="50"/>
  <c r="D20" i="50"/>
  <c r="Q248" i="14"/>
  <c r="P249" i="14"/>
  <c r="Q246" i="14"/>
  <c r="U6" i="14"/>
  <c r="R47" i="14"/>
  <c r="R43" i="14"/>
  <c r="R52" i="14"/>
  <c r="R48" i="14"/>
  <c r="R42" i="14"/>
  <c r="R50" i="14"/>
  <c r="R51" i="14"/>
  <c r="R44" i="14"/>
  <c r="R54" i="14"/>
  <c r="R53" i="14"/>
  <c r="R45" i="14"/>
  <c r="R41" i="14"/>
  <c r="R46" i="14"/>
  <c r="R40" i="14"/>
  <c r="R49" i="14"/>
  <c r="R224" i="14" s="1"/>
  <c r="R223" i="14" s="1"/>
  <c r="R227" i="14" s="1"/>
  <c r="R241" i="14" s="1"/>
  <c r="R245" i="14" s="1"/>
  <c r="R68" i="14"/>
  <c r="R69" i="14"/>
  <c r="R11" i="14"/>
  <c r="R10" i="14"/>
  <c r="R8" i="14"/>
  <c r="R9" i="14"/>
  <c r="S12" i="14"/>
  <c r="S7" i="14"/>
  <c r="S70" i="14"/>
  <c r="S74" i="14"/>
  <c r="S55" i="14"/>
  <c r="S39" i="14"/>
  <c r="S67" i="14"/>
  <c r="T6" i="14"/>
  <c r="R61" i="14"/>
  <c r="R57" i="14"/>
  <c r="R59" i="14"/>
  <c r="R58" i="14"/>
  <c r="R60" i="14"/>
  <c r="R63" i="14"/>
  <c r="R62" i="14"/>
  <c r="R56" i="14"/>
  <c r="R77" i="14"/>
  <c r="R76" i="14"/>
  <c r="R78" i="14"/>
  <c r="R75" i="14"/>
  <c r="R73" i="14"/>
  <c r="R71" i="14"/>
  <c r="R72" i="14"/>
  <c r="R16" i="14"/>
  <c r="R31" i="14"/>
  <c r="R23" i="14"/>
  <c r="R22" i="14"/>
  <c r="R30" i="14"/>
  <c r="R14" i="14"/>
  <c r="R37" i="14"/>
  <c r="R34" i="14"/>
  <c r="R36" i="14"/>
  <c r="R17" i="14"/>
  <c r="R33" i="14"/>
  <c r="R26" i="14"/>
  <c r="R15" i="14"/>
  <c r="R38" i="14"/>
  <c r="R25" i="14"/>
  <c r="R24" i="14"/>
  <c r="R19" i="14"/>
  <c r="R21" i="14"/>
  <c r="R18" i="14"/>
  <c r="R13" i="14"/>
  <c r="R32" i="14"/>
  <c r="R28" i="14"/>
  <c r="R27" i="14"/>
  <c r="R20" i="14"/>
  <c r="R35" i="14"/>
  <c r="R29" i="14"/>
  <c r="U146" i="14" l="1"/>
  <c r="AD6" i="14"/>
  <c r="T146" i="14"/>
  <c r="AC6" i="14"/>
  <c r="P253" i="14"/>
  <c r="Y249" i="14"/>
  <c r="F36" i="50"/>
  <c r="F40" i="50"/>
  <c r="F48" i="50"/>
  <c r="F8" i="50"/>
  <c r="F16" i="50"/>
  <c r="F44" i="50"/>
  <c r="F20" i="50"/>
  <c r="F24" i="50"/>
  <c r="F12" i="50"/>
  <c r="F52" i="50"/>
  <c r="Q249" i="14"/>
  <c r="Z249" i="14" s="1"/>
  <c r="R248" i="14"/>
  <c r="R247" i="14"/>
  <c r="S42" i="14"/>
  <c r="S44" i="14"/>
  <c r="S52" i="14"/>
  <c r="S41" i="14"/>
  <c r="S51" i="14"/>
  <c r="S48" i="14"/>
  <c r="S50" i="14"/>
  <c r="S54" i="14"/>
  <c r="S43" i="14"/>
  <c r="S47" i="14"/>
  <c r="S46" i="14"/>
  <c r="S45" i="14"/>
  <c r="S53" i="14"/>
  <c r="S40" i="14"/>
  <c r="S49" i="14"/>
  <c r="S75" i="14"/>
  <c r="S76" i="14"/>
  <c r="S78" i="14"/>
  <c r="S77" i="14"/>
  <c r="S8" i="14"/>
  <c r="S10" i="14"/>
  <c r="S9" i="14"/>
  <c r="S11" i="14"/>
  <c r="U7" i="14"/>
  <c r="U74" i="14"/>
  <c r="U39" i="14"/>
  <c r="U12" i="14"/>
  <c r="U70" i="14"/>
  <c r="U67" i="14"/>
  <c r="U55" i="14"/>
  <c r="R246" i="14"/>
  <c r="T70" i="14"/>
  <c r="T7" i="14"/>
  <c r="T12" i="14"/>
  <c r="T74" i="14"/>
  <c r="T55" i="14"/>
  <c r="T67" i="14"/>
  <c r="T39" i="14"/>
  <c r="S69" i="14"/>
  <c r="S68" i="14"/>
  <c r="S58" i="14"/>
  <c r="S57" i="14"/>
  <c r="S61" i="14"/>
  <c r="S60" i="14"/>
  <c r="S59" i="14"/>
  <c r="S62" i="14"/>
  <c r="S56" i="14"/>
  <c r="S63" i="14"/>
  <c r="S72" i="14"/>
  <c r="S73" i="14"/>
  <c r="S71" i="14"/>
  <c r="S29" i="14"/>
  <c r="S30" i="14"/>
  <c r="S23" i="14"/>
  <c r="S27" i="14"/>
  <c r="S16" i="14"/>
  <c r="S17" i="14"/>
  <c r="S32" i="14"/>
  <c r="S33" i="14"/>
  <c r="S34" i="14"/>
  <c r="S36" i="14"/>
  <c r="S14" i="14"/>
  <c r="S15" i="14"/>
  <c r="S31" i="14"/>
  <c r="S20" i="14"/>
  <c r="S25" i="14"/>
  <c r="S13" i="14"/>
  <c r="S18" i="14"/>
  <c r="S28" i="14"/>
  <c r="S19" i="14"/>
  <c r="S22" i="14"/>
  <c r="S35" i="14"/>
  <c r="S24" i="14"/>
  <c r="S37" i="14"/>
  <c r="S38" i="14"/>
  <c r="S26" i="14"/>
  <c r="S21" i="14"/>
  <c r="Q253" i="14" l="1"/>
  <c r="G36" i="50"/>
  <c r="G8" i="50"/>
  <c r="G12" i="50"/>
  <c r="G20" i="50"/>
  <c r="G16" i="50"/>
  <c r="G24" i="50"/>
  <c r="G44" i="50"/>
  <c r="G48" i="50"/>
  <c r="G40" i="50"/>
  <c r="G52" i="50"/>
  <c r="R249" i="14"/>
  <c r="AA249" i="14" s="1"/>
  <c r="S246" i="14"/>
  <c r="T69" i="14"/>
  <c r="T68" i="14"/>
  <c r="T76" i="14"/>
  <c r="T75" i="14"/>
  <c r="T78" i="14"/>
  <c r="T77" i="14"/>
  <c r="T8" i="14"/>
  <c r="T10" i="14"/>
  <c r="T9" i="14"/>
  <c r="T11" i="14"/>
  <c r="S248" i="14"/>
  <c r="U61" i="14"/>
  <c r="U57" i="14"/>
  <c r="U58" i="14"/>
  <c r="U60" i="14"/>
  <c r="U56" i="14"/>
  <c r="U62" i="14"/>
  <c r="U59" i="14"/>
  <c r="U63" i="14"/>
  <c r="U72" i="14"/>
  <c r="U71" i="14"/>
  <c r="U73" i="14"/>
  <c r="U41" i="14"/>
  <c r="U42" i="14"/>
  <c r="U53" i="14"/>
  <c r="U45" i="14"/>
  <c r="U40" i="14"/>
  <c r="U52" i="14"/>
  <c r="U43" i="14"/>
  <c r="U47" i="14"/>
  <c r="U48" i="14"/>
  <c r="U54" i="14"/>
  <c r="U46" i="14"/>
  <c r="U50" i="14"/>
  <c r="U51" i="14"/>
  <c r="U44" i="14"/>
  <c r="U49" i="14"/>
  <c r="U11" i="14"/>
  <c r="U8" i="14"/>
  <c r="U9" i="14"/>
  <c r="U10" i="14"/>
  <c r="S224" i="14"/>
  <c r="S223" i="14" s="1"/>
  <c r="S227" i="14" s="1"/>
  <c r="S241" i="14" s="1"/>
  <c r="S245" i="14" s="1"/>
  <c r="S247" i="14"/>
  <c r="T46" i="14"/>
  <c r="T44" i="14"/>
  <c r="T50" i="14"/>
  <c r="T41" i="14"/>
  <c r="T42" i="14"/>
  <c r="T54" i="14"/>
  <c r="T40" i="14"/>
  <c r="T45" i="14"/>
  <c r="T53" i="14"/>
  <c r="T48" i="14"/>
  <c r="T43" i="14"/>
  <c r="T52" i="14"/>
  <c r="T51" i="14"/>
  <c r="T47" i="14"/>
  <c r="T49" i="14"/>
  <c r="T59" i="14"/>
  <c r="T58" i="14"/>
  <c r="T61" i="14"/>
  <c r="T63" i="14"/>
  <c r="T62" i="14"/>
  <c r="T57" i="14"/>
  <c r="T60" i="14"/>
  <c r="T56" i="14"/>
  <c r="T13" i="14"/>
  <c r="T14" i="14"/>
  <c r="T17" i="14"/>
  <c r="T35" i="14"/>
  <c r="T26" i="14"/>
  <c r="T29" i="14"/>
  <c r="T22" i="14"/>
  <c r="T23" i="14"/>
  <c r="T37" i="14"/>
  <c r="T16" i="14"/>
  <c r="T31" i="14"/>
  <c r="T19" i="14"/>
  <c r="T32" i="14"/>
  <c r="T30" i="14"/>
  <c r="T33" i="14"/>
  <c r="T36" i="14"/>
  <c r="T20" i="14"/>
  <c r="T24" i="14"/>
  <c r="T28" i="14"/>
  <c r="T21" i="14"/>
  <c r="T25" i="14"/>
  <c r="T34" i="14"/>
  <c r="T38" i="14"/>
  <c r="T27" i="14"/>
  <c r="T15" i="14"/>
  <c r="T18" i="14"/>
  <c r="T73" i="14"/>
  <c r="T72" i="14"/>
  <c r="T71" i="14"/>
  <c r="U68" i="14"/>
  <c r="U69" i="14"/>
  <c r="U38" i="14"/>
  <c r="U21" i="14"/>
  <c r="U28" i="14"/>
  <c r="U16" i="14"/>
  <c r="U27" i="14"/>
  <c r="U34" i="14"/>
  <c r="U14" i="14"/>
  <c r="U19" i="14"/>
  <c r="U29" i="14"/>
  <c r="U18" i="14"/>
  <c r="U33" i="14"/>
  <c r="U35" i="14"/>
  <c r="U15" i="14"/>
  <c r="U17" i="14"/>
  <c r="U31" i="14"/>
  <c r="U13" i="14"/>
  <c r="U25" i="14"/>
  <c r="U30" i="14"/>
  <c r="U23" i="14"/>
  <c r="U24" i="14"/>
  <c r="U22" i="14"/>
  <c r="U20" i="14"/>
  <c r="U32" i="14"/>
  <c r="U37" i="14"/>
  <c r="U26" i="14"/>
  <c r="U36" i="14"/>
  <c r="U75" i="14"/>
  <c r="U78" i="14"/>
  <c r="U77" i="14"/>
  <c r="U76" i="14"/>
  <c r="R253" i="14" l="1"/>
  <c r="H40" i="50"/>
  <c r="H48" i="50"/>
  <c r="H52" i="50"/>
  <c r="H36" i="50"/>
  <c r="H8" i="50"/>
  <c r="H44" i="50"/>
  <c r="H16" i="50"/>
  <c r="H24" i="50"/>
  <c r="H12" i="50"/>
  <c r="H20" i="50"/>
  <c r="T246" i="14"/>
  <c r="U248" i="14"/>
  <c r="U224" i="14"/>
  <c r="U223" i="14" s="1"/>
  <c r="U227" i="14" s="1"/>
  <c r="U241" i="14" s="1"/>
  <c r="U245" i="14" s="1"/>
  <c r="U247" i="14"/>
  <c r="T247" i="14"/>
  <c r="U246" i="14"/>
  <c r="S249" i="14"/>
  <c r="AB249" i="14" s="1"/>
  <c r="T224" i="14"/>
  <c r="T223" i="14" s="1"/>
  <c r="T227" i="14" s="1"/>
  <c r="T241" i="14" s="1"/>
  <c r="T245" i="14" s="1"/>
  <c r="T248" i="14"/>
  <c r="S253" i="14" l="1"/>
  <c r="I36" i="50"/>
  <c r="I16" i="50"/>
  <c r="I24" i="50"/>
  <c r="I52" i="50"/>
  <c r="I44" i="50"/>
  <c r="I48" i="50"/>
  <c r="I8" i="50"/>
  <c r="I40" i="50"/>
  <c r="I12" i="50"/>
  <c r="I20" i="50"/>
  <c r="U249" i="14"/>
  <c r="T249" i="14"/>
  <c r="AC249" i="14" s="1"/>
  <c r="AD249" i="14" l="1"/>
  <c r="K40" i="50"/>
  <c r="K48" i="50"/>
  <c r="K52" i="50"/>
  <c r="K36" i="50"/>
  <c r="K12" i="50"/>
  <c r="K16" i="50"/>
  <c r="K44" i="50"/>
  <c r="K8" i="50"/>
  <c r="K24" i="50"/>
  <c r="K20" i="50"/>
  <c r="T253" i="14"/>
  <c r="J40" i="50"/>
  <c r="J48" i="50"/>
  <c r="J12" i="50"/>
  <c r="J20" i="50"/>
  <c r="J36" i="50"/>
  <c r="J8" i="50"/>
  <c r="J16" i="50"/>
  <c r="J24" i="50"/>
  <c r="J44" i="50"/>
  <c r="J52" i="50"/>
  <c r="D17" i="50" l="1"/>
  <c r="D18" i="50" s="1"/>
  <c r="D9" i="50"/>
  <c r="D10" i="50" s="1"/>
  <c r="D49" i="50"/>
  <c r="D50" i="50" s="1"/>
  <c r="D41" i="50"/>
  <c r="D42" i="50" s="1"/>
  <c r="D45" i="50"/>
  <c r="D46" i="50" s="1"/>
  <c r="D25" i="50"/>
  <c r="D26" i="50" s="1"/>
  <c r="D13" i="50"/>
  <c r="D14" i="50" s="1"/>
  <c r="D53" i="50"/>
  <c r="D54" i="50" s="1"/>
  <c r="D21" i="50"/>
  <c r="D22" i="50" s="1"/>
  <c r="D37" i="50"/>
  <c r="D38" i="50" s="1"/>
  <c r="N255" i="14"/>
  <c r="N257" i="14" s="1"/>
  <c r="G28" i="50" l="1"/>
  <c r="H56" i="50"/>
  <c r="E28" i="50"/>
  <c r="F56" i="50"/>
  <c r="H28" i="50"/>
  <c r="E56" i="50"/>
  <c r="G56" i="50"/>
  <c r="F28" i="50"/>
</calcChain>
</file>

<file path=xl/sharedStrings.xml><?xml version="1.0" encoding="utf-8"?>
<sst xmlns="http://schemas.openxmlformats.org/spreadsheetml/2006/main" count="792" uniqueCount="456">
  <si>
    <t>Cuenta</t>
  </si>
  <si>
    <t>Historico</t>
  </si>
  <si>
    <t xml:space="preserve">Disponible </t>
  </si>
  <si>
    <t xml:space="preserve">Caja </t>
  </si>
  <si>
    <t xml:space="preserve">Bancos </t>
  </si>
  <si>
    <t xml:space="preserve">Cuentas De Ahorro </t>
  </si>
  <si>
    <t xml:space="preserve">Participacion En Fondos A La Vista </t>
  </si>
  <si>
    <t xml:space="preserve">Inversiones Y Derivados </t>
  </si>
  <si>
    <t xml:space="preserve">Inversiones Negociables En Titulos Participativos - Recursos Propios </t>
  </si>
  <si>
    <t>Inversiones Negociables En Titulos De Deuda Publica Interna - Recursos Propios</t>
  </si>
  <si>
    <t xml:space="preserve">Inversiones Negociables En Titulos De Deuda Publica Externa - Recursos Propios </t>
  </si>
  <si>
    <t xml:space="preserve">Inversiones Negociables En Titulos De Deuda Privada - Recursos Propios </t>
  </si>
  <si>
    <t>Inversiones Negociables En Titulos De Deuda Publica Externa Emitidos O Garantiz</t>
  </si>
  <si>
    <t>Inversiones Para Mantener Hasta El Vencimiento Deuda Publica Interna - Recursos</t>
  </si>
  <si>
    <t>Inversiones Para Mantener Hasta El Vencimiento Deuda Publica Externa - Recursos</t>
  </si>
  <si>
    <t>Inversiones Para Mantener Hasta El Vencimiento Deuda Privada - Recursos Propios</t>
  </si>
  <si>
    <t>Inversiones Para Mantener Hasta El Vencimiento Deuda Publica Externa Emitidos O</t>
  </si>
  <si>
    <t>Inversiones Disponibles Para La Venta En Titulos Participativos - Recursos Prop</t>
  </si>
  <si>
    <t>Inversiones Disponibles Para La Venta En Titulos De Deuda Publica Interna - Recu</t>
  </si>
  <si>
    <t>Inversiones Disponibles Para La Venta En Titulos De Deuda Publica Externa - Rec</t>
  </si>
  <si>
    <t>Inversiones Disponibles Para La Venta En Titulos De Deuda Privada - Recursos Pr</t>
  </si>
  <si>
    <t>Inversiones Disponibles Para La Venta En Titulos De Deuda Publica Externa Emiti</t>
  </si>
  <si>
    <t>Inversiones En Titulos Sobre Productos Y En Productos Agropecuarios Y Agroindust</t>
  </si>
  <si>
    <t xml:space="preserve">Servicios </t>
  </si>
  <si>
    <t xml:space="preserve">Compromisos De Reventa De Inversiones En Operaciones De Fondeo </t>
  </si>
  <si>
    <t xml:space="preserve">Compromisos De Reventa De Inversiones En Operaciones Simultaneas </t>
  </si>
  <si>
    <t xml:space="preserve">Compromisos De Reventa De Inversiones - Repos - </t>
  </si>
  <si>
    <t xml:space="preserve">Operaciones A Plazo De Cumplimiento Efectivo </t>
  </si>
  <si>
    <t xml:space="preserve">Provision De Inversiones Negociables En Titulos De Deuda (Cr) </t>
  </si>
  <si>
    <t xml:space="preserve">Provision De Inversiones Negociables En Titulos Participativos (Cr) </t>
  </si>
  <si>
    <t xml:space="preserve">Provision De Inversiones Para Mantener Hasta El Vencimiento (Cr) </t>
  </si>
  <si>
    <t xml:space="preserve">Provision De Inversiones Disponibles Para La Venta En Titulos De Deuda (Cr) </t>
  </si>
  <si>
    <t>Provision De Inversiones Disponibles Para La Venta En Titulos Participativos (Cr</t>
  </si>
  <si>
    <t xml:space="preserve">Deudores </t>
  </si>
  <si>
    <t xml:space="preserve">Clientes </t>
  </si>
  <si>
    <t xml:space="preserve">Comisionistas De Bolsa De Valores Y Agropecuarias </t>
  </si>
  <si>
    <t>Emisores De Valores Y De Titulos Sobre Productos Agropecuarios Y Agroindustriale</t>
  </si>
  <si>
    <t xml:space="preserve">Por Administracion </t>
  </si>
  <si>
    <t>Dividendos Y Participaciones En Titulos De Baja O Minima Bursatilidad O Sin Coti</t>
  </si>
  <si>
    <t xml:space="preserve">Cuentas Por Cobrar A Socios Y Accionistas </t>
  </si>
  <si>
    <t xml:space="preserve">Anticipos Y Avances </t>
  </si>
  <si>
    <t xml:space="preserve">Ingresos Por Cobrar </t>
  </si>
  <si>
    <t xml:space="preserve">Arrendamientos </t>
  </si>
  <si>
    <t xml:space="preserve">Anticipos De Impuestos Y Contribuciones O Saldos A Favor </t>
  </si>
  <si>
    <t xml:space="preserve">Retencion En La Fuente </t>
  </si>
  <si>
    <t xml:space="preserve">Reclamaciones </t>
  </si>
  <si>
    <t xml:space="preserve">Deudores Varios </t>
  </si>
  <si>
    <t xml:space="preserve">Diversos </t>
  </si>
  <si>
    <t xml:space="preserve">Deudas De Dudoso Recaudo </t>
  </si>
  <si>
    <t xml:space="preserve">Provisiones Para Deudas De Dudoso Recaudo (Cr) </t>
  </si>
  <si>
    <t xml:space="preserve">Propiedades Y Equipo </t>
  </si>
  <si>
    <t xml:space="preserve">Terrenos </t>
  </si>
  <si>
    <t xml:space="preserve">Edificaciones </t>
  </si>
  <si>
    <t xml:space="preserve">Equipo De Oficina </t>
  </si>
  <si>
    <t xml:space="preserve">Equipo De Computacion Y Comunicacion </t>
  </si>
  <si>
    <t xml:space="preserve">Equipo De Transporte </t>
  </si>
  <si>
    <t xml:space="preserve">Depreciacion Acumulada (Cr) </t>
  </si>
  <si>
    <t xml:space="preserve">Provisiones De Propiedades Y Equipo (Cr) </t>
  </si>
  <si>
    <t xml:space="preserve">Intangibles </t>
  </si>
  <si>
    <t xml:space="preserve">Derechos </t>
  </si>
  <si>
    <t xml:space="preserve">Depreciacion Y/O Amortizacion Acumulada (Cr) </t>
  </si>
  <si>
    <t xml:space="preserve">Provisiones De Intangibles (Cr) </t>
  </si>
  <si>
    <t xml:space="preserve">Diferidos </t>
  </si>
  <si>
    <t xml:space="preserve">Gastos Pagados Por Anticipado </t>
  </si>
  <si>
    <t xml:space="preserve">Cargos Diferidos </t>
  </si>
  <si>
    <t xml:space="preserve">Otros Activos </t>
  </si>
  <si>
    <t xml:space="preserve">Bienes De Arte Y Cultura </t>
  </si>
  <si>
    <t xml:space="preserve">Provisiones De Otros Activos (Cr) </t>
  </si>
  <si>
    <t xml:space="preserve">Valorizaciones </t>
  </si>
  <si>
    <t xml:space="preserve">Valorizacion De Inversiones Disponibles Para La Venta </t>
  </si>
  <si>
    <t xml:space="preserve">Desvalorizaciones Inversiones Disponibles Para La Venta (Cr) </t>
  </si>
  <si>
    <t xml:space="preserve">Obligaciones Financieras Parte Corriente </t>
  </si>
  <si>
    <t xml:space="preserve">Bancos Nacionales </t>
  </si>
  <si>
    <t xml:space="preserve">Cuentas Por Pagar </t>
  </si>
  <si>
    <t xml:space="preserve">Cuentas Corrientes Comerciales </t>
  </si>
  <si>
    <t xml:space="preserve">Costos Y Gastos Por Pagar </t>
  </si>
  <si>
    <t xml:space="preserve">Honorarios Y Comisiones </t>
  </si>
  <si>
    <t xml:space="preserve">Contribuciones Y Afiliaciones </t>
  </si>
  <si>
    <t xml:space="preserve">Seguros </t>
  </si>
  <si>
    <t xml:space="preserve">Gastos Legales </t>
  </si>
  <si>
    <t xml:space="preserve">Mantenimiento Y Reparaciones </t>
  </si>
  <si>
    <t xml:space="preserve">Gastos De Viaje </t>
  </si>
  <si>
    <t xml:space="preserve">Dividendos Participaciones Y Rendimientos Por Pagar </t>
  </si>
  <si>
    <t xml:space="preserve">Impuesto A Las Ventas Retenido </t>
  </si>
  <si>
    <t xml:space="preserve">Impuesto De Industria Y Comercio Retenido </t>
  </si>
  <si>
    <t xml:space="preserve">Descuentos Y Aportes De Nomina </t>
  </si>
  <si>
    <t xml:space="preserve">Acreedores Varios </t>
  </si>
  <si>
    <t xml:space="preserve">Impuestos Gravamenes Y Tasas </t>
  </si>
  <si>
    <t xml:space="preserve">Impuestos Sobre Las Ventas Por Pagar </t>
  </si>
  <si>
    <t xml:space="preserve">De Renta Y Complementarios </t>
  </si>
  <si>
    <t xml:space="preserve">De Industria Y Comercio </t>
  </si>
  <si>
    <t xml:space="preserve">Obligaciones Laborales </t>
  </si>
  <si>
    <t xml:space="preserve">Nomina Por Pagar </t>
  </si>
  <si>
    <t xml:space="preserve">Cesantias Consolidadas Porcion Corriente </t>
  </si>
  <si>
    <t xml:space="preserve">Intereses Sobre Cesantias </t>
  </si>
  <si>
    <t xml:space="preserve">Vacaciones Consolidadas </t>
  </si>
  <si>
    <t xml:space="preserve">Indemnizaciones Laborales </t>
  </si>
  <si>
    <t xml:space="preserve">Pasivos Estimados Y Provisiones </t>
  </si>
  <si>
    <t xml:space="preserve">Para Gastos </t>
  </si>
  <si>
    <t xml:space="preserve">Para Obligaciones Laborales </t>
  </si>
  <si>
    <t xml:space="preserve">Para Obligaciones Fiscales Y Contribuciones </t>
  </si>
  <si>
    <t xml:space="preserve">Para Contingencias </t>
  </si>
  <si>
    <t xml:space="preserve">Ingresos Recibidos Por Anticipado </t>
  </si>
  <si>
    <t xml:space="preserve">Otros Pasivos </t>
  </si>
  <si>
    <t xml:space="preserve">Anticipos Y Avances Recibidos </t>
  </si>
  <si>
    <t xml:space="preserve">Ingresos Recibidos Para Terceros </t>
  </si>
  <si>
    <t xml:space="preserve">Capital Social - Valor Neto - </t>
  </si>
  <si>
    <t xml:space="preserve">Capital Suscrito Y Pagado </t>
  </si>
  <si>
    <t xml:space="preserve">Superavit O Deficit De Capital </t>
  </si>
  <si>
    <t xml:space="preserve">Prima En Colocacion De Acciones Cuotas O Partes De </t>
  </si>
  <si>
    <t>Ganancias O Perdidas Acumuladas No Realizadas En Inversiones Disponibles Para La</t>
  </si>
  <si>
    <t xml:space="preserve">Valorizaciones De Propiedades Y Equipo </t>
  </si>
  <si>
    <t xml:space="preserve">Valorizaciones De Activos Intangibles </t>
  </si>
  <si>
    <t xml:space="preserve">Desvalorizaciones (Db) </t>
  </si>
  <si>
    <t xml:space="preserve">Valorizaciones De Otros Activos </t>
  </si>
  <si>
    <t xml:space="preserve">Reservas </t>
  </si>
  <si>
    <t xml:space="preserve">Reservas Obligatorias </t>
  </si>
  <si>
    <t xml:space="preserve">Reservas Estatutarias </t>
  </si>
  <si>
    <t xml:space="preserve">Reservas Ocasionales </t>
  </si>
  <si>
    <t xml:space="preserve">Revalorizacion Del Patrimonio </t>
  </si>
  <si>
    <t xml:space="preserve">De Capital Social </t>
  </si>
  <si>
    <t xml:space="preserve">Rendimientos Decretados En Especie </t>
  </si>
  <si>
    <t xml:space="preserve">Dividendos Decretados En Acciones </t>
  </si>
  <si>
    <t xml:space="preserve">Resultados Del Ejercicio </t>
  </si>
  <si>
    <t xml:space="preserve">Utilidad Del Ejercicio </t>
  </si>
  <si>
    <t xml:space="preserve">Perdida Del Ejercicio </t>
  </si>
  <si>
    <t xml:space="preserve">Resultados De Ejercicios Anteriores </t>
  </si>
  <si>
    <t xml:space="preserve">Utilidades Acumuladas </t>
  </si>
  <si>
    <t xml:space="preserve">Perdidas Acumuladas </t>
  </si>
  <si>
    <t xml:space="preserve">Operacionales </t>
  </si>
  <si>
    <t xml:space="preserve">Ingresos Por Honorarios </t>
  </si>
  <si>
    <t xml:space="preserve">Utilidad En La Valoracion De Derivados </t>
  </si>
  <si>
    <t xml:space="preserve">Ingresos Por Servicios </t>
  </si>
  <si>
    <t xml:space="preserve">No Operacionales </t>
  </si>
  <si>
    <t xml:space="preserve">Financieros </t>
  </si>
  <si>
    <t xml:space="preserve">Ajuste Por Valoracion De Inversiones A Precios De Mercado - Recursos Propios </t>
  </si>
  <si>
    <t xml:space="preserve">Utilidad Realizada En Inversiones Disponibles Para La Venta - Recursos Propios </t>
  </si>
  <si>
    <t xml:space="preserve">Utilidad En Venta De Inversiones - Recursos Propios </t>
  </si>
  <si>
    <t xml:space="preserve">Utilidad En Venta De Propiedades Y Equipo E Intangibles </t>
  </si>
  <si>
    <t xml:space="preserve">Dividendos Y Participaciones </t>
  </si>
  <si>
    <t xml:space="preserve">Recuperaciones </t>
  </si>
  <si>
    <t xml:space="preserve">Indemnizaciones </t>
  </si>
  <si>
    <t xml:space="preserve">Ingresos De Ejercicios Anteriores </t>
  </si>
  <si>
    <t xml:space="preserve">Operacionales De Administracion </t>
  </si>
  <si>
    <t xml:space="preserve">Gastos Del Personal </t>
  </si>
  <si>
    <t xml:space="preserve">Impuestos </t>
  </si>
  <si>
    <t xml:space="preserve">Divulgacion Y Publicidad </t>
  </si>
  <si>
    <t xml:space="preserve">Relaciones Publicas </t>
  </si>
  <si>
    <t xml:space="preserve">Utiles Papeleria Y Fotocopias </t>
  </si>
  <si>
    <t xml:space="preserve">Gastos De Sistematizacion </t>
  </si>
  <si>
    <t xml:space="preserve">Asambleas Y Simposios </t>
  </si>
  <si>
    <t xml:space="preserve">Adecuacion E Instalacion </t>
  </si>
  <si>
    <t xml:space="preserve">Depreciaciones </t>
  </si>
  <si>
    <t xml:space="preserve">Amortizaciones </t>
  </si>
  <si>
    <t xml:space="preserve">Provisiones </t>
  </si>
  <si>
    <t xml:space="preserve">Perdida En Venta Y Retiro De Bienes </t>
  </si>
  <si>
    <t xml:space="preserve">Perdida En Venta De Inversiones - Recursos Propios </t>
  </si>
  <si>
    <t xml:space="preserve">Gastos No Deducibles De Impuesto De Renta </t>
  </si>
  <si>
    <t xml:space="preserve">Gastos Extraordinarios </t>
  </si>
  <si>
    <t xml:space="preserve">PRdida Realizada En Inversiones Disponibles Para La Venta - Recursos Propios </t>
  </si>
  <si>
    <t xml:space="preserve">Gastos Ejercicios Anteriores </t>
  </si>
  <si>
    <t xml:space="preserve">Cambios </t>
  </si>
  <si>
    <t xml:space="preserve">Gastos Diversos </t>
  </si>
  <si>
    <t xml:space="preserve">Impuesto De Renta Y Complementarios </t>
  </si>
  <si>
    <t xml:space="preserve">Ganancias Y Perdidas </t>
  </si>
  <si>
    <t>Prima de Servicios</t>
  </si>
  <si>
    <t>Total Pasivo + Patrimonio</t>
  </si>
  <si>
    <t>Depositos</t>
  </si>
  <si>
    <t>Cuentas Por Cobrar Trabajadores</t>
  </si>
  <si>
    <t>Para Litigios Indemnizaciones y Demandas</t>
  </si>
  <si>
    <t>Impuestos Diferidos</t>
  </si>
  <si>
    <t>Otras Entidades Financieras Nacionales</t>
  </si>
  <si>
    <t>Compromisos de Transferencia en Operaciones Repo Cerrado</t>
  </si>
  <si>
    <t>Compromisos de Transferencia en Operaciones Simultaneas</t>
  </si>
  <si>
    <t>Depositos Recibidos</t>
  </si>
  <si>
    <t>BALANCE GENERAL</t>
  </si>
  <si>
    <t>Analisis Horizontal</t>
  </si>
  <si>
    <t>PATRIMONIO</t>
  </si>
  <si>
    <t>PASIVO</t>
  </si>
  <si>
    <t>ACTIVO</t>
  </si>
  <si>
    <t>Estados Financieros Bolsa Mercantil de Colombia</t>
  </si>
  <si>
    <t>ESTADO DE PERDIDAS Y GANACIAS</t>
  </si>
  <si>
    <t>INGRESOS</t>
  </si>
  <si>
    <t>GASTOS</t>
  </si>
  <si>
    <t xml:space="preserve">Servicios de Administración E Intermediación </t>
  </si>
  <si>
    <t xml:space="preserve">Dividendos Participaciones y Unidades </t>
  </si>
  <si>
    <t>Rendimientos En Operaciones Repo Simultaneas Y Transferencia Temporal de Valores</t>
  </si>
  <si>
    <t>Recuperaciones Riesgo Operativo</t>
  </si>
  <si>
    <t>Crecimiento MCP</t>
  </si>
  <si>
    <t>Año</t>
  </si>
  <si>
    <t>RF</t>
  </si>
  <si>
    <t>SAG</t>
  </si>
  <si>
    <t>FWD</t>
  </si>
  <si>
    <t>DIS</t>
  </si>
  <si>
    <t>VF</t>
  </si>
  <si>
    <t>CDM</t>
  </si>
  <si>
    <t>MCP</t>
  </si>
  <si>
    <t>Convenios</t>
  </si>
  <si>
    <t>Gasto GCN</t>
  </si>
  <si>
    <t>Gasto nacional no financiero</t>
  </si>
  <si>
    <t>Gasto de funcionamiento</t>
  </si>
  <si>
    <t>Tarifa equivalente BMC</t>
  </si>
  <si>
    <t>Tarifa equivalente CCM</t>
  </si>
  <si>
    <t>Ingresos equivalentes BMC</t>
  </si>
  <si>
    <t>TOTAL</t>
  </si>
  <si>
    <t>Volumen Negocios BMC</t>
  </si>
  <si>
    <t>Cifras en Millones de Pesos</t>
  </si>
  <si>
    <t>Proyección</t>
  </si>
  <si>
    <t>EBITDA</t>
  </si>
  <si>
    <t>A.Vertical</t>
  </si>
  <si>
    <t>Indicadores Financieros Tradicionales</t>
  </si>
  <si>
    <t>Liquidez</t>
  </si>
  <si>
    <t>Activo Corriente</t>
  </si>
  <si>
    <t>Activo No Corriente</t>
  </si>
  <si>
    <t>Total Activo</t>
  </si>
  <si>
    <t>Pasivo Corriente</t>
  </si>
  <si>
    <r>
      <rPr>
        <u/>
        <sz val="11"/>
        <color theme="1"/>
        <rFont val="Calibri"/>
        <family val="2"/>
        <scheme val="minor"/>
      </rPr>
      <t>Capital de trabajo:</t>
    </r>
    <r>
      <rPr>
        <i/>
        <sz val="11"/>
        <color theme="1"/>
        <rFont val="Calibri"/>
        <family val="2"/>
        <scheme val="minor"/>
      </rPr>
      <t xml:space="preserve"> representa el margen de seguridad que tiene la BMC para cumplir sus obligaciones de corto plazo</t>
    </r>
  </si>
  <si>
    <r>
      <rPr>
        <u/>
        <sz val="11"/>
        <color theme="1"/>
        <rFont val="Calibri"/>
        <family val="2"/>
        <scheme val="minor"/>
      </rPr>
      <t xml:space="preserve">Razon Corriente: </t>
    </r>
    <r>
      <rPr>
        <i/>
        <sz val="11"/>
        <color theme="1"/>
        <rFont val="Calibri"/>
        <family val="2"/>
        <scheme val="minor"/>
      </rPr>
      <t xml:space="preserve">indica con cuantos $ cuenta la BMC para respaldar cada peso de pasivo que tiene </t>
    </r>
  </si>
  <si>
    <t>Endeudamiento</t>
  </si>
  <si>
    <r>
      <rPr>
        <u/>
        <sz val="11"/>
        <color theme="1"/>
        <rFont val="Calibri"/>
        <family val="2"/>
        <scheme val="minor"/>
      </rPr>
      <t>Razon de Endeudamiento: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porcentaje de los activos comprometidos con acreedores</t>
    </r>
  </si>
  <si>
    <t>Rentabilidad</t>
  </si>
  <si>
    <t>EBIT</t>
  </si>
  <si>
    <r>
      <rPr>
        <u/>
        <sz val="11"/>
        <color theme="1"/>
        <rFont val="Calibri"/>
        <family val="2"/>
        <scheme val="minor"/>
      </rPr>
      <t>Razón de Deuda Financiera: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1"/>
        <color theme="1"/>
        <rFont val="Calibri"/>
        <family val="2"/>
        <scheme val="minor"/>
      </rPr>
      <t>relación deudas financieras frente al activo total</t>
    </r>
  </si>
  <si>
    <r>
      <t xml:space="preserve">Razón de Deuda de corto plazo: </t>
    </r>
    <r>
      <rPr>
        <i/>
        <sz val="11"/>
        <color theme="1"/>
        <rFont val="Calibri"/>
        <family val="2"/>
        <scheme val="minor"/>
      </rPr>
      <t>relación deuda corto plazo frente a pasivo total</t>
    </r>
  </si>
  <si>
    <r>
      <t>Razón Deuda Patrimonio: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relacion del pasivo total frente al patrimonio</t>
    </r>
  </si>
  <si>
    <t>Industria</t>
  </si>
  <si>
    <r>
      <t xml:space="preserve">Margen Operacional: </t>
    </r>
    <r>
      <rPr>
        <i/>
        <sz val="11"/>
        <rFont val="Calibri"/>
        <family val="2"/>
        <scheme val="minor"/>
      </rPr>
      <t xml:space="preserve">utilidad operacional de la compañía. </t>
    </r>
  </si>
  <si>
    <r>
      <t xml:space="preserve">Margen EBIDTA: </t>
    </r>
    <r>
      <rPr>
        <i/>
        <sz val="11"/>
        <rFont val="Calibri"/>
        <family val="2"/>
        <scheme val="minor"/>
      </rPr>
      <t>indica el porcentaje de EBIDTA que se genera en la compañai a apartir de los ingresos operacionales.</t>
    </r>
  </si>
  <si>
    <t>Anticipos de Impuestos</t>
  </si>
  <si>
    <t>Impuesto de Renta por pagar</t>
  </si>
  <si>
    <t>Impuestos sobre EBIT</t>
  </si>
  <si>
    <t>Impuestos EBIT</t>
  </si>
  <si>
    <t>Tasa efectiva de tributación</t>
  </si>
  <si>
    <t>Utilidad antes de Impuestos</t>
  </si>
  <si>
    <t>Impuesto de Renta y Complementarios</t>
  </si>
  <si>
    <t>Impuesto sobre ingresos no operacionales</t>
  </si>
  <si>
    <t>Impuestos sobre gastos no operacionales</t>
  </si>
  <si>
    <t>NOPLAT</t>
  </si>
  <si>
    <t>Precios al Productor (IPP variación anual)</t>
  </si>
  <si>
    <t>PIB (variación anual)</t>
  </si>
  <si>
    <t>Inflación (IPC variación anual)</t>
  </si>
  <si>
    <t>Impuesto de Renta</t>
  </si>
  <si>
    <t>WACC</t>
  </si>
  <si>
    <t>Promedio Historico</t>
  </si>
  <si>
    <t>Promedio 3 Ultimos Años</t>
  </si>
  <si>
    <t>NOPLAT (Net operating profit less adjusted taxes)</t>
  </si>
  <si>
    <t>FLUJO DE CAJA</t>
  </si>
  <si>
    <t>Noplat</t>
  </si>
  <si>
    <t>(+) Depreciaciones</t>
  </si>
  <si>
    <t>(+) Amortizaciones</t>
  </si>
  <si>
    <t>(+) Provisiones</t>
  </si>
  <si>
    <t>Capital de Trabajo</t>
  </si>
  <si>
    <t>Neto Otros Activos y Pasivos</t>
  </si>
  <si>
    <t>Flujo de Caja Libre</t>
  </si>
  <si>
    <t>Flujo de Caja Bruto</t>
  </si>
  <si>
    <t>CAPEX (Gastos de Capital: Inversiones de Largo Plazo Operativas: Activos No Corrientes)</t>
  </si>
  <si>
    <t>PERPET</t>
  </si>
  <si>
    <t>Factor de Descuento</t>
  </si>
  <si>
    <t>g</t>
  </si>
  <si>
    <t>Valor Presente del Flujo de Caja Libre</t>
  </si>
  <si>
    <r>
      <t>Rentabilidad del Patrimonio (ROE):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indcia el porcentaje de utilidad que genera la compañía frente a los recursos  aprotados por los accionistas</t>
    </r>
  </si>
  <si>
    <t>ROE</t>
  </si>
  <si>
    <t>VALOR EMPRESA</t>
  </si>
  <si>
    <t>Reserva Legal</t>
  </si>
  <si>
    <t>Reparticion de Dividendos</t>
  </si>
  <si>
    <t>N/A</t>
  </si>
  <si>
    <t>CO2</t>
  </si>
  <si>
    <t>Proyecto Gas</t>
  </si>
  <si>
    <t>Proyecto transporte</t>
  </si>
  <si>
    <t>Proyecto Derivados</t>
  </si>
  <si>
    <t>Proyecto Transporte</t>
  </si>
  <si>
    <t>Cifras en Millones</t>
  </si>
  <si>
    <t>Cifras en Miles de Millones</t>
  </si>
  <si>
    <t>OMAS</t>
  </si>
  <si>
    <t>PROMEDIO</t>
  </si>
  <si>
    <t>OR</t>
  </si>
  <si>
    <t>Ingresos Operacionales</t>
  </si>
  <si>
    <t>Gastos Operacionales de Administración</t>
  </si>
  <si>
    <t>Coeficiente de Correlación (ingresos y gastos operacionales)</t>
  </si>
  <si>
    <t>Aspectos Macroeconomicos</t>
  </si>
  <si>
    <t>Gastos Operacionales</t>
  </si>
  <si>
    <t>Gastos Dependientes de Personal</t>
  </si>
  <si>
    <t>Tarifas</t>
  </si>
  <si>
    <t>Gerente</t>
  </si>
  <si>
    <t>Directores</t>
  </si>
  <si>
    <t>Profesionales</t>
  </si>
  <si>
    <t>Secretarias</t>
  </si>
  <si>
    <t>Honorario/Junta/Miembro</t>
  </si>
  <si>
    <t>Honorario Anual Revisoría Fiscal</t>
  </si>
  <si>
    <t>Honorario/Comité/Miembro</t>
  </si>
  <si>
    <t xml:space="preserve">Sueldo </t>
  </si>
  <si>
    <t>Factor Prestacional</t>
  </si>
  <si>
    <t>Salario Integral</t>
  </si>
  <si>
    <t>Seguro/Empleado/Año</t>
  </si>
  <si>
    <t>Servicios/Empleado/Año</t>
  </si>
  <si>
    <t>Papelería/Empleado/Año</t>
  </si>
  <si>
    <t>Diversos/Empleado/Año</t>
  </si>
  <si>
    <t>Gastos de Viaje/Empleado/Año</t>
  </si>
  <si>
    <t>% Mantenimiento sobre activos</t>
  </si>
  <si>
    <t>Junta Directiva</t>
  </si>
  <si>
    <t>Revisoría Fiscal</t>
  </si>
  <si>
    <t>Comité de Valoración</t>
  </si>
  <si>
    <t>Secretarias y Técnicos</t>
  </si>
  <si>
    <t>Número de Personas</t>
  </si>
  <si>
    <t>Sueldo</t>
  </si>
  <si>
    <t>Prestaciones</t>
  </si>
  <si>
    <t>Capacitaciones</t>
  </si>
  <si>
    <t>Gastos de Personal</t>
  </si>
  <si>
    <t>Asesorías Jurídicas</t>
  </si>
  <si>
    <t>Asesorías Técnicas</t>
  </si>
  <si>
    <t>Honorarios</t>
  </si>
  <si>
    <t>ICA</t>
  </si>
  <si>
    <t>IVA No descontable</t>
  </si>
  <si>
    <t>Al Patrimonio</t>
  </si>
  <si>
    <t>Impuestos</t>
  </si>
  <si>
    <t>Oficinas</t>
  </si>
  <si>
    <t>Computadores</t>
  </si>
  <si>
    <t>Arrendamiento</t>
  </si>
  <si>
    <t>Bloomberg</t>
  </si>
  <si>
    <t>Roiters</t>
  </si>
  <si>
    <t>Contribuciones y Afiliaciones</t>
  </si>
  <si>
    <t>Seguros</t>
  </si>
  <si>
    <t>Servicios</t>
  </si>
  <si>
    <t>Divulgación</t>
  </si>
  <si>
    <t>Publicidad</t>
  </si>
  <si>
    <t>Programa de Capacitaciones</t>
  </si>
  <si>
    <t>Relaciones Públicas</t>
  </si>
  <si>
    <t>Asambleas y Simposios</t>
  </si>
  <si>
    <t>Mercadeo</t>
  </si>
  <si>
    <t>Útiles Papelería y Fotocopias</t>
  </si>
  <si>
    <t>Notariales</t>
  </si>
  <si>
    <t>Registro Mercantil</t>
  </si>
  <si>
    <t>Trámites y Licencias</t>
  </si>
  <si>
    <t>Gastos Legales</t>
  </si>
  <si>
    <t>Edificaciones</t>
  </si>
  <si>
    <t>Oficina</t>
  </si>
  <si>
    <t>Computación y Comunicaciones</t>
  </si>
  <si>
    <t>Transporte</t>
  </si>
  <si>
    <t>Mantenimiento y Reparaciones</t>
  </si>
  <si>
    <t>Gastos de Viaje</t>
  </si>
  <si>
    <t>Diversos</t>
  </si>
  <si>
    <t>Escritorios</t>
  </si>
  <si>
    <t>Teléfonos</t>
  </si>
  <si>
    <t>Impresoras</t>
  </si>
  <si>
    <t>Servidores</t>
  </si>
  <si>
    <t>Depreciaciones</t>
  </si>
  <si>
    <t>Desarrollo de Software</t>
  </si>
  <si>
    <t>Amortizaciones</t>
  </si>
  <si>
    <t>TOTAL GASTOS OPERACIONALES</t>
  </si>
  <si>
    <t>Inversiones</t>
  </si>
  <si>
    <t>Cantidad</t>
  </si>
  <si>
    <t>Valor Unitario</t>
  </si>
  <si>
    <t>Valor Total</t>
  </si>
  <si>
    <t>Vida Útil</t>
  </si>
  <si>
    <t>Activos Fijos</t>
  </si>
  <si>
    <t>Deuda</t>
  </si>
  <si>
    <t>Capital</t>
  </si>
  <si>
    <t>Requerimientos de Capital Total</t>
  </si>
  <si>
    <t>Amortización Deuda</t>
  </si>
  <si>
    <t>Tasa</t>
  </si>
  <si>
    <t>E.A.</t>
  </si>
  <si>
    <t>Plazo</t>
  </si>
  <si>
    <t>años</t>
  </si>
  <si>
    <t>Activos Intangibles</t>
  </si>
  <si>
    <t>TIO</t>
  </si>
  <si>
    <t>Leasing y Arrendamientos</t>
  </si>
  <si>
    <t>Oficinas/ Mes</t>
  </si>
  <si>
    <t>Computadores/ Mes</t>
  </si>
  <si>
    <t>CAPEX</t>
  </si>
  <si>
    <t>Necesidad de Caja</t>
  </si>
  <si>
    <t>Arrendamientos</t>
  </si>
  <si>
    <t>Leasing</t>
  </si>
  <si>
    <t>Amortización de deuda</t>
  </si>
  <si>
    <t>Saldo Inicial</t>
  </si>
  <si>
    <t>Cuota</t>
  </si>
  <si>
    <t xml:space="preserve">Abono Capital </t>
  </si>
  <si>
    <t>Abono Intereses</t>
  </si>
  <si>
    <t>Saldo Final</t>
  </si>
  <si>
    <t>Aporte Accionistas</t>
  </si>
  <si>
    <t>Inflación Acumulada</t>
  </si>
  <si>
    <t>http://investigaciones.bancolombia.com/inveconomicas/informes/PDF.aspx?IdDoc=30037</t>
  </si>
  <si>
    <t>Nuevos Proyectos</t>
  </si>
  <si>
    <t>Actuales</t>
  </si>
  <si>
    <t>Nuevos</t>
  </si>
  <si>
    <t>Total</t>
  </si>
  <si>
    <t>Promedio</t>
  </si>
  <si>
    <t>Crecimiento</t>
  </si>
  <si>
    <t>Derivados</t>
  </si>
  <si>
    <t>Gas</t>
  </si>
  <si>
    <t>-</t>
  </si>
  <si>
    <t>Lineas de Negocio Actual</t>
  </si>
  <si>
    <t>Margen EBITDA</t>
  </si>
  <si>
    <t>TOTAL ACTIVO FIJO</t>
  </si>
  <si>
    <t xml:space="preserve">Gastos De Personal </t>
  </si>
  <si>
    <t xml:space="preserve">Honorarios y Comisiones </t>
  </si>
  <si>
    <t xml:space="preserve">Rubro </t>
  </si>
  <si>
    <t xml:space="preserve">Contribuciones y Afiliaciones </t>
  </si>
  <si>
    <t xml:space="preserve">Servicios de Administración e Intermediación </t>
  </si>
  <si>
    <t xml:space="preserve">Asambleas y Simposios </t>
  </si>
  <si>
    <t xml:space="preserve">Mantenimiento y Reparaciones </t>
  </si>
  <si>
    <t xml:space="preserve">Gastos de Viaje </t>
  </si>
  <si>
    <t xml:space="preserve">Pérdida Realizada En Inversiones Disponibles Para La Venta - Recursos Propios </t>
  </si>
  <si>
    <t>Cambios en impuestos diferidos</t>
  </si>
  <si>
    <t>Utilidad del Ejercicio</t>
  </si>
  <si>
    <t>Histórico</t>
  </si>
  <si>
    <t xml:space="preserve">Participación En Fondos A La Vista </t>
  </si>
  <si>
    <t xml:space="preserve">Inversiones Negociables En Títulos Participativos - Recursos Propios </t>
  </si>
  <si>
    <t>Inversiones Negociables En Títulos De Deuda Publica Interna - Recursos Propios</t>
  </si>
  <si>
    <t xml:space="preserve">Inversiones Negociables En Títulos De Deuda Publica Externa - Recursos Propios </t>
  </si>
  <si>
    <t xml:space="preserve">Inversiones Negociables En Títulos De Deuda Privada - Recursos Propios </t>
  </si>
  <si>
    <t>Inversiones Negociables En Títulos De Deuda Publica Externa Emitidos O Garantiz</t>
  </si>
  <si>
    <t>Inversiones Disponibles Para La Venta En Títulos Participativos - Recursos Prop</t>
  </si>
  <si>
    <t>Inversiones Disponibles Para La Venta En Títulos De Deuda Publica Interna - Recu</t>
  </si>
  <si>
    <t>Inversiones Disponibles Para La Venta En Títulos De Deuda Publica Externa - Rec</t>
  </si>
  <si>
    <t>Inversiones Disponibles Para La Venta En Títulos De Deuda Privada - Recursos Pr</t>
  </si>
  <si>
    <t>Inversiones Disponibles Para La Venta En Títulos De Deuda Publica Externa Emiti</t>
  </si>
  <si>
    <t>Inversiones En Títulos Sobre Productos Y En Productos Agropecuarios Y Agroindust</t>
  </si>
  <si>
    <t xml:space="preserve">Provisión De Inversiones Negociables En Títulos De Deuda (Cr) </t>
  </si>
  <si>
    <t xml:space="preserve">Provisión De Inversiones Negociables En Títulos Participativos (Cr) </t>
  </si>
  <si>
    <t xml:space="preserve">Provisión De Inversiones Para Mantener Hasta El Vencimiento (Cr) </t>
  </si>
  <si>
    <t xml:space="preserve">Provisión De Inversiones Disponibles Para La Venta En Títulos De Deuda (Cr) </t>
  </si>
  <si>
    <t>Provisión De Inversiones Disponibles Para La Venta En Títulos Participativos (Cr)</t>
  </si>
  <si>
    <t>Emisores De Valores Y De Títulos Sobre Productos Agropecuarios Y Agroindustriales</t>
  </si>
  <si>
    <t xml:space="preserve">Por Administración </t>
  </si>
  <si>
    <t>Dividendos Y Participaciones En Títulos De Baja O Mínima Bursatilidad O Sin Coti</t>
  </si>
  <si>
    <t>Depósitos</t>
  </si>
  <si>
    <t xml:space="preserve">Equipo De Computación Y Comunicación </t>
  </si>
  <si>
    <t xml:space="preserve">Depreciación Acumulada (Cr) </t>
  </si>
  <si>
    <t xml:space="preserve">Depreciación Y/O Amortización Acumulada (Cr) </t>
  </si>
  <si>
    <t xml:space="preserve">Valorización De Inversiones Disponibles Para La Venta </t>
  </si>
  <si>
    <t xml:space="preserve">Retención En La Fuente </t>
  </si>
  <si>
    <t xml:space="preserve">Impuestos Gravámenes Y Tasas </t>
  </si>
  <si>
    <t xml:space="preserve">Cesantías Consolidadas Porción Corriente </t>
  </si>
  <si>
    <t xml:space="preserve">Intereses Sobre Cesantías </t>
  </si>
  <si>
    <t>Depósitos Recibidos</t>
  </si>
  <si>
    <t xml:space="preserve">Superávit O Déficit De Capital </t>
  </si>
  <si>
    <t xml:space="preserve">Prima En Colocación De Acciones Cuotas O Partes De </t>
  </si>
  <si>
    <t xml:space="preserve">Revalorización Del Patrimonio </t>
  </si>
  <si>
    <t>Análisis Horizontal</t>
  </si>
  <si>
    <t>Análisis Vertical</t>
  </si>
  <si>
    <t xml:space="preserve">Utilidad En La Valoración De Derivados </t>
  </si>
  <si>
    <t xml:space="preserve">Ajuste Por Valoración De Inversiones A Precios De Mercado - Recursos Propios </t>
  </si>
  <si>
    <t xml:space="preserve">Operacionales De Administración </t>
  </si>
  <si>
    <t xml:space="preserve">Gastos De Sistematización </t>
  </si>
  <si>
    <t xml:space="preserve">Adecuación E Instalación </t>
  </si>
  <si>
    <t xml:space="preserve">Adecuación e Instalación </t>
  </si>
  <si>
    <t xml:space="preserve">Útiles Papelería y Fotocopias </t>
  </si>
  <si>
    <t xml:space="preserve">Divulgación y Publicidad </t>
  </si>
  <si>
    <t>ANALISIS DE SENSIBILIDAD</t>
  </si>
  <si>
    <t>Valor Empresa</t>
  </si>
  <si>
    <t>Impacto en el valor de la compañía ante una variación a la tasa de crecimiento (g)</t>
  </si>
  <si>
    <t>Impacto en el valor de la compañía ante una variación a la tasa de descuento (WACC)</t>
  </si>
  <si>
    <t>Fecha</t>
  </si>
  <si>
    <t>Precio</t>
  </si>
  <si>
    <t>g (crecimiento estimado del flujo de caja)</t>
  </si>
  <si>
    <t>Precio de la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</si>
</sst>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[$$-240A]\ #,##0_ ;[Red]\-[$$-240A]\ #,##0\ "/>
    <numFmt numFmtId="165" formatCode="0_);\(0\)"/>
    <numFmt numFmtId="166" formatCode="_(* #,##0_);_(* \(#,##0\);_(* &quot;-&quot;??_);_(@_)"/>
    <numFmt numFmtId="167" formatCode="0.0%"/>
    <numFmt numFmtId="168" formatCode="0.000"/>
    <numFmt numFmtId="169" formatCode="_(* #,##0.000_);_(* \(#,##0.000\);_(* &quot;-&quot;??_);_(@_)"/>
    <numFmt numFmtId="170" formatCode="0.000%"/>
    <numFmt numFmtId="171" formatCode="_(&quot;$&quot;\ * #,##0_);_(&quot;$&quot;\ * \(#,##0\);_(&quot;$&quot;\ * &quot;-&quot;??_);_(@_)"/>
  </numFmts>
  <fonts count="44" x14ac:knownFonts="1">
    <font>
      <sz val="11"/>
      <color theme="1"/>
      <name val="Calibri"/>
      <family val="2"/>
      <scheme val="minor"/>
    </font>
    <font>
      <sz val="7.5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0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8"/>
      <color theme="3"/>
      <name val="Calibri"/>
      <family val="2"/>
      <scheme val="minor"/>
    </font>
    <font>
      <b/>
      <i/>
      <sz val="8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3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i/>
      <sz val="8"/>
      <color theme="6" tint="-0.249977111117893"/>
      <name val="Calibri"/>
      <family val="2"/>
      <scheme val="minor"/>
    </font>
    <font>
      <sz val="8"/>
      <color theme="6" tint="-0.249977111117893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sz val="8"/>
      <color rgb="FF003366"/>
      <name val="Tahoma"/>
      <family val="2"/>
    </font>
    <font>
      <sz val="8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1" tint="0.499984740745262"/>
      </patternFill>
    </fill>
    <fill>
      <patternFill patternType="solid">
        <fgColor theme="9" tint="-0.249977111117893"/>
        <bgColor theme="1" tint="0.49998474074526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5F7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E8EAEE"/>
      </left>
      <right style="medium">
        <color rgb="FFE8EAEE"/>
      </right>
      <top style="medium">
        <color rgb="FFE8EAEE"/>
      </top>
      <bottom style="medium">
        <color rgb="FFE8EAEE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1" fillId="0" borderId="0"/>
    <xf numFmtId="0" fontId="35" fillId="0" borderId="0" applyNumberFormat="0" applyFill="0" applyBorder="0" applyAlignment="0" applyProtection="0"/>
  </cellStyleXfs>
  <cellXfs count="408">
    <xf numFmtId="0" fontId="0" fillId="0" borderId="0" xfId="0"/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0" fontId="7" fillId="0" borderId="0" xfId="0" applyFont="1" applyBorder="1" applyAlignment="1">
      <alignment horizontal="left" vertical="center" wrapText="1" indent="2"/>
    </xf>
    <xf numFmtId="0" fontId="8" fillId="0" borderId="0" xfId="0" applyFont="1" applyFill="1" applyBorder="1" applyAlignment="1">
      <alignment horizontal="left" vertical="center" wrapText="1"/>
    </xf>
    <xf numFmtId="43" fontId="3" fillId="0" borderId="0" xfId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right" vertical="center" wrapText="1"/>
    </xf>
    <xf numFmtId="43" fontId="3" fillId="0" borderId="3" xfId="1" applyFont="1" applyFill="1" applyBorder="1" applyAlignment="1">
      <alignment horizontal="right" vertical="center" wrapText="1"/>
    </xf>
    <xf numFmtId="43" fontId="3" fillId="0" borderId="1" xfId="1" applyFont="1" applyBorder="1" applyAlignment="1">
      <alignment horizontal="right" vertical="center" wrapText="1"/>
    </xf>
    <xf numFmtId="43" fontId="0" fillId="0" borderId="3" xfId="1" applyFont="1" applyFill="1" applyBorder="1" applyAlignment="1">
      <alignment horizontal="right" vertical="center" wrapText="1"/>
    </xf>
    <xf numFmtId="43" fontId="0" fillId="0" borderId="4" xfId="1" applyFont="1" applyFill="1" applyBorder="1" applyAlignment="1">
      <alignment horizontal="right" vertical="center" wrapText="1"/>
    </xf>
    <xf numFmtId="43" fontId="0" fillId="0" borderId="0" xfId="1" applyFont="1" applyFill="1" applyBorder="1" applyAlignment="1">
      <alignment horizontal="right" vertical="center"/>
    </xf>
    <xf numFmtId="43" fontId="4" fillId="0" borderId="0" xfId="1" applyFont="1" applyBorder="1" applyAlignment="1">
      <alignment horizontal="right" vertical="center" wrapText="1"/>
    </xf>
    <xf numFmtId="43" fontId="0" fillId="0" borderId="0" xfId="1" applyFont="1" applyFill="1" applyBorder="1" applyAlignment="1">
      <alignment horizontal="right" vertical="center" wrapText="1"/>
    </xf>
    <xf numFmtId="43" fontId="0" fillId="0" borderId="0" xfId="1" applyFont="1" applyBorder="1" applyAlignment="1">
      <alignment horizontal="right" vertical="center"/>
    </xf>
    <xf numFmtId="9" fontId="0" fillId="0" borderId="0" xfId="2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right" vertical="center" wrapText="1"/>
    </xf>
    <xf numFmtId="0" fontId="3" fillId="5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9" fontId="0" fillId="0" borderId="0" xfId="2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3" fontId="4" fillId="0" borderId="0" xfId="0" applyNumberFormat="1" applyFont="1" applyFill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43" fontId="1" fillId="0" borderId="0" xfId="1" applyNumberFormat="1" applyFont="1" applyBorder="1" applyAlignment="1">
      <alignment horizontal="right" wrapText="1"/>
    </xf>
    <xf numFmtId="43" fontId="3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3" fontId="2" fillId="0" borderId="6" xfId="1" applyFont="1" applyBorder="1" applyAlignment="1">
      <alignment horizontal="right" vertical="center" wrapText="1"/>
    </xf>
    <xf numFmtId="43" fontId="2" fillId="0" borderId="3" xfId="1" applyFont="1" applyBorder="1" applyAlignment="1">
      <alignment horizontal="right" vertical="center" wrapText="1"/>
    </xf>
    <xf numFmtId="43" fontId="2" fillId="0" borderId="4" xfId="1" applyFont="1" applyBorder="1" applyAlignment="1">
      <alignment horizontal="right" vertical="center" wrapText="1"/>
    </xf>
    <xf numFmtId="43" fontId="2" fillId="0" borderId="7" xfId="1" applyFont="1" applyBorder="1" applyAlignment="1">
      <alignment horizontal="right" vertical="center" wrapText="1"/>
    </xf>
    <xf numFmtId="43" fontId="2" fillId="0" borderId="0" xfId="1" applyFont="1" applyBorder="1" applyAlignment="1">
      <alignment horizontal="right" vertical="center" wrapText="1"/>
    </xf>
    <xf numFmtId="43" fontId="3" fillId="0" borderId="6" xfId="1" applyFont="1" applyBorder="1" applyAlignment="1">
      <alignment horizontal="right" vertical="center" wrapText="1"/>
    </xf>
    <xf numFmtId="43" fontId="3" fillId="0" borderId="2" xfId="1" applyFont="1" applyBorder="1" applyAlignment="1">
      <alignment horizontal="right" vertical="center" wrapText="1"/>
    </xf>
    <xf numFmtId="43" fontId="3" fillId="0" borderId="3" xfId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43" fontId="1" fillId="0" borderId="0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64" fontId="0" fillId="0" borderId="0" xfId="0" applyNumberFormat="1" applyFill="1" applyBorder="1"/>
    <xf numFmtId="0" fontId="11" fillId="0" borderId="0" xfId="0" applyFont="1" applyAlignment="1">
      <alignment vertical="center"/>
    </xf>
    <xf numFmtId="165" fontId="0" fillId="9" borderId="0" xfId="1" applyNumberFormat="1" applyFont="1" applyFill="1" applyBorder="1" applyAlignment="1">
      <alignment horizontal="center"/>
    </xf>
    <xf numFmtId="166" fontId="0" fillId="9" borderId="0" xfId="1" applyNumberFormat="1" applyFont="1" applyFill="1" applyBorder="1"/>
    <xf numFmtId="166" fontId="0" fillId="9" borderId="0" xfId="0" applyNumberFormat="1" applyFill="1" applyBorder="1"/>
    <xf numFmtId="164" fontId="0" fillId="0" borderId="0" xfId="0" applyNumberFormat="1" applyBorder="1"/>
    <xf numFmtId="164" fontId="3" fillId="6" borderId="0" xfId="0" applyNumberFormat="1" applyFont="1" applyFill="1" applyBorder="1" applyAlignment="1">
      <alignment horizontal="center"/>
    </xf>
    <xf numFmtId="164" fontId="3" fillId="6" borderId="0" xfId="0" applyNumberFormat="1" applyFont="1" applyFill="1" applyBorder="1"/>
    <xf numFmtId="10" fontId="3" fillId="6" borderId="0" xfId="0" applyNumberFormat="1" applyFont="1" applyFill="1" applyBorder="1"/>
    <xf numFmtId="165" fontId="0" fillId="0" borderId="0" xfId="1" applyNumberFormat="1" applyFont="1" applyBorder="1" applyAlignment="1">
      <alignment horizontal="center"/>
    </xf>
    <xf numFmtId="166" fontId="0" fillId="0" borderId="0" xfId="1" applyNumberFormat="1" applyFont="1" applyBorder="1"/>
    <xf numFmtId="10" fontId="0" fillId="0" borderId="0" xfId="2" applyNumberFormat="1" applyFont="1" applyBorder="1"/>
    <xf numFmtId="10" fontId="3" fillId="0" borderId="0" xfId="2" applyNumberFormat="1" applyFont="1" applyFill="1" applyBorder="1"/>
    <xf numFmtId="10" fontId="3" fillId="0" borderId="0" xfId="0" applyNumberFormat="1" applyFont="1" applyFill="1" applyBorder="1"/>
    <xf numFmtId="10" fontId="3" fillId="0" borderId="0" xfId="0" applyNumberFormat="1" applyFont="1" applyBorder="1"/>
    <xf numFmtId="10" fontId="3" fillId="0" borderId="0" xfId="2" applyNumberFormat="1" applyFont="1" applyBorder="1"/>
    <xf numFmtId="9" fontId="0" fillId="0" borderId="0" xfId="2" applyFont="1" applyBorder="1"/>
    <xf numFmtId="164" fontId="3" fillId="6" borderId="0" xfId="0" applyNumberFormat="1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6" fontId="0" fillId="0" borderId="0" xfId="0" applyNumberFormat="1" applyBorder="1"/>
    <xf numFmtId="0" fontId="0" fillId="10" borderId="0" xfId="0" applyFill="1"/>
    <xf numFmtId="0" fontId="3" fillId="10" borderId="0" xfId="0" applyFont="1" applyFill="1"/>
    <xf numFmtId="166" fontId="10" fillId="9" borderId="0" xfId="1" applyNumberFormat="1" applyFont="1" applyFill="1" applyBorder="1" applyAlignment="1">
      <alignment horizontal="right" wrapText="1"/>
    </xf>
    <xf numFmtId="43" fontId="2" fillId="0" borderId="3" xfId="1" applyFont="1" applyFill="1" applyBorder="1" applyAlignment="1">
      <alignment horizontal="right" vertical="center" wrapText="1"/>
    </xf>
    <xf numFmtId="164" fontId="12" fillId="6" borderId="0" xfId="0" applyNumberFormat="1" applyFont="1" applyFill="1" applyBorder="1" applyAlignment="1">
      <alignment horizontal="center" vertical="center" wrapText="1"/>
    </xf>
    <xf numFmtId="43" fontId="0" fillId="0" borderId="0" xfId="0" applyNumberFormat="1" applyFont="1" applyFill="1" applyBorder="1" applyAlignment="1">
      <alignment vertical="center"/>
    </xf>
    <xf numFmtId="43" fontId="0" fillId="0" borderId="0" xfId="0" applyNumberFormat="1" applyFont="1" applyBorder="1" applyAlignment="1">
      <alignment vertical="center"/>
    </xf>
    <xf numFmtId="10" fontId="13" fillId="0" borderId="3" xfId="2" applyNumberFormat="1" applyFont="1" applyFill="1" applyBorder="1" applyAlignment="1">
      <alignment horizontal="center" vertical="center" wrapText="1"/>
    </xf>
    <xf numFmtId="10" fontId="14" fillId="0" borderId="3" xfId="2" applyNumberFormat="1" applyFont="1" applyFill="1" applyBorder="1" applyAlignment="1">
      <alignment horizontal="center" vertical="center" wrapText="1"/>
    </xf>
    <xf numFmtId="10" fontId="14" fillId="0" borderId="4" xfId="2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9" fontId="13" fillId="0" borderId="2" xfId="2" applyFont="1" applyFill="1" applyBorder="1" applyAlignment="1">
      <alignment horizontal="center" vertical="center" wrapText="1"/>
    </xf>
    <xf numFmtId="10" fontId="13" fillId="0" borderId="2" xfId="2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10" fontId="13" fillId="0" borderId="3" xfId="2" applyNumberFormat="1" applyFont="1" applyBorder="1" applyAlignment="1">
      <alignment horizontal="center" vertical="center"/>
    </xf>
    <xf numFmtId="10" fontId="14" fillId="0" borderId="3" xfId="2" applyNumberFormat="1" applyFont="1" applyBorder="1" applyAlignment="1">
      <alignment horizontal="center" vertical="center" wrapText="1"/>
    </xf>
    <xf numFmtId="10" fontId="13" fillId="0" borderId="3" xfId="2" applyNumberFormat="1" applyFont="1" applyBorder="1" applyAlignment="1">
      <alignment horizontal="center" vertical="center" wrapText="1"/>
    </xf>
    <xf numFmtId="10" fontId="14" fillId="0" borderId="4" xfId="2" applyNumberFormat="1" applyFont="1" applyBorder="1" applyAlignment="1">
      <alignment horizontal="center" vertical="center" wrapText="1"/>
    </xf>
    <xf numFmtId="10" fontId="13" fillId="0" borderId="2" xfId="2" applyNumberFormat="1" applyFont="1" applyBorder="1" applyAlignment="1">
      <alignment horizontal="center" vertical="center" wrapText="1"/>
    </xf>
    <xf numFmtId="10" fontId="13" fillId="0" borderId="1" xfId="2" applyNumberFormat="1" applyFont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right" vertical="center" wrapText="1"/>
    </xf>
    <xf numFmtId="0" fontId="16" fillId="2" borderId="2" xfId="0" applyFont="1" applyFill="1" applyBorder="1" applyAlignment="1">
      <alignment horizontal="center" vertical="center"/>
    </xf>
    <xf numFmtId="10" fontId="14" fillId="0" borderId="0" xfId="2" applyNumberFormat="1" applyFont="1" applyFill="1" applyBorder="1" applyAlignment="1">
      <alignment horizontal="center" vertical="center"/>
    </xf>
    <xf numFmtId="10" fontId="14" fillId="0" borderId="0" xfId="2" applyNumberFormat="1" applyFont="1" applyFill="1" applyBorder="1" applyAlignment="1">
      <alignment horizontal="center" vertical="center" wrapText="1"/>
    </xf>
    <xf numFmtId="10" fontId="13" fillId="0" borderId="4" xfId="2" applyNumberFormat="1" applyFont="1" applyFill="1" applyBorder="1" applyAlignment="1">
      <alignment horizontal="center" vertical="center" wrapText="1"/>
    </xf>
    <xf numFmtId="10" fontId="14" fillId="0" borderId="0" xfId="2" applyNumberFormat="1" applyFont="1" applyBorder="1" applyAlignment="1">
      <alignment horizontal="center" vertical="center"/>
    </xf>
    <xf numFmtId="10" fontId="14" fillId="0" borderId="0" xfId="0" applyNumberFormat="1" applyFont="1" applyAlignment="1">
      <alignment vertical="center"/>
    </xf>
    <xf numFmtId="10" fontId="14" fillId="0" borderId="0" xfId="0" applyNumberFormat="1" applyFont="1" applyBorder="1" applyAlignment="1">
      <alignment vertical="center"/>
    </xf>
    <xf numFmtId="10" fontId="13" fillId="0" borderId="0" xfId="0" applyNumberFormat="1" applyFont="1" applyBorder="1" applyAlignment="1">
      <alignment vertical="center"/>
    </xf>
    <xf numFmtId="10" fontId="13" fillId="0" borderId="2" xfId="2" applyNumberFormat="1" applyFont="1" applyFill="1" applyBorder="1" applyAlignment="1">
      <alignment horizontal="center" vertical="center"/>
    </xf>
    <xf numFmtId="10" fontId="14" fillId="0" borderId="3" xfId="2" applyNumberFormat="1" applyFont="1" applyFill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 wrapText="1"/>
    </xf>
    <xf numFmtId="43" fontId="0" fillId="0" borderId="0" xfId="0" applyNumberFormat="1" applyFont="1" applyAlignment="1">
      <alignment vertical="center"/>
    </xf>
    <xf numFmtId="0" fontId="0" fillId="0" borderId="0" xfId="0" applyFont="1" applyAlignment="1">
      <alignment horizontal="left" vertical="center" wrapText="1" indent="2"/>
    </xf>
    <xf numFmtId="0" fontId="19" fillId="0" borderId="0" xfId="0" applyFont="1" applyAlignment="1">
      <alignment horizontal="left" vertical="center" indent="2"/>
    </xf>
    <xf numFmtId="10" fontId="0" fillId="0" borderId="0" xfId="2" applyNumberFormat="1" applyFont="1" applyAlignment="1">
      <alignment vertical="center"/>
    </xf>
    <xf numFmtId="10" fontId="0" fillId="0" borderId="0" xfId="2" applyNumberFormat="1" applyFont="1" applyFill="1" applyAlignment="1">
      <alignment vertical="center"/>
    </xf>
    <xf numFmtId="0" fontId="20" fillId="0" borderId="0" xfId="0" applyFont="1" applyFill="1" applyBorder="1" applyAlignment="1">
      <alignment horizontal="left" vertical="center" wrapText="1" indent="2"/>
    </xf>
    <xf numFmtId="0" fontId="21" fillId="0" borderId="0" xfId="0" applyFont="1" applyFill="1" applyBorder="1" applyAlignment="1">
      <alignment horizontal="center" vertical="center" wrapText="1"/>
    </xf>
    <xf numFmtId="43" fontId="22" fillId="0" borderId="0" xfId="1" applyFont="1" applyFill="1" applyBorder="1" applyAlignment="1">
      <alignment horizontal="right" vertical="center" wrapText="1"/>
    </xf>
    <xf numFmtId="43" fontId="21" fillId="0" borderId="0" xfId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horizontal="left" vertical="center" wrapText="1" indent="2"/>
    </xf>
    <xf numFmtId="0" fontId="20" fillId="0" borderId="0" xfId="0" applyFont="1" applyBorder="1" applyAlignment="1">
      <alignment horizontal="center" vertical="center" wrapText="1"/>
    </xf>
    <xf numFmtId="43" fontId="20" fillId="0" borderId="0" xfId="1" applyFont="1" applyFill="1" applyBorder="1" applyAlignment="1">
      <alignment horizontal="right" vertical="center" wrapText="1"/>
    </xf>
    <xf numFmtId="10" fontId="23" fillId="0" borderId="0" xfId="2" applyNumberFormat="1" applyFont="1" applyFill="1" applyBorder="1" applyAlignment="1">
      <alignment horizontal="center" vertical="center" wrapText="1"/>
    </xf>
    <xf numFmtId="10" fontId="24" fillId="0" borderId="0" xfId="2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 indent="2"/>
    </xf>
    <xf numFmtId="0" fontId="25" fillId="0" borderId="0" xfId="0" applyFont="1" applyAlignment="1">
      <alignment horizontal="left" vertical="center" wrapText="1" indent="2"/>
    </xf>
    <xf numFmtId="43" fontId="0" fillId="0" borderId="0" xfId="1" applyFont="1" applyAlignment="1">
      <alignment vertical="center"/>
    </xf>
    <xf numFmtId="0" fontId="25" fillId="0" borderId="0" xfId="0" applyFont="1" applyAlignment="1">
      <alignment horizontal="left" vertical="center" indent="2"/>
    </xf>
    <xf numFmtId="43" fontId="3" fillId="0" borderId="8" xfId="1" applyFont="1" applyFill="1" applyBorder="1" applyAlignment="1">
      <alignment horizontal="right" vertical="center" wrapText="1"/>
    </xf>
    <xf numFmtId="43" fontId="3" fillId="0" borderId="6" xfId="1" applyFont="1" applyFill="1" applyBorder="1" applyAlignment="1">
      <alignment horizontal="right" vertical="center" wrapText="1"/>
    </xf>
    <xf numFmtId="43" fontId="0" fillId="0" borderId="6" xfId="1" applyFont="1" applyFill="1" applyBorder="1" applyAlignment="1">
      <alignment horizontal="right" vertical="center" wrapText="1"/>
    </xf>
    <xf numFmtId="43" fontId="0" fillId="0" borderId="7" xfId="1" applyFont="1" applyFill="1" applyBorder="1" applyAlignment="1">
      <alignment horizontal="right" vertical="center" wrapText="1"/>
    </xf>
    <xf numFmtId="43" fontId="0" fillId="0" borderId="3" xfId="1" applyFont="1" applyFill="1" applyBorder="1" applyAlignment="1">
      <alignment vertical="center"/>
    </xf>
    <xf numFmtId="43" fontId="0" fillId="0" borderId="4" xfId="1" applyFont="1" applyFill="1" applyBorder="1" applyAlignment="1">
      <alignment vertical="center"/>
    </xf>
    <xf numFmtId="0" fontId="3" fillId="11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43" fontId="0" fillId="0" borderId="3" xfId="1" applyFont="1" applyBorder="1" applyAlignment="1">
      <alignment vertical="center"/>
    </xf>
    <xf numFmtId="43" fontId="0" fillId="0" borderId="4" xfId="1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43" fontId="2" fillId="0" borderId="3" xfId="1" applyFont="1" applyBorder="1" applyAlignment="1">
      <alignment vertical="center"/>
    </xf>
    <xf numFmtId="43" fontId="3" fillId="0" borderId="3" xfId="1" applyFont="1" applyFill="1" applyBorder="1" applyAlignment="1">
      <alignment vertical="center"/>
    </xf>
    <xf numFmtId="43" fontId="3" fillId="0" borderId="1" xfId="1" applyFont="1" applyBorder="1" applyAlignment="1">
      <alignment vertical="center"/>
    </xf>
    <xf numFmtId="43" fontId="3" fillId="3" borderId="3" xfId="1" applyFont="1" applyFill="1" applyBorder="1" applyAlignment="1">
      <alignment vertical="center"/>
    </xf>
    <xf numFmtId="43" fontId="0" fillId="3" borderId="3" xfId="1" applyFont="1" applyFill="1" applyBorder="1" applyAlignment="1">
      <alignment vertical="center"/>
    </xf>
    <xf numFmtId="43" fontId="20" fillId="3" borderId="0" xfId="1" applyFont="1" applyFill="1" applyBorder="1" applyAlignment="1">
      <alignment horizontal="right" vertical="center" wrapText="1"/>
    </xf>
    <xf numFmtId="43" fontId="20" fillId="13" borderId="0" xfId="1" applyFont="1" applyFill="1" applyBorder="1" applyAlignment="1">
      <alignment horizontal="right" vertical="center" wrapText="1"/>
    </xf>
    <xf numFmtId="43" fontId="3" fillId="13" borderId="3" xfId="1" applyFont="1" applyFill="1" applyBorder="1" applyAlignment="1">
      <alignment vertical="center"/>
    </xf>
    <xf numFmtId="43" fontId="0" fillId="13" borderId="3" xfId="1" applyFont="1" applyFill="1" applyBorder="1" applyAlignment="1">
      <alignment vertical="center"/>
    </xf>
    <xf numFmtId="0" fontId="0" fillId="0" borderId="0" xfId="0" applyFont="1" applyAlignment="1">
      <alignment horizontal="left" vertical="center" indent="2"/>
    </xf>
    <xf numFmtId="43" fontId="0" fillId="0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/>
    </xf>
    <xf numFmtId="4" fontId="0" fillId="0" borderId="0" xfId="0" applyNumberFormat="1" applyFont="1" applyFill="1" applyAlignment="1">
      <alignment vertical="center"/>
    </xf>
    <xf numFmtId="0" fontId="28" fillId="0" borderId="0" xfId="0" applyFont="1" applyAlignment="1">
      <alignment vertical="center"/>
    </xf>
    <xf numFmtId="43" fontId="28" fillId="0" borderId="0" xfId="0" applyNumberFormat="1" applyFont="1" applyFill="1" applyAlignment="1">
      <alignment vertical="center"/>
    </xf>
    <xf numFmtId="10" fontId="28" fillId="0" borderId="0" xfId="2" applyNumberFormat="1" applyFont="1" applyFill="1" applyAlignment="1">
      <alignment vertical="center"/>
    </xf>
    <xf numFmtId="4" fontId="28" fillId="0" borderId="0" xfId="0" applyNumberFormat="1" applyFont="1" applyFill="1" applyAlignment="1">
      <alignment vertical="center"/>
    </xf>
    <xf numFmtId="43" fontId="28" fillId="0" borderId="0" xfId="0" applyNumberFormat="1" applyFont="1" applyAlignment="1">
      <alignment vertical="center"/>
    </xf>
    <xf numFmtId="43" fontId="28" fillId="0" borderId="0" xfId="0" applyNumberFormat="1" applyFont="1" applyBorder="1" applyAlignment="1">
      <alignment vertical="center"/>
    </xf>
    <xf numFmtId="43" fontId="3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indent="2"/>
    </xf>
    <xf numFmtId="0" fontId="0" fillId="10" borderId="0" xfId="0" applyFont="1" applyFill="1"/>
    <xf numFmtId="0" fontId="3" fillId="1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43" fontId="0" fillId="0" borderId="0" xfId="1" applyFont="1" applyFill="1" applyAlignment="1">
      <alignment vertical="center"/>
    </xf>
    <xf numFmtId="0" fontId="3" fillId="15" borderId="2" xfId="0" applyFont="1" applyFill="1" applyBorder="1" applyAlignment="1">
      <alignment horizontal="center" vertical="center"/>
    </xf>
    <xf numFmtId="43" fontId="0" fillId="16" borderId="3" xfId="1" applyFont="1" applyFill="1" applyBorder="1" applyAlignment="1">
      <alignment horizontal="center" vertical="center" wrapText="1"/>
    </xf>
    <xf numFmtId="43" fontId="2" fillId="16" borderId="3" xfId="1" applyFont="1" applyFill="1" applyBorder="1" applyAlignment="1">
      <alignment horizontal="right" vertical="center" wrapText="1"/>
    </xf>
    <xf numFmtId="43" fontId="3" fillId="16" borderId="3" xfId="2" applyNumberFormat="1" applyFont="1" applyFill="1" applyBorder="1" applyAlignment="1">
      <alignment horizontal="center" vertical="center" wrapText="1"/>
    </xf>
    <xf numFmtId="43" fontId="0" fillId="16" borderId="4" xfId="1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/>
    </xf>
    <xf numFmtId="43" fontId="3" fillId="0" borderId="12" xfId="1" applyFont="1" applyBorder="1" applyAlignment="1">
      <alignment horizontal="right" vertical="center" wrapText="1"/>
    </xf>
    <xf numFmtId="43" fontId="2" fillId="16" borderId="12" xfId="1" applyFont="1" applyFill="1" applyBorder="1" applyAlignment="1">
      <alignment horizontal="right" vertical="center" wrapText="1"/>
    </xf>
    <xf numFmtId="43" fontId="0" fillId="16" borderId="12" xfId="1" applyFont="1" applyFill="1" applyBorder="1" applyAlignment="1">
      <alignment horizontal="center" vertical="center" wrapText="1"/>
    </xf>
    <xf numFmtId="43" fontId="0" fillId="16" borderId="13" xfId="1" applyFont="1" applyFill="1" applyBorder="1" applyAlignment="1">
      <alignment horizontal="center" vertical="center" wrapText="1"/>
    </xf>
    <xf numFmtId="43" fontId="3" fillId="16" borderId="3" xfId="1" applyFont="1" applyFill="1" applyBorder="1" applyAlignment="1">
      <alignment horizontal="right" vertical="center" wrapText="1"/>
    </xf>
    <xf numFmtId="10" fontId="13" fillId="0" borderId="0" xfId="2" applyNumberFormat="1" applyFont="1" applyFill="1" applyBorder="1" applyAlignment="1">
      <alignment horizontal="center" vertical="center" wrapText="1"/>
    </xf>
    <xf numFmtId="10" fontId="13" fillId="0" borderId="0" xfId="2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9" fontId="13" fillId="0" borderId="8" xfId="2" applyFont="1" applyFill="1" applyBorder="1" applyAlignment="1">
      <alignment horizontal="center" vertical="center" wrapText="1"/>
    </xf>
    <xf numFmtId="10" fontId="13" fillId="0" borderId="6" xfId="2" applyNumberFormat="1" applyFont="1" applyFill="1" applyBorder="1" applyAlignment="1">
      <alignment horizontal="center" vertical="center" wrapText="1"/>
    </xf>
    <xf numFmtId="10" fontId="14" fillId="0" borderId="6" xfId="2" applyNumberFormat="1" applyFont="1" applyFill="1" applyBorder="1" applyAlignment="1">
      <alignment horizontal="center" vertical="center" wrapText="1"/>
    </xf>
    <xf numFmtId="10" fontId="14" fillId="0" borderId="7" xfId="2" applyNumberFormat="1" applyFont="1" applyFill="1" applyBorder="1" applyAlignment="1">
      <alignment horizontal="center" vertical="center" wrapText="1"/>
    </xf>
    <xf numFmtId="10" fontId="14" fillId="0" borderId="2" xfId="2" applyNumberFormat="1" applyFont="1" applyFill="1" applyBorder="1" applyAlignment="1">
      <alignment horizontal="center" vertical="center" wrapText="1"/>
    </xf>
    <xf numFmtId="10" fontId="13" fillId="0" borderId="8" xfId="2" applyNumberFormat="1" applyFont="1" applyFill="1" applyBorder="1" applyAlignment="1">
      <alignment horizontal="center" vertical="center" wrapText="1"/>
    </xf>
    <xf numFmtId="10" fontId="13" fillId="0" borderId="6" xfId="2" applyNumberFormat="1" applyFont="1" applyBorder="1" applyAlignment="1">
      <alignment horizontal="center" vertical="center" wrapText="1"/>
    </xf>
    <xf numFmtId="10" fontId="13" fillId="0" borderId="6" xfId="2" applyNumberFormat="1" applyFont="1" applyBorder="1" applyAlignment="1">
      <alignment horizontal="center" vertical="center"/>
    </xf>
    <xf numFmtId="10" fontId="14" fillId="0" borderId="6" xfId="2" applyNumberFormat="1" applyFont="1" applyBorder="1" applyAlignment="1">
      <alignment horizontal="center" vertical="center" wrapText="1"/>
    </xf>
    <xf numFmtId="10" fontId="14" fillId="0" borderId="7" xfId="2" applyNumberFormat="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10" fontId="13" fillId="0" borderId="8" xfId="2" applyNumberFormat="1" applyFont="1" applyBorder="1" applyAlignment="1">
      <alignment horizontal="center" vertical="center" wrapText="1"/>
    </xf>
    <xf numFmtId="10" fontId="13" fillId="0" borderId="9" xfId="2" applyNumberFormat="1" applyFont="1" applyBorder="1" applyAlignment="1">
      <alignment horizontal="center" vertical="center" wrapText="1"/>
    </xf>
    <xf numFmtId="10" fontId="13" fillId="0" borderId="1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6" fontId="2" fillId="16" borderId="4" xfId="1" applyNumberFormat="1" applyFont="1" applyFill="1" applyBorder="1" applyAlignment="1">
      <alignment horizontal="right" vertical="center" wrapText="1"/>
    </xf>
    <xf numFmtId="43" fontId="3" fillId="16" borderId="12" xfId="1" applyFont="1" applyFill="1" applyBorder="1" applyAlignment="1">
      <alignment horizontal="right" vertical="center" wrapText="1"/>
    </xf>
    <xf numFmtId="43" fontId="3" fillId="16" borderId="12" xfId="2" applyNumberFormat="1" applyFont="1" applyFill="1" applyBorder="1" applyAlignment="1">
      <alignment horizontal="center" vertical="center" wrapText="1"/>
    </xf>
    <xf numFmtId="43" fontId="3" fillId="16" borderId="2" xfId="1" applyFont="1" applyFill="1" applyBorder="1" applyAlignment="1">
      <alignment horizontal="right" vertical="center" wrapText="1"/>
    </xf>
    <xf numFmtId="43" fontId="2" fillId="16" borderId="4" xfId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 indent="1"/>
    </xf>
    <xf numFmtId="43" fontId="3" fillId="0" borderId="0" xfId="0" applyNumberFormat="1" applyFont="1" applyAlignment="1">
      <alignment vertical="center"/>
    </xf>
    <xf numFmtId="10" fontId="0" fillId="0" borderId="0" xfId="2" applyNumberFormat="1" applyFont="1" applyBorder="1" applyAlignment="1">
      <alignment vertical="center"/>
    </xf>
    <xf numFmtId="43" fontId="0" fillId="0" borderId="0" xfId="2" applyNumberFormat="1" applyFont="1" applyFill="1" applyBorder="1" applyAlignment="1">
      <alignment horizontal="center" vertical="center"/>
    </xf>
    <xf numFmtId="43" fontId="2" fillId="0" borderId="7" xfId="1" applyFont="1" applyFill="1" applyBorder="1" applyAlignment="1">
      <alignment horizontal="right" vertical="center" wrapText="1"/>
    </xf>
    <xf numFmtId="43" fontId="3" fillId="16" borderId="5" xfId="1" applyFont="1" applyFill="1" applyBorder="1" applyAlignment="1">
      <alignment horizontal="right" vertical="center" wrapText="1"/>
    </xf>
    <xf numFmtId="43" fontId="0" fillId="0" borderId="0" xfId="1" applyNumberFormat="1" applyFont="1" applyBorder="1"/>
    <xf numFmtId="43" fontId="0" fillId="9" borderId="0" xfId="1" applyNumberFormat="1" applyFont="1" applyFill="1" applyBorder="1"/>
    <xf numFmtId="43" fontId="0" fillId="0" borderId="0" xfId="2" applyNumberFormat="1" applyFont="1" applyBorder="1" applyAlignment="1">
      <alignment horizontal="center" vertical="center"/>
    </xf>
    <xf numFmtId="168" fontId="0" fillId="0" borderId="0" xfId="0" applyNumberFormat="1" applyFont="1" applyAlignment="1">
      <alignment horizontal="right" vertical="center"/>
    </xf>
    <xf numFmtId="167" fontId="0" fillId="0" borderId="0" xfId="2" applyNumberFormat="1" applyFont="1" applyBorder="1"/>
    <xf numFmtId="43" fontId="3" fillId="0" borderId="12" xfId="1" applyFont="1" applyFill="1" applyBorder="1" applyAlignment="1">
      <alignment horizontal="right" vertical="center" wrapText="1"/>
    </xf>
    <xf numFmtId="166" fontId="0" fillId="0" borderId="0" xfId="1" applyNumberFormat="1" applyFont="1" applyBorder="1"/>
    <xf numFmtId="166" fontId="10" fillId="0" borderId="0" xfId="1" applyNumberFormat="1" applyFont="1" applyFill="1" applyBorder="1" applyAlignment="1">
      <alignment horizontal="right" wrapText="1"/>
    </xf>
    <xf numFmtId="166" fontId="0" fillId="0" borderId="0" xfId="1" applyNumberFormat="1" applyFont="1" applyBorder="1"/>
    <xf numFmtId="10" fontId="3" fillId="0" borderId="0" xfId="2" applyNumberFormat="1" applyFont="1" applyFill="1"/>
    <xf numFmtId="10" fontId="3" fillId="0" borderId="0" xfId="0" applyNumberFormat="1" applyFont="1" applyFill="1"/>
    <xf numFmtId="166" fontId="0" fillId="0" borderId="0" xfId="1" applyNumberFormat="1" applyFont="1" applyFill="1" applyBorder="1"/>
    <xf numFmtId="166" fontId="10" fillId="0" borderId="0" xfId="1" applyNumberFormat="1" applyFont="1" applyFill="1" applyBorder="1" applyAlignment="1">
      <alignment horizontal="right" wrapText="1"/>
    </xf>
    <xf numFmtId="43" fontId="2" fillId="0" borderId="0" xfId="1" applyNumberFormat="1" applyFont="1" applyFill="1" applyBorder="1"/>
    <xf numFmtId="43" fontId="0" fillId="0" borderId="0" xfId="1" applyFont="1" applyBorder="1"/>
    <xf numFmtId="165" fontId="0" fillId="0" borderId="0" xfId="1" applyNumberFormat="1" applyFont="1" applyFill="1" applyBorder="1" applyAlignment="1">
      <alignment horizontal="center"/>
    </xf>
    <xf numFmtId="164" fontId="12" fillId="6" borderId="0" xfId="0" applyNumberFormat="1" applyFont="1" applyFill="1" applyBorder="1" applyAlignment="1">
      <alignment horizontal="center" vertical="center"/>
    </xf>
    <xf numFmtId="43" fontId="28" fillId="0" borderId="0" xfId="1" applyFont="1" applyBorder="1" applyAlignment="1">
      <alignment horizontal="right" vertical="center" wrapText="1"/>
    </xf>
    <xf numFmtId="164" fontId="3" fillId="6" borderId="0" xfId="0" applyNumberFormat="1" applyFont="1" applyFill="1" applyBorder="1" applyAlignment="1"/>
    <xf numFmtId="164" fontId="18" fillId="6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164" fontId="18" fillId="0" borderId="0" xfId="0" applyNumberFormat="1" applyFont="1" applyFill="1" applyBorder="1" applyAlignment="1">
      <alignment horizontal="center"/>
    </xf>
    <xf numFmtId="169" fontId="0" fillId="0" borderId="0" xfId="1" applyNumberFormat="1" applyFont="1" applyAlignment="1">
      <alignment vertical="center"/>
    </xf>
    <xf numFmtId="10" fontId="0" fillId="0" borderId="1" xfId="2" applyNumberFormat="1" applyFont="1" applyBorder="1" applyAlignment="1">
      <alignment horizontal="center" vertical="center"/>
    </xf>
    <xf numFmtId="164" fontId="3" fillId="17" borderId="1" xfId="0" applyNumberFormat="1" applyFont="1" applyFill="1" applyBorder="1" applyAlignment="1">
      <alignment horizontal="center" vertical="center"/>
    </xf>
    <xf numFmtId="0" fontId="3" fillId="17" borderId="1" xfId="1" applyNumberFormat="1" applyFont="1" applyFill="1" applyBorder="1" applyAlignment="1">
      <alignment horizontal="center" wrapText="1"/>
    </xf>
    <xf numFmtId="164" fontId="3" fillId="17" borderId="1" xfId="0" applyNumberFormat="1" applyFont="1" applyFill="1" applyBorder="1"/>
    <xf numFmtId="0" fontId="5" fillId="0" borderId="0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166" fontId="0" fillId="0" borderId="0" xfId="0" applyNumberFormat="1" applyFont="1" applyAlignment="1">
      <alignment vertical="center"/>
    </xf>
    <xf numFmtId="0" fontId="3" fillId="9" borderId="0" xfId="0" applyFont="1" applyFill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 wrapText="1"/>
    </xf>
    <xf numFmtId="43" fontId="2" fillId="0" borderId="3" xfId="1" applyNumberFormat="1" applyFont="1" applyFill="1" applyBorder="1" applyAlignment="1">
      <alignment horizontal="right" vertical="center" wrapText="1"/>
    </xf>
    <xf numFmtId="170" fontId="0" fillId="0" borderId="0" xfId="2" applyNumberFormat="1" applyFont="1" applyBorder="1"/>
    <xf numFmtId="0" fontId="0" fillId="10" borderId="0" xfId="0" applyFill="1" applyAlignment="1">
      <alignment horizontal="center"/>
    </xf>
    <xf numFmtId="0" fontId="4" fillId="10" borderId="0" xfId="0" applyFont="1" applyFill="1"/>
    <xf numFmtId="0" fontId="29" fillId="10" borderId="0" xfId="0" applyFont="1" applyFill="1" applyAlignment="1">
      <alignment horizontal="center" vertical="center" wrapText="1"/>
    </xf>
    <xf numFmtId="0" fontId="29" fillId="10" borderId="0" xfId="0" applyFont="1" applyFill="1" applyAlignment="1">
      <alignment horizontal="left" vertical="center" wrapText="1"/>
    </xf>
    <xf numFmtId="0" fontId="30" fillId="17" borderId="0" xfId="0" applyFont="1" applyFill="1" applyAlignment="1">
      <alignment horizontal="left"/>
    </xf>
    <xf numFmtId="166" fontId="2" fillId="17" borderId="0" xfId="1" applyNumberFormat="1" applyFont="1" applyFill="1" applyAlignment="1">
      <alignment horizontal="center"/>
    </xf>
    <xf numFmtId="0" fontId="0" fillId="17" borderId="0" xfId="0" applyFill="1" applyAlignment="1">
      <alignment horizontal="center"/>
    </xf>
    <xf numFmtId="166" fontId="2" fillId="10" borderId="0" xfId="1" applyNumberFormat="1" applyFont="1" applyFill="1" applyAlignment="1">
      <alignment horizontal="left"/>
    </xf>
    <xf numFmtId="166" fontId="2" fillId="10" borderId="0" xfId="1" applyNumberFormat="1" applyFont="1" applyFill="1" applyAlignment="1">
      <alignment horizontal="center"/>
    </xf>
    <xf numFmtId="0" fontId="30" fillId="10" borderId="0" xfId="0" applyFont="1" applyFill="1" applyAlignment="1">
      <alignment horizontal="left"/>
    </xf>
    <xf numFmtId="9" fontId="2" fillId="17" borderId="0" xfId="1" applyNumberFormat="1" applyFont="1" applyFill="1" applyAlignment="1">
      <alignment horizontal="right"/>
    </xf>
    <xf numFmtId="9" fontId="2" fillId="10" borderId="0" xfId="1" applyNumberFormat="1" applyFont="1" applyFill="1" applyAlignment="1">
      <alignment horizontal="left"/>
    </xf>
    <xf numFmtId="9" fontId="2" fillId="10" borderId="0" xfId="1" applyNumberFormat="1" applyFont="1" applyFill="1" applyAlignment="1">
      <alignment horizontal="center"/>
    </xf>
    <xf numFmtId="0" fontId="29" fillId="10" borderId="0" xfId="0" applyFont="1" applyFill="1" applyAlignment="1">
      <alignment horizontal="center"/>
    </xf>
    <xf numFmtId="9" fontId="2" fillId="10" borderId="0" xfId="2" applyFont="1" applyFill="1" applyAlignment="1">
      <alignment horizontal="right"/>
    </xf>
    <xf numFmtId="0" fontId="0" fillId="17" borderId="0" xfId="0" applyFill="1"/>
    <xf numFmtId="0" fontId="3" fillId="17" borderId="0" xfId="0" applyFont="1" applyFill="1"/>
    <xf numFmtId="166" fontId="2" fillId="10" borderId="0" xfId="1" applyNumberFormat="1" applyFont="1" applyFill="1"/>
    <xf numFmtId="166" fontId="0" fillId="10" borderId="0" xfId="0" applyNumberFormat="1" applyFill="1"/>
    <xf numFmtId="166" fontId="3" fillId="10" borderId="0" xfId="0" applyNumberFormat="1" applyFont="1" applyFill="1"/>
    <xf numFmtId="166" fontId="0" fillId="10" borderId="0" xfId="1" applyNumberFormat="1" applyFont="1" applyFill="1"/>
    <xf numFmtId="0" fontId="32" fillId="10" borderId="0" xfId="4" applyFont="1" applyFill="1" applyBorder="1"/>
    <xf numFmtId="0" fontId="33" fillId="10" borderId="0" xfId="4" applyFont="1" applyFill="1" applyBorder="1"/>
    <xf numFmtId="166" fontId="3" fillId="10" borderId="0" xfId="1" applyNumberFormat="1" applyFont="1" applyFill="1"/>
    <xf numFmtId="0" fontId="0" fillId="10" borderId="0" xfId="0" applyFill="1" applyAlignment="1"/>
    <xf numFmtId="0" fontId="32" fillId="10" borderId="0" xfId="4" applyFont="1" applyFill="1" applyBorder="1" applyAlignment="1"/>
    <xf numFmtId="0" fontId="0" fillId="18" borderId="0" xfId="0" applyFill="1"/>
    <xf numFmtId="0" fontId="32" fillId="10" borderId="0" xfId="4" applyFont="1" applyFill="1" applyBorder="1" applyAlignment="1">
      <alignment horizontal="left"/>
    </xf>
    <xf numFmtId="0" fontId="33" fillId="2" borderId="0" xfId="4" applyFont="1" applyFill="1" applyBorder="1"/>
    <xf numFmtId="0" fontId="34" fillId="10" borderId="0" xfId="0" applyFont="1" applyFill="1"/>
    <xf numFmtId="0" fontId="16" fillId="10" borderId="0" xfId="0" applyFont="1" applyFill="1" applyAlignment="1">
      <alignment horizontal="center"/>
    </xf>
    <xf numFmtId="0" fontId="27" fillId="10" borderId="0" xfId="0" applyFont="1" applyFill="1"/>
    <xf numFmtId="166" fontId="2" fillId="17" borderId="0" xfId="1" applyNumberFormat="1" applyFont="1" applyFill="1"/>
    <xf numFmtId="0" fontId="32" fillId="17" borderId="0" xfId="4" applyFont="1" applyFill="1" applyBorder="1" applyAlignment="1">
      <alignment horizontal="left"/>
    </xf>
    <xf numFmtId="0" fontId="27" fillId="17" borderId="0" xfId="0" applyFont="1" applyFill="1"/>
    <xf numFmtId="166" fontId="27" fillId="17" borderId="0" xfId="1" applyNumberFormat="1" applyFont="1" applyFill="1"/>
    <xf numFmtId="166" fontId="27" fillId="10" borderId="0" xfId="1" applyNumberFormat="1" applyFont="1" applyFill="1"/>
    <xf numFmtId="0" fontId="33" fillId="17" borderId="0" xfId="4" applyFont="1" applyFill="1" applyBorder="1"/>
    <xf numFmtId="166" fontId="16" fillId="17" borderId="0" xfId="1" applyNumberFormat="1" applyFont="1" applyFill="1"/>
    <xf numFmtId="0" fontId="0" fillId="17" borderId="0" xfId="0" applyFont="1" applyFill="1"/>
    <xf numFmtId="166" fontId="27" fillId="10" borderId="0" xfId="1" applyNumberFormat="1" applyFont="1" applyFill="1" applyAlignment="1"/>
    <xf numFmtId="0" fontId="3" fillId="10" borderId="0" xfId="0" applyFont="1" applyFill="1" applyAlignment="1"/>
    <xf numFmtId="4" fontId="27" fillId="10" borderId="0" xfId="0" applyNumberFormat="1" applyFont="1" applyFill="1"/>
    <xf numFmtId="167" fontId="3" fillId="17" borderId="0" xfId="0" applyNumberFormat="1" applyFont="1" applyFill="1"/>
    <xf numFmtId="9" fontId="3" fillId="10" borderId="0" xfId="0" applyNumberFormat="1" applyFont="1" applyFill="1" applyAlignment="1">
      <alignment horizontal="center"/>
    </xf>
    <xf numFmtId="9" fontId="0" fillId="10" borderId="0" xfId="0" applyNumberFormat="1" applyFont="1" applyFill="1" applyAlignment="1">
      <alignment horizontal="center"/>
    </xf>
    <xf numFmtId="0" fontId="0" fillId="10" borderId="0" xfId="0" applyFont="1" applyFill="1" applyAlignment="1">
      <alignment horizontal="center"/>
    </xf>
    <xf numFmtId="167" fontId="0" fillId="10" borderId="0" xfId="2" applyNumberFormat="1" applyFont="1" applyFill="1" applyAlignment="1">
      <alignment horizontal="center"/>
    </xf>
    <xf numFmtId="10" fontId="0" fillId="10" borderId="0" xfId="2" applyNumberFormat="1" applyFont="1" applyFill="1" applyAlignment="1">
      <alignment horizontal="center"/>
    </xf>
    <xf numFmtId="10" fontId="0" fillId="10" borderId="0" xfId="0" applyNumberFormat="1" applyFont="1" applyFill="1" applyAlignment="1">
      <alignment horizontal="center"/>
    </xf>
    <xf numFmtId="167" fontId="0" fillId="10" borderId="0" xfId="0" applyNumberFormat="1" applyFont="1" applyFill="1" applyAlignment="1">
      <alignment horizontal="center"/>
    </xf>
    <xf numFmtId="0" fontId="35" fillId="10" borderId="0" xfId="5" applyFill="1"/>
    <xf numFmtId="166" fontId="0" fillId="0" borderId="0" xfId="1" applyNumberFormat="1" applyFont="1" applyAlignment="1">
      <alignment vertical="center"/>
    </xf>
    <xf numFmtId="0" fontId="29" fillId="19" borderId="0" xfId="0" applyFont="1" applyFill="1" applyAlignment="1">
      <alignment horizontal="left" vertical="center" wrapText="1"/>
    </xf>
    <xf numFmtId="0" fontId="29" fillId="19" borderId="0" xfId="0" applyFont="1" applyFill="1" applyAlignment="1">
      <alignment horizontal="center" vertical="center" wrapText="1"/>
    </xf>
    <xf numFmtId="0" fontId="29" fillId="19" borderId="0" xfId="0" applyFont="1" applyFill="1" applyAlignment="1">
      <alignment horizontal="center"/>
    </xf>
    <xf numFmtId="0" fontId="29" fillId="20" borderId="0" xfId="0" applyFont="1" applyFill="1" applyAlignment="1">
      <alignment horizontal="center"/>
    </xf>
    <xf numFmtId="166" fontId="3" fillId="20" borderId="0" xfId="0" applyNumberFormat="1" applyFont="1" applyFill="1"/>
    <xf numFmtId="166" fontId="3" fillId="20" borderId="0" xfId="1" applyNumberFormat="1" applyFont="1" applyFill="1"/>
    <xf numFmtId="9" fontId="3" fillId="2" borderId="0" xfId="2" applyFont="1" applyFill="1"/>
    <xf numFmtId="9" fontId="0" fillId="2" borderId="0" xfId="0" applyNumberFormat="1" applyFont="1" applyFill="1"/>
    <xf numFmtId="167" fontId="3" fillId="2" borderId="0" xfId="0" applyNumberFormat="1" applyFont="1" applyFill="1"/>
    <xf numFmtId="164" fontId="12" fillId="0" borderId="0" xfId="0" applyNumberFormat="1" applyFont="1" applyBorder="1" applyAlignment="1">
      <alignment horizontal="center" vertical="center" wrapText="1"/>
    </xf>
    <xf numFmtId="43" fontId="3" fillId="16" borderId="0" xfId="1" applyFont="1" applyFill="1" applyBorder="1" applyAlignment="1">
      <alignment horizontal="right" vertical="center" wrapText="1"/>
    </xf>
    <xf numFmtId="43" fontId="2" fillId="16" borderId="0" xfId="1" applyNumberFormat="1" applyFont="1" applyFill="1" applyBorder="1" applyAlignment="1">
      <alignment horizontal="right" vertical="center" wrapText="1"/>
    </xf>
    <xf numFmtId="10" fontId="0" fillId="10" borderId="0" xfId="0" applyNumberFormat="1" applyFill="1" applyAlignment="1">
      <alignment horizontal="center"/>
    </xf>
    <xf numFmtId="10" fontId="0" fillId="9" borderId="0" xfId="2" applyNumberFormat="1" applyFont="1" applyFill="1" applyBorder="1"/>
    <xf numFmtId="9" fontId="0" fillId="0" borderId="0" xfId="2" applyFon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0" fillId="9" borderId="0" xfId="2" applyFont="1" applyFill="1" applyBorder="1"/>
    <xf numFmtId="167" fontId="0" fillId="9" borderId="0" xfId="2" applyNumberFormat="1" applyFont="1" applyFill="1" applyBorder="1"/>
    <xf numFmtId="0" fontId="36" fillId="20" borderId="0" xfId="0" applyFont="1" applyFill="1"/>
    <xf numFmtId="171" fontId="3" fillId="2" borderId="0" xfId="3" applyNumberFormat="1" applyFont="1" applyFill="1"/>
    <xf numFmtId="43" fontId="0" fillId="10" borderId="0" xfId="1" applyFont="1" applyFill="1"/>
    <xf numFmtId="43" fontId="3" fillId="2" borderId="0" xfId="1" applyFont="1" applyFill="1"/>
    <xf numFmtId="0" fontId="37" fillId="10" borderId="0" xfId="4" applyFont="1" applyFill="1" applyBorder="1" applyAlignment="1">
      <alignment horizontal="left"/>
    </xf>
    <xf numFmtId="166" fontId="38" fillId="10" borderId="0" xfId="1" applyNumberFormat="1" applyFont="1" applyFill="1"/>
    <xf numFmtId="0" fontId="38" fillId="10" borderId="0" xfId="0" applyFont="1" applyFill="1" applyAlignment="1"/>
    <xf numFmtId="0" fontId="39" fillId="10" borderId="0" xfId="0" applyFont="1" applyFill="1"/>
    <xf numFmtId="166" fontId="39" fillId="10" borderId="0" xfId="0" applyNumberFormat="1" applyFont="1" applyFill="1"/>
    <xf numFmtId="43" fontId="2" fillId="10" borderId="0" xfId="1" applyFont="1" applyFill="1"/>
    <xf numFmtId="43" fontId="3" fillId="10" borderId="0" xfId="1" applyFont="1" applyFill="1"/>
    <xf numFmtId="0" fontId="3" fillId="8" borderId="0" xfId="0" applyFont="1" applyFill="1" applyAlignment="1">
      <alignment horizontal="center" vertical="center"/>
    </xf>
    <xf numFmtId="10" fontId="2" fillId="0" borderId="0" xfId="2" applyNumberFormat="1" applyFont="1" applyAlignment="1">
      <alignment vertical="center"/>
    </xf>
    <xf numFmtId="167" fontId="13" fillId="0" borderId="0" xfId="2" applyNumberFormat="1" applyFont="1" applyAlignment="1">
      <alignment horizontal="center" vertical="center"/>
    </xf>
    <xf numFmtId="167" fontId="14" fillId="0" borderId="0" xfId="2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10" fontId="13" fillId="0" borderId="0" xfId="2" applyNumberFormat="1" applyFont="1" applyAlignment="1">
      <alignment vertical="center"/>
    </xf>
    <xf numFmtId="10" fontId="14" fillId="0" borderId="0" xfId="2" applyNumberFormat="1" applyFont="1" applyAlignment="1">
      <alignment vertical="center"/>
    </xf>
    <xf numFmtId="0" fontId="3" fillId="14" borderId="0" xfId="0" applyFont="1" applyFill="1" applyAlignment="1">
      <alignment horizontal="center" vertical="center"/>
    </xf>
    <xf numFmtId="9" fontId="13" fillId="0" borderId="0" xfId="2" applyFont="1" applyAlignment="1">
      <alignment horizontal="center" vertical="center"/>
    </xf>
    <xf numFmtId="10" fontId="13" fillId="0" borderId="0" xfId="2" applyNumberFormat="1" applyFont="1" applyAlignment="1">
      <alignment horizontal="center" vertical="center"/>
    </xf>
    <xf numFmtId="10" fontId="14" fillId="0" borderId="0" xfId="2" applyNumberFormat="1" applyFont="1" applyAlignment="1">
      <alignment horizontal="center" vertical="center"/>
    </xf>
    <xf numFmtId="9" fontId="14" fillId="0" borderId="0" xfId="2" applyFont="1" applyAlignment="1">
      <alignment horizontal="center" vertical="center"/>
    </xf>
    <xf numFmtId="43" fontId="2" fillId="16" borderId="0" xfId="1" applyFont="1" applyFill="1" applyBorder="1" applyAlignment="1">
      <alignment horizontal="right" vertical="center" wrapText="1"/>
    </xf>
    <xf numFmtId="43" fontId="3" fillId="0" borderId="0" xfId="1" applyFont="1" applyFill="1" applyBorder="1" applyAlignment="1">
      <alignment horizontal="right" vertical="center" wrapText="1"/>
    </xf>
    <xf numFmtId="43" fontId="2" fillId="0" borderId="0" xfId="1" applyFont="1" applyFill="1" applyBorder="1" applyAlignment="1">
      <alignment horizontal="right" vertical="center" wrapText="1"/>
    </xf>
    <xf numFmtId="43" fontId="3" fillId="0" borderId="0" xfId="1" applyFont="1" applyBorder="1" applyAlignment="1">
      <alignment horizontal="right" vertical="center" wrapText="1"/>
    </xf>
    <xf numFmtId="43" fontId="0" fillId="16" borderId="0" xfId="1" applyFont="1" applyFill="1" applyBorder="1" applyAlignment="1">
      <alignment horizontal="center" vertical="center" wrapText="1"/>
    </xf>
    <xf numFmtId="43" fontId="3" fillId="16" borderId="0" xfId="2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right" vertical="center" wrapText="1"/>
    </xf>
    <xf numFmtId="166" fontId="2" fillId="16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0" fontId="3" fillId="0" borderId="0" xfId="2" applyNumberFormat="1" applyFont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0" fontId="0" fillId="0" borderId="0" xfId="0" applyNumberFormat="1" applyFont="1" applyAlignment="1">
      <alignment horizontal="center" vertical="center"/>
    </xf>
    <xf numFmtId="10" fontId="3" fillId="0" borderId="0" xfId="2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8" fontId="0" fillId="0" borderId="14" xfId="0" applyNumberFormat="1" applyFont="1" applyBorder="1" applyAlignment="1">
      <alignment horizontal="right" vertical="center"/>
    </xf>
    <xf numFmtId="168" fontId="0" fillId="0" borderId="5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vertical="center"/>
    </xf>
    <xf numFmtId="43" fontId="0" fillId="0" borderId="12" xfId="1" applyFont="1" applyBorder="1" applyAlignment="1">
      <alignment vertical="center"/>
    </xf>
    <xf numFmtId="43" fontId="0" fillId="0" borderId="15" xfId="1" applyFont="1" applyBorder="1" applyAlignment="1">
      <alignment vertical="center"/>
    </xf>
    <xf numFmtId="43" fontId="0" fillId="0" borderId="13" xfId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0" fontId="3" fillId="0" borderId="3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10" fontId="3" fillId="0" borderId="2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wrapText="1" indent="1"/>
    </xf>
    <xf numFmtId="10" fontId="28" fillId="0" borderId="0" xfId="2" applyNumberFormat="1" applyFont="1" applyAlignment="1">
      <alignment vertical="center"/>
    </xf>
    <xf numFmtId="43" fontId="3" fillId="0" borderId="0" xfId="1" applyNumberFormat="1" applyFont="1" applyAlignment="1">
      <alignment vertical="center"/>
    </xf>
    <xf numFmtId="14" fontId="42" fillId="23" borderId="16" xfId="0" applyNumberFormat="1" applyFont="1" applyFill="1" applyBorder="1" applyAlignment="1">
      <alignment horizontal="center" vertical="center" wrapText="1"/>
    </xf>
    <xf numFmtId="14" fontId="42" fillId="24" borderId="16" xfId="0" applyNumberFormat="1" applyFont="1" applyFill="1" applyBorder="1" applyAlignment="1">
      <alignment horizontal="center" vertical="center" wrapText="1"/>
    </xf>
    <xf numFmtId="169" fontId="42" fillId="23" borderId="16" xfId="1" applyNumberFormat="1" applyFont="1" applyFill="1" applyBorder="1" applyAlignment="1">
      <alignment horizontal="center" vertical="center" wrapText="1"/>
    </xf>
    <xf numFmtId="169" fontId="42" fillId="24" borderId="16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9" fontId="42" fillId="25" borderId="16" xfId="1" applyNumberFormat="1" applyFont="1" applyFill="1" applyBorder="1" applyAlignment="1">
      <alignment horizontal="center" vertical="center" wrapText="1"/>
    </xf>
    <xf numFmtId="169" fontId="0" fillId="0" borderId="0" xfId="0" applyNumberFormat="1"/>
    <xf numFmtId="10" fontId="43" fillId="0" borderId="0" xfId="2" applyNumberFormat="1" applyFont="1" applyAlignment="1">
      <alignment vertical="center"/>
    </xf>
    <xf numFmtId="10" fontId="0" fillId="10" borderId="0" xfId="2" applyNumberFormat="1" applyFont="1" applyFill="1"/>
    <xf numFmtId="43" fontId="3" fillId="21" borderId="0" xfId="1" applyFont="1" applyFill="1" applyBorder="1" applyAlignment="1">
      <alignment vertical="center"/>
    </xf>
    <xf numFmtId="10" fontId="3" fillId="0" borderId="8" xfId="0" applyNumberFormat="1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9" fontId="3" fillId="3" borderId="15" xfId="1" applyNumberFormat="1" applyFont="1" applyFill="1" applyBorder="1" applyAlignment="1">
      <alignment vertical="center"/>
    </xf>
    <xf numFmtId="169" fontId="3" fillId="3" borderId="0" xfId="1" applyNumberFormat="1" applyFont="1" applyFill="1" applyBorder="1" applyAlignment="1">
      <alignment vertical="center"/>
    </xf>
    <xf numFmtId="43" fontId="3" fillId="4" borderId="0" xfId="1" applyFont="1" applyFill="1" applyBorder="1" applyAlignment="1">
      <alignment vertic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left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10" fontId="15" fillId="0" borderId="9" xfId="0" applyNumberFormat="1" applyFont="1" applyFill="1" applyBorder="1" applyAlignment="1">
      <alignment horizontal="center" vertical="center"/>
    </xf>
    <xf numFmtId="10" fontId="15" fillId="0" borderId="10" xfId="0" applyNumberFormat="1" applyFont="1" applyFill="1" applyBorder="1" applyAlignment="1">
      <alignment horizontal="center" vertical="center"/>
    </xf>
    <xf numFmtId="10" fontId="15" fillId="0" borderId="11" xfId="0" applyNumberFormat="1" applyFont="1" applyFill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3" fillId="9" borderId="0" xfId="0" applyFont="1" applyFill="1" applyAlignment="1">
      <alignment horizontal="left" vertical="center"/>
    </xf>
    <xf numFmtId="0" fontId="3" fillId="22" borderId="0" xfId="0" applyFont="1" applyFill="1" applyAlignment="1">
      <alignment horizontal="left" vertical="center"/>
    </xf>
    <xf numFmtId="0" fontId="3" fillId="14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7" borderId="0" xfId="0" applyNumberFormat="1" applyFont="1" applyFill="1" applyBorder="1" applyAlignment="1">
      <alignment horizontal="center"/>
    </xf>
    <xf numFmtId="164" fontId="3" fillId="17" borderId="2" xfId="0" applyNumberFormat="1" applyFont="1" applyFill="1" applyBorder="1" applyAlignment="1">
      <alignment horizontal="center" vertical="center" textRotation="90" wrapText="1"/>
    </xf>
    <xf numFmtId="164" fontId="3" fillId="17" borderId="3" xfId="0" applyNumberFormat="1" applyFont="1" applyFill="1" applyBorder="1" applyAlignment="1">
      <alignment horizontal="center" vertical="center" textRotation="90" wrapText="1"/>
    </xf>
    <xf numFmtId="164" fontId="3" fillId="17" borderId="4" xfId="0" applyNumberFormat="1" applyFont="1" applyFill="1" applyBorder="1" applyAlignment="1">
      <alignment horizontal="center" vertical="center" textRotation="90" wrapText="1"/>
    </xf>
  </cellXfs>
  <cellStyles count="6">
    <cellStyle name="Hipervínculo" xfId="5" builtinId="8"/>
    <cellStyle name="Millares" xfId="1" builtinId="3"/>
    <cellStyle name="Moneda" xfId="3" builtinId="4"/>
    <cellStyle name="Normal" xfId="0" builtinId="0"/>
    <cellStyle name="Normal_Presupuesto 2009" xfId="4"/>
    <cellStyle name="Porcentaje" xfId="2" builtinId="5"/>
  </cellStyles>
  <dxfs count="0"/>
  <tableStyles count="0" defaultTableStyle="TableStyleMedium9" defaultPivotStyle="PivotStyleLight16"/>
  <colors>
    <mruColors>
      <color rgb="FFCC3399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hartsheet" Target="chartsheets/sheet5.xml"/><Relationship Id="rId18" Type="http://schemas.openxmlformats.org/officeDocument/2006/relationships/chartsheet" Target="chartsheets/sheet10.xml"/><Relationship Id="rId26" Type="http://schemas.openxmlformats.org/officeDocument/2006/relationships/chartsheet" Target="chartsheets/sheet18.xml"/><Relationship Id="rId3" Type="http://schemas.openxmlformats.org/officeDocument/2006/relationships/worksheet" Target="worksheets/sheet3.xml"/><Relationship Id="rId21" Type="http://schemas.openxmlformats.org/officeDocument/2006/relationships/chartsheet" Target="chartsheets/sheet13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4.xml"/><Relationship Id="rId17" Type="http://schemas.openxmlformats.org/officeDocument/2006/relationships/chartsheet" Target="chartsheets/sheet9.xml"/><Relationship Id="rId25" Type="http://schemas.openxmlformats.org/officeDocument/2006/relationships/chartsheet" Target="chartsheets/sheet17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8.xml"/><Relationship Id="rId20" Type="http://schemas.openxmlformats.org/officeDocument/2006/relationships/chartsheet" Target="chartsheets/sheet12.xml"/><Relationship Id="rId29" Type="http://schemas.openxmlformats.org/officeDocument/2006/relationships/chartsheet" Target="chartsheets/sheet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3.xml"/><Relationship Id="rId24" Type="http://schemas.openxmlformats.org/officeDocument/2006/relationships/chartsheet" Target="chartsheets/sheet16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7.xml"/><Relationship Id="rId23" Type="http://schemas.openxmlformats.org/officeDocument/2006/relationships/chartsheet" Target="chartsheets/sheet15.xml"/><Relationship Id="rId28" Type="http://schemas.openxmlformats.org/officeDocument/2006/relationships/chartsheet" Target="chartsheets/sheet20.xml"/><Relationship Id="rId10" Type="http://schemas.openxmlformats.org/officeDocument/2006/relationships/chartsheet" Target="chartsheets/sheet2.xml"/><Relationship Id="rId19" Type="http://schemas.openxmlformats.org/officeDocument/2006/relationships/chartsheet" Target="chartsheets/sheet11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chartsheet" Target="chartsheets/sheet6.xml"/><Relationship Id="rId22" Type="http://schemas.openxmlformats.org/officeDocument/2006/relationships/chartsheet" Target="chartsheets/sheet14.xml"/><Relationship Id="rId27" Type="http://schemas.openxmlformats.org/officeDocument/2006/relationships/chartsheet" Target="chartsheets/sheet19.xml"/><Relationship Id="rId30" Type="http://schemas.openxmlformats.org/officeDocument/2006/relationships/chartsheet" Target="chartsheets/sheet22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Sensibilidad del valor de la empresa a la tasa de crecimiento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spPr>
            <a:ln w="34925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('A. Sensibilidad'!$B$7,'A. Sensibilidad'!$B$11,'A. Sensibilidad'!$B$15,'A. Sensibilidad'!$B$19,'A. Sensibilidad'!$B$23)</c:f>
              <c:numCache>
                <c:formatCode>0.00%</c:formatCode>
                <c:ptCount val="5"/>
                <c:pt idx="0">
                  <c:v>3.4974999999999999E-2</c:v>
                </c:pt>
                <c:pt idx="1">
                  <c:v>3.9974999999999997E-2</c:v>
                </c:pt>
                <c:pt idx="2">
                  <c:v>4.4974999999999994E-2</c:v>
                </c:pt>
                <c:pt idx="3">
                  <c:v>4.9974999999999992E-2</c:v>
                </c:pt>
                <c:pt idx="4">
                  <c:v>5.4974999999999989E-2</c:v>
                </c:pt>
              </c:numCache>
            </c:numRef>
          </c:cat>
          <c:val>
            <c:numRef>
              <c:f>('A. Sensibilidad'!$D$9,'A. Sensibilidad'!$D$13,'A. Sensibilidad'!$D$17,'A. Sensibilidad'!$D$21,'A. Sensibilidad'!$D$25)</c:f>
              <c:numCache>
                <c:formatCode>_(* #,##0.00_);_(* \(#,##0.00\);_(* "-"??_);_(@_)</c:formatCode>
                <c:ptCount val="5"/>
                <c:pt idx="0">
                  <c:v>63825.031008200072</c:v>
                </c:pt>
                <c:pt idx="1">
                  <c:v>65641.936854987085</c:v>
                </c:pt>
                <c:pt idx="2">
                  <c:v>67630.208497273925</c:v>
                </c:pt>
                <c:pt idx="3">
                  <c:v>69815.29000269236</c:v>
                </c:pt>
                <c:pt idx="4">
                  <c:v>72227.924906227796</c:v>
                </c:pt>
              </c:numCache>
            </c:numRef>
          </c:val>
          <c:smooth val="0"/>
        </c:ser>
        <c:ser>
          <c:idx val="0"/>
          <c:order val="0"/>
          <c:spPr>
            <a:ln w="34925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2254008517273833E-2"/>
                  <c:y val="-3.579417503821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94537833920940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9453783392094742E-3"/>
                  <c:y val="2.9064478515743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904412093616434E-2"/>
                  <c:y val="2.9064478515743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('A. Sensibilidad'!$B$7,'A. Sensibilidad'!$B$11,'A. Sensibilidad'!$B$15,'A. Sensibilidad'!$B$19,'A. Sensibilidad'!$B$23)</c:f>
              <c:numCache>
                <c:formatCode>0.00%</c:formatCode>
                <c:ptCount val="5"/>
                <c:pt idx="0">
                  <c:v>3.4974999999999999E-2</c:v>
                </c:pt>
                <c:pt idx="1">
                  <c:v>3.9974999999999997E-2</c:v>
                </c:pt>
                <c:pt idx="2">
                  <c:v>4.4974999999999994E-2</c:v>
                </c:pt>
                <c:pt idx="3">
                  <c:v>4.9974999999999992E-2</c:v>
                </c:pt>
                <c:pt idx="4">
                  <c:v>5.4974999999999989E-2</c:v>
                </c:pt>
              </c:numCache>
            </c:numRef>
          </c:cat>
          <c:val>
            <c:numRef>
              <c:f>('A. Sensibilidad'!$D$9,'A. Sensibilidad'!$D$13,'A. Sensibilidad'!$D$17,'A. Sensibilidad'!$D$21,'A. Sensibilidad'!$D$25)</c:f>
              <c:numCache>
                <c:formatCode>_(* #,##0.00_);_(* \(#,##0.00\);_(* "-"??_);_(@_)</c:formatCode>
                <c:ptCount val="5"/>
                <c:pt idx="0">
                  <c:v>63825.031008200072</c:v>
                </c:pt>
                <c:pt idx="1">
                  <c:v>65641.936854987085</c:v>
                </c:pt>
                <c:pt idx="2">
                  <c:v>67630.208497273925</c:v>
                </c:pt>
                <c:pt idx="3">
                  <c:v>69815.29000269236</c:v>
                </c:pt>
                <c:pt idx="4">
                  <c:v>72227.924906227796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marker val="1"/>
        <c:smooth val="0"/>
        <c:axId val="128966144"/>
        <c:axId val="75411968"/>
      </c:lineChart>
      <c:catAx>
        <c:axId val="12896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Tasa de crecimiento (g)</a:t>
                </a:r>
              </a:p>
            </c:rich>
          </c:tx>
          <c:layout/>
          <c:overlay val="0"/>
        </c:title>
        <c:numFmt formatCode="0.00%" sourceLinked="1"/>
        <c:majorTickMark val="none"/>
        <c:minorTickMark val="none"/>
        <c:tickLblPos val="nextTo"/>
        <c:crossAx val="75411968"/>
        <c:crosses val="autoZero"/>
        <c:auto val="1"/>
        <c:lblAlgn val="ctr"/>
        <c:lblOffset val="100"/>
        <c:noMultiLvlLbl val="0"/>
      </c:catAx>
      <c:valAx>
        <c:axId val="75411968"/>
        <c:scaling>
          <c:orientation val="minMax"/>
          <c:min val="63000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Valor</a:t>
                </a:r>
                <a:r>
                  <a:rPr lang="es-CO" b="1" baseline="0"/>
                  <a:t> Empresa </a:t>
                </a:r>
              </a:p>
              <a:p>
                <a:pPr>
                  <a:defRPr b="1"/>
                </a:pPr>
                <a:r>
                  <a:rPr lang="es-CO" b="1" baseline="0"/>
                  <a:t>miles  de millones  $ COP</a:t>
                </a:r>
                <a:endParaRPr lang="es-CO" b="1"/>
              </a:p>
            </c:rich>
          </c:tx>
          <c:layout/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2896614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</c:sp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Carteras Colectivas (SAG)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Comportamiento Historico y Proyectado de Ingresos</a:t>
            </a:r>
            <a:endParaRPr lang="es-CO" sz="1600">
              <a:effectLst/>
            </a:endParaRPr>
          </a:p>
          <a:p>
            <a:pPr>
              <a:defRPr/>
            </a:pPr>
            <a:r>
              <a:rPr lang="es-CO" sz="1400" b="0" i="1" baseline="0">
                <a:effectLst/>
              </a:rPr>
              <a:t>Cifras en miles de millones $COP</a:t>
            </a:r>
            <a:endParaRPr lang="en-US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PryIngresos!$D$29</c:f>
              <c:strCache>
                <c:ptCount val="1"/>
                <c:pt idx="0">
                  <c:v>SAG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Lbls>
            <c:numFmt formatCode="#,##0" sourceLinked="0"/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PryIngresos!$A$38:$A$47</c:f>
              <c:numCache>
                <c:formatCode>0_);\(0\)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PryIngresos!$D$38:$D$47</c:f>
              <c:numCache>
                <c:formatCode>_(* #,##0.00_);_(* \(#,##0.00\);_(* "-"??_);_(@_)</c:formatCode>
                <c:ptCount val="10"/>
                <c:pt idx="0">
                  <c:v>95.712763662313634</c:v>
                </c:pt>
                <c:pt idx="1">
                  <c:v>90.296284832226945</c:v>
                </c:pt>
                <c:pt idx="2">
                  <c:v>93.456654801354873</c:v>
                </c:pt>
                <c:pt idx="3">
                  <c:v>96.727637719402296</c:v>
                </c:pt>
                <c:pt idx="4">
                  <c:v>100.11310503958136</c:v>
                </c:pt>
                <c:pt idx="5">
                  <c:v>103.61706371596668</c:v>
                </c:pt>
                <c:pt idx="6">
                  <c:v>107.24366094602551</c:v>
                </c:pt>
                <c:pt idx="7">
                  <c:v>110.9971890791364</c:v>
                </c:pt>
                <c:pt idx="8">
                  <c:v>114.88209069690616</c:v>
                </c:pt>
                <c:pt idx="9">
                  <c:v>118.90296387129787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38989056"/>
        <c:axId val="139131072"/>
      </c:barChart>
      <c:catAx>
        <c:axId val="138989056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crossAx val="139131072"/>
        <c:crosses val="autoZero"/>
        <c:auto val="1"/>
        <c:lblAlgn val="ctr"/>
        <c:lblOffset val="100"/>
        <c:noMultiLvlLbl val="0"/>
      </c:catAx>
      <c:valAx>
        <c:axId val="13913107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138989056"/>
        <c:crosses val="autoZero"/>
        <c:crossBetween val="between"/>
      </c:valAx>
    </c:plotArea>
    <c:plotVisOnly val="1"/>
    <c:dispBlanksAs val="gap"/>
    <c:showDLblsOverMax val="0"/>
  </c:char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600"/>
              <a:t>Mercado de Fisicos Disponibles (DIS)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Comportamiento Historico y Proyectado de Ingresos</a:t>
            </a:r>
            <a:endParaRPr lang="es-CO" sz="1600">
              <a:effectLst/>
            </a:endParaRPr>
          </a:p>
          <a:p>
            <a:pPr>
              <a:defRPr/>
            </a:pPr>
            <a:r>
              <a:rPr lang="es-CO" sz="1400" b="0" i="1" baseline="0">
                <a:effectLst/>
              </a:rPr>
              <a:t>Cifras en miles de millones $COP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0924853863565834"/>
          <c:y val="3.635179376860923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6122932222401364E-2"/>
          <c:y val="7.704560734846902E-2"/>
          <c:w val="0.96775413555519774"/>
          <c:h val="0.872361473586589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PryIngresos!$H$29</c:f>
              <c:strCache>
                <c:ptCount val="1"/>
                <c:pt idx="0">
                  <c:v>DIS</c:v>
                </c:pt>
              </c:strCache>
            </c:strRef>
          </c:tx>
          <c:invertIfNegative val="0"/>
          <c:dPt>
            <c:idx val="10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1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13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14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15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16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17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Lbls>
            <c:dLbl>
              <c:idx val="8"/>
              <c:numFmt formatCode="#,##0.0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.0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#,##0.0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 rot="-5400000" vert="horz"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PryIngresos!$A$30:$A$47</c:f>
              <c:numCache>
                <c:formatCode>0_);\(0\)</c:formatCode>
                <c:ptCount val="1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</c:numCache>
            </c:numRef>
          </c:cat>
          <c:val>
            <c:numRef>
              <c:f>PryIngresos!$H$30:$H$47</c:f>
              <c:numCache>
                <c:formatCode>_(* #,##0.00_);_(* \(#,##0.00\);_(* "-"??_);_(@_)</c:formatCode>
                <c:ptCount val="18"/>
                <c:pt idx="0">
                  <c:v>110.94736806</c:v>
                </c:pt>
                <c:pt idx="1">
                  <c:v>244.61240413600001</c:v>
                </c:pt>
                <c:pt idx="2">
                  <c:v>251.197004924</c:v>
                </c:pt>
                <c:pt idx="3">
                  <c:v>34.985147612000006</c:v>
                </c:pt>
                <c:pt idx="4">
                  <c:v>12.554140286000001</c:v>
                </c:pt>
                <c:pt idx="5">
                  <c:v>9.0826881640000003</c:v>
                </c:pt>
                <c:pt idx="6">
                  <c:v>6.7824998360000004</c:v>
                </c:pt>
                <c:pt idx="7">
                  <c:v>5.6249274670999982</c:v>
                </c:pt>
                <c:pt idx="8">
                  <c:v>0</c:v>
                </c:pt>
                <c:pt idx="9">
                  <c:v>0.47752243458166505</c:v>
                </c:pt>
                <c:pt idx="10">
                  <c:v>0.4942357197920233</c:v>
                </c:pt>
                <c:pt idx="11">
                  <c:v>0.5115339699847441</c:v>
                </c:pt>
                <c:pt idx="12">
                  <c:v>37.322030583069584</c:v>
                </c:pt>
                <c:pt idx="13">
                  <c:v>200.59363061139581</c:v>
                </c:pt>
                <c:pt idx="14">
                  <c:v>430.65470861769165</c:v>
                </c:pt>
                <c:pt idx="15">
                  <c:v>923.38684587047317</c:v>
                </c:pt>
                <c:pt idx="16">
                  <c:v>1483.1318857108595</c:v>
                </c:pt>
                <c:pt idx="17">
                  <c:v>2115.1338566267773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39374592"/>
        <c:axId val="139130496"/>
      </c:barChart>
      <c:catAx>
        <c:axId val="139374592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crossAx val="139130496"/>
        <c:crosses val="autoZero"/>
        <c:auto val="1"/>
        <c:lblAlgn val="ctr"/>
        <c:lblOffset val="100"/>
        <c:noMultiLvlLbl val="0"/>
      </c:catAx>
      <c:valAx>
        <c:axId val="139130496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139374592"/>
        <c:crosses val="autoZero"/>
        <c:crossBetween val="between"/>
      </c:valAx>
    </c:plotArea>
    <c:plotVisOnly val="1"/>
    <c:dispBlanksAs val="gap"/>
    <c:showDLblsOverMax val="0"/>
  </c:char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 b="1" i="0" baseline="0">
                <a:effectLst/>
              </a:rPr>
              <a:t>Mercado de Fisicos Forward (FWD)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Comportamiento Historico y Proyectado de Ingresos</a:t>
            </a:r>
            <a:endParaRPr lang="es-CO" sz="1600">
              <a:effectLst/>
            </a:endParaRPr>
          </a:p>
          <a:p>
            <a:pPr>
              <a:defRPr/>
            </a:pPr>
            <a:r>
              <a:rPr lang="es-CO" sz="1400" b="0" i="1" baseline="0">
                <a:effectLst/>
              </a:rPr>
              <a:t>Cifras en miles de millones $COP</a:t>
            </a:r>
            <a:endParaRPr lang="es-CO" sz="14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PryIngresos!$F$29</c:f>
              <c:strCache>
                <c:ptCount val="1"/>
                <c:pt idx="0">
                  <c:v>FWD</c:v>
                </c:pt>
              </c:strCache>
            </c:strRef>
          </c:tx>
          <c:invertIfNegative val="0"/>
          <c:dPt>
            <c:idx val="1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1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3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00B050"/>
              </a:solidFill>
            </c:spPr>
          </c:dPt>
          <c:dLbls>
            <c:numFmt formatCode="#,##0" sourceLinked="0"/>
            <c:txPr>
              <a:bodyPr rot="-5400000" vert="horz"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PryIngresos!$A$30:$A$47</c:f>
              <c:numCache>
                <c:formatCode>0_);\(0\)</c:formatCode>
                <c:ptCount val="1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</c:numCache>
            </c:numRef>
          </c:cat>
          <c:val>
            <c:numRef>
              <c:f>PryIngresos!$F$30:$F$47</c:f>
              <c:numCache>
                <c:formatCode>_(* #,##0.00_);_(* \(#,##0.00\);_(* "-"??_);_(@_)</c:formatCode>
                <c:ptCount val="18"/>
                <c:pt idx="0">
                  <c:v>767.56564572000002</c:v>
                </c:pt>
                <c:pt idx="1">
                  <c:v>702.37694160800004</c:v>
                </c:pt>
                <c:pt idx="2">
                  <c:v>516.838475442</c:v>
                </c:pt>
                <c:pt idx="3">
                  <c:v>418.50856657399999</c:v>
                </c:pt>
                <c:pt idx="4">
                  <c:v>229.61140613200001</c:v>
                </c:pt>
                <c:pt idx="5">
                  <c:v>290.77992160600002</c:v>
                </c:pt>
                <c:pt idx="6">
                  <c:v>247.25091912600001</c:v>
                </c:pt>
                <c:pt idx="7">
                  <c:v>84.013898254000011</c:v>
                </c:pt>
                <c:pt idx="8">
                  <c:v>102.05797107800001</c:v>
                </c:pt>
                <c:pt idx="9">
                  <c:v>68.538375544000004</c:v>
                </c:pt>
                <c:pt idx="10">
                  <c:v>70.937218688039991</c:v>
                </c:pt>
                <c:pt idx="11">
                  <c:v>127.68699363847199</c:v>
                </c:pt>
                <c:pt idx="12">
                  <c:v>178.76179109386078</c:v>
                </c:pt>
                <c:pt idx="13">
                  <c:v>185.01845378214591</c:v>
                </c:pt>
                <c:pt idx="14">
                  <c:v>191.494099664521</c:v>
                </c:pt>
                <c:pt idx="15">
                  <c:v>198.19639315277922</c:v>
                </c:pt>
                <c:pt idx="16">
                  <c:v>205.13326691312648</c:v>
                </c:pt>
                <c:pt idx="17">
                  <c:v>212.31293125508589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39376128"/>
        <c:axId val="139060928"/>
      </c:barChart>
      <c:catAx>
        <c:axId val="139376128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crossAx val="139060928"/>
        <c:crosses val="autoZero"/>
        <c:auto val="1"/>
        <c:lblAlgn val="ctr"/>
        <c:lblOffset val="100"/>
        <c:noMultiLvlLbl val="0"/>
      </c:catAx>
      <c:valAx>
        <c:axId val="139060928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139376128"/>
        <c:crosses val="autoZero"/>
        <c:crossBetween val="between"/>
      </c:valAx>
    </c:plotArea>
    <c:plotVisOnly val="1"/>
    <c:dispBlanksAs val="gap"/>
    <c:showDLblsOverMax val="0"/>
  </c:char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Mercado de Compras Publicas (MCP)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Comportamiento Historico y Proyectado de Ingresos</a:t>
            </a:r>
            <a:endParaRPr lang="es-CO" sz="1600">
              <a:effectLst/>
            </a:endParaRPr>
          </a:p>
          <a:p>
            <a:pPr>
              <a:defRPr/>
            </a:pPr>
            <a:r>
              <a:rPr lang="es-CO" sz="1400" b="0" i="1" baseline="0">
                <a:effectLst/>
              </a:rPr>
              <a:t>Cifras en miles de millones $COP</a:t>
            </a:r>
            <a:endParaRPr lang="es-CO" sz="1400">
              <a:effectLst/>
            </a:endParaRPr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PryIngresos!$N$29</c:f>
              <c:strCache>
                <c:ptCount val="1"/>
                <c:pt idx="0">
                  <c:v>MCP</c:v>
                </c:pt>
              </c:strCache>
            </c:strRef>
          </c:tx>
          <c:invertIfNegative val="0"/>
          <c:dPt>
            <c:idx val="8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2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3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FF0000"/>
              </a:solidFill>
            </c:spPr>
          </c:dPt>
          <c:dLbls>
            <c:numFmt formatCode="#,##0" sourceLinked="0"/>
            <c:txPr>
              <a:bodyPr rot="-5400000" vert="horz"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PryIngresos!$A$32:$A$47</c:f>
              <c:numCache>
                <c:formatCode>0_);\(0\)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PryIngresos!$N$32:$N$47</c:f>
              <c:numCache>
                <c:formatCode>_(* #,##0.00_);_(* \(#,##0.00\);_(* "-"??_);_(@_)</c:formatCode>
                <c:ptCount val="16"/>
                <c:pt idx="0">
                  <c:v>474.29673856739998</c:v>
                </c:pt>
                <c:pt idx="1">
                  <c:v>1229.3276602344001</c:v>
                </c:pt>
                <c:pt idx="2">
                  <c:v>2195.9490349407997</c:v>
                </c:pt>
                <c:pt idx="3">
                  <c:v>2343.5791262046</c:v>
                </c:pt>
                <c:pt idx="4">
                  <c:v>1737.8311551456</c:v>
                </c:pt>
                <c:pt idx="5">
                  <c:v>2524.5869350188</c:v>
                </c:pt>
                <c:pt idx="6">
                  <c:v>2781.7191013206002</c:v>
                </c:pt>
                <c:pt idx="7">
                  <c:v>3584.4224932293996</c:v>
                </c:pt>
                <c:pt idx="8">
                  <c:v>3479.9999999999995</c:v>
                </c:pt>
                <c:pt idx="9">
                  <c:v>5800</c:v>
                </c:pt>
                <c:pt idx="10">
                  <c:v>6411.32</c:v>
                </c:pt>
                <c:pt idx="11">
                  <c:v>7087.0731279999991</c:v>
                </c:pt>
                <c:pt idx="12">
                  <c:v>7834.0506356911992</c:v>
                </c:pt>
                <c:pt idx="13">
                  <c:v>8659.7595726930522</c:v>
                </c:pt>
                <c:pt idx="14">
                  <c:v>9572.4982316548994</c:v>
                </c:pt>
                <c:pt idx="15">
                  <c:v>10581.439545271323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48836352"/>
        <c:axId val="139062656"/>
      </c:barChart>
      <c:catAx>
        <c:axId val="148836352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139062656"/>
        <c:crosses val="autoZero"/>
        <c:auto val="1"/>
        <c:lblAlgn val="ctr"/>
        <c:lblOffset val="100"/>
        <c:noMultiLvlLbl val="0"/>
      </c:catAx>
      <c:valAx>
        <c:axId val="139062656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148836352"/>
        <c:crosses val="autoZero"/>
        <c:crossBetween val="between"/>
      </c:valAx>
    </c:plotArea>
    <c:plotVisOnly val="1"/>
    <c:dispBlanksAs val="gap"/>
    <c:showDLblsOverMax val="0"/>
  </c:char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600"/>
              <a:t>Venta de Facturas (VF) 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Comportamiento Historico y Proyectado de Ingresos</a:t>
            </a:r>
            <a:endParaRPr lang="es-CO" sz="1600">
              <a:effectLst/>
            </a:endParaRPr>
          </a:p>
          <a:p>
            <a:pPr>
              <a:defRPr/>
            </a:pPr>
            <a:r>
              <a:rPr lang="es-CO" sz="1400" b="0" i="1" baseline="0">
                <a:effectLst/>
              </a:rPr>
              <a:t>Cifras en miles de millones $COP</a:t>
            </a:r>
            <a:endParaRPr lang="es-CO" sz="1400">
              <a:effectLst/>
            </a:endParaRPr>
          </a:p>
          <a:p>
            <a:pPr>
              <a:defRPr/>
            </a:pP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6122932222401364E-2"/>
          <c:y val="0.14969878579284132"/>
          <c:w val="0.96775413555519774"/>
          <c:h val="0.79970829514221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PryIngresos!$J$29</c:f>
              <c:strCache>
                <c:ptCount val="1"/>
                <c:pt idx="0">
                  <c:v>VF</c:v>
                </c:pt>
              </c:strCache>
            </c:strRef>
          </c:tx>
          <c:invertIfNegative val="0"/>
          <c:dPt>
            <c:idx val="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Lbls>
            <c:numFmt formatCode="#,##0" sourceLinked="0"/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PryIngresos!$A$37:$A$47</c:f>
              <c:numCache>
                <c:formatCode>0_);\(0\)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PryIngresos!$J$37:$J$47</c:f>
              <c:numCache>
                <c:formatCode>_(* #,##0.00_);_(* \(#,##0.00\);_(* "-"??_);_(@_)</c:formatCode>
                <c:ptCount val="11"/>
                <c:pt idx="0">
                  <c:v>30.074451196000002</c:v>
                </c:pt>
                <c:pt idx="1">
                  <c:v>129.25716239400001</c:v>
                </c:pt>
                <c:pt idx="2">
                  <c:v>146.86485235399999</c:v>
                </c:pt>
                <c:pt idx="3">
                  <c:v>0</c:v>
                </c:pt>
                <c:pt idx="4">
                  <c:v>101.8464</c:v>
                </c:pt>
                <c:pt idx="5">
                  <c:v>284.56902624000003</c:v>
                </c:pt>
                <c:pt idx="6">
                  <c:v>465.95332356537597</c:v>
                </c:pt>
                <c:pt idx="7">
                  <c:v>540.73883199761883</c:v>
                </c:pt>
                <c:pt idx="8">
                  <c:v>560.25950383273289</c:v>
                </c:pt>
                <c:pt idx="9">
                  <c:v>580.48487192109462</c:v>
                </c:pt>
                <c:pt idx="10">
                  <c:v>601.44037579744611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48837888"/>
        <c:axId val="139064384"/>
      </c:barChart>
      <c:catAx>
        <c:axId val="148837888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crossAx val="139064384"/>
        <c:crosses val="autoZero"/>
        <c:auto val="1"/>
        <c:lblAlgn val="ctr"/>
        <c:lblOffset val="100"/>
        <c:noMultiLvlLbl val="0"/>
      </c:catAx>
      <c:valAx>
        <c:axId val="139064384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148837888"/>
        <c:crosses val="autoZero"/>
        <c:crossBetween val="between"/>
      </c:valAx>
    </c:plotArea>
    <c:plotVisOnly val="1"/>
    <c:dispBlanksAs val="gap"/>
    <c:showDLblsOverMax val="0"/>
  </c:char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600"/>
              <a:t>Repo sobre Certificado de Deposito de Mercancia (CDM)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Comportamiento Historico y Proyectado de Ingresos</a:t>
            </a:r>
            <a:endParaRPr lang="es-CO" sz="1600">
              <a:effectLst/>
            </a:endParaRPr>
          </a:p>
          <a:p>
            <a:pPr>
              <a:defRPr/>
            </a:pPr>
            <a:r>
              <a:rPr lang="es-CO" sz="1400" b="0" i="1" baseline="0">
                <a:effectLst/>
              </a:rPr>
              <a:t>Cifras en miles de millones $COP</a:t>
            </a:r>
            <a:endParaRPr lang="es-CO" sz="1400">
              <a:effectLst/>
            </a:endParaRPr>
          </a:p>
          <a:p>
            <a:pPr>
              <a:defRPr/>
            </a:pPr>
            <a:endParaRPr lang="es-C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PryIngresos!$L$29</c:f>
              <c:strCache>
                <c:ptCount val="1"/>
                <c:pt idx="0">
                  <c:v>CDM</c:v>
                </c:pt>
              </c:strCache>
            </c:strRef>
          </c:tx>
          <c:invertIfNegative val="0"/>
          <c:dPt>
            <c:idx val="1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5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6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7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Lbls>
            <c:numFmt formatCode="#,##0" sourceLinked="0"/>
            <c:txPr>
              <a:bodyPr rot="-5400000" vert="horz"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PryIngresos!$A$30:$A$47</c:f>
              <c:numCache>
                <c:formatCode>0_);\(0\)</c:formatCode>
                <c:ptCount val="1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</c:numCache>
            </c:numRef>
          </c:cat>
          <c:val>
            <c:numRef>
              <c:f>PryIngresos!$L$30:$L$47</c:f>
              <c:numCache>
                <c:formatCode>_(* #,##0.00_);_(* \(#,##0.00\);_(* "-"??_);_(@_)</c:formatCode>
                <c:ptCount val="18"/>
                <c:pt idx="0">
                  <c:v>325.57202659399996</c:v>
                </c:pt>
                <c:pt idx="1">
                  <c:v>279.97617141400002</c:v>
                </c:pt>
                <c:pt idx="2">
                  <c:v>200.906054114</c:v>
                </c:pt>
                <c:pt idx="3">
                  <c:v>362.80481843800004</c:v>
                </c:pt>
                <c:pt idx="4">
                  <c:v>365.48864063000002</c:v>
                </c:pt>
                <c:pt idx="5">
                  <c:v>386.87379978000001</c:v>
                </c:pt>
                <c:pt idx="6">
                  <c:v>485.01070000599998</c:v>
                </c:pt>
                <c:pt idx="7">
                  <c:v>216.685358734</c:v>
                </c:pt>
                <c:pt idx="8">
                  <c:v>212.65942355799999</c:v>
                </c:pt>
                <c:pt idx="9">
                  <c:v>182.25225053800003</c:v>
                </c:pt>
                <c:pt idx="10">
                  <c:v>156.73693546267998</c:v>
                </c:pt>
                <c:pt idx="11">
                  <c:v>188.08432255521598</c:v>
                </c:pt>
                <c:pt idx="12">
                  <c:v>225.70118706625914</c:v>
                </c:pt>
                <c:pt idx="13">
                  <c:v>270.84142447951098</c:v>
                </c:pt>
                <c:pt idx="14">
                  <c:v>325.00970937541319</c:v>
                </c:pt>
                <c:pt idx="15">
                  <c:v>390.01165125049579</c:v>
                </c:pt>
                <c:pt idx="16">
                  <c:v>468.01398150059492</c:v>
                </c:pt>
                <c:pt idx="17">
                  <c:v>561.61677780071386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48838400"/>
        <c:axId val="139066112"/>
      </c:barChart>
      <c:catAx>
        <c:axId val="148838400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crossAx val="139066112"/>
        <c:crosses val="autoZero"/>
        <c:auto val="1"/>
        <c:lblAlgn val="ctr"/>
        <c:lblOffset val="100"/>
        <c:noMultiLvlLbl val="0"/>
      </c:catAx>
      <c:valAx>
        <c:axId val="13906611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148838400"/>
        <c:crosses val="autoZero"/>
        <c:crossBetween val="between"/>
      </c:valAx>
    </c:plotArea>
    <c:plotVisOnly val="1"/>
    <c:dispBlanksAs val="gap"/>
    <c:showDLblsOverMax val="0"/>
  </c:char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Convenios (MADR)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Comportamiento Historico y Proyectado de Ingresos</a:t>
            </a:r>
            <a:endParaRPr lang="es-CO" sz="1600">
              <a:effectLst/>
            </a:endParaRPr>
          </a:p>
          <a:p>
            <a:pPr>
              <a:defRPr/>
            </a:pPr>
            <a:r>
              <a:rPr lang="es-CO" sz="1400" b="0" i="1" baseline="0">
                <a:effectLst/>
              </a:rPr>
              <a:t>Cifras en miles de millones $COP</a:t>
            </a:r>
            <a:endParaRPr lang="es-CO" sz="14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PryIngresos!$P$29</c:f>
              <c:strCache>
                <c:ptCount val="1"/>
                <c:pt idx="0">
                  <c:v>Convenios</c:v>
                </c:pt>
              </c:strCache>
            </c:strRef>
          </c:tx>
          <c:invertIfNegative val="0"/>
          <c:dPt>
            <c:idx val="8"/>
            <c:invertIfNegative val="0"/>
            <c:bubble3D val="0"/>
            <c:spPr>
              <a:solidFill>
                <a:srgbClr val="CC3399"/>
              </a:solidFill>
            </c:spPr>
          </c:dPt>
          <c:dPt>
            <c:idx val="9"/>
            <c:invertIfNegative val="0"/>
            <c:bubble3D val="0"/>
            <c:spPr>
              <a:solidFill>
                <a:srgbClr val="CC3399"/>
              </a:solidFill>
            </c:spPr>
          </c:dPt>
          <c:dPt>
            <c:idx val="10"/>
            <c:invertIfNegative val="0"/>
            <c:bubble3D val="0"/>
            <c:spPr>
              <a:solidFill>
                <a:srgbClr val="CC3399"/>
              </a:solidFill>
            </c:spPr>
          </c:dPt>
          <c:dPt>
            <c:idx val="11"/>
            <c:invertIfNegative val="0"/>
            <c:bubble3D val="0"/>
            <c:spPr>
              <a:solidFill>
                <a:srgbClr val="CC3399"/>
              </a:solidFill>
            </c:spPr>
          </c:dPt>
          <c:dPt>
            <c:idx val="12"/>
            <c:invertIfNegative val="0"/>
            <c:bubble3D val="0"/>
            <c:spPr>
              <a:solidFill>
                <a:srgbClr val="CC3399"/>
              </a:solidFill>
            </c:spPr>
          </c:dPt>
          <c:dPt>
            <c:idx val="13"/>
            <c:invertIfNegative val="0"/>
            <c:bubble3D val="0"/>
            <c:spPr>
              <a:solidFill>
                <a:srgbClr val="CC3399"/>
              </a:solidFill>
            </c:spPr>
          </c:dPt>
          <c:dPt>
            <c:idx val="14"/>
            <c:invertIfNegative val="0"/>
            <c:bubble3D val="0"/>
            <c:spPr>
              <a:solidFill>
                <a:srgbClr val="CC3399"/>
              </a:solidFill>
            </c:spPr>
          </c:dPt>
          <c:dPt>
            <c:idx val="15"/>
            <c:invertIfNegative val="0"/>
            <c:bubble3D val="0"/>
            <c:spPr>
              <a:solidFill>
                <a:srgbClr val="CC3399"/>
              </a:solidFill>
            </c:spPr>
          </c:dPt>
          <c:dLbls>
            <c:numFmt formatCode="#,##0" sourceLinked="0"/>
            <c:txPr>
              <a:bodyPr rot="-5400000" vert="horz"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PryIngresos!$A$32:$A$47</c:f>
              <c:numCache>
                <c:formatCode>0_);\(0\)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PryIngresos!$P$32:$P$47</c:f>
              <c:numCache>
                <c:formatCode>_(* #,##0.00_);_(* \(#,##0.00\);_(* "-"??_);_(@_)</c:formatCode>
                <c:ptCount val="16"/>
                <c:pt idx="0">
                  <c:v>1108.845</c:v>
                </c:pt>
                <c:pt idx="1">
                  <c:v>1964.367</c:v>
                </c:pt>
                <c:pt idx="2">
                  <c:v>3928.692</c:v>
                </c:pt>
                <c:pt idx="3">
                  <c:v>5366.6080000000002</c:v>
                </c:pt>
                <c:pt idx="4">
                  <c:v>5301.2619510000004</c:v>
                </c:pt>
                <c:pt idx="5">
                  <c:v>2908.1954110000001</c:v>
                </c:pt>
                <c:pt idx="6">
                  <c:v>774.91823599999998</c:v>
                </c:pt>
                <c:pt idx="7">
                  <c:v>1691.1690000000001</c:v>
                </c:pt>
                <c:pt idx="8">
                  <c:v>1750.3599149999998</c:v>
                </c:pt>
                <c:pt idx="9">
                  <c:v>1811.6225120249997</c:v>
                </c:pt>
                <c:pt idx="10">
                  <c:v>1875.0292999458745</c:v>
                </c:pt>
                <c:pt idx="11">
                  <c:v>1940.65532544398</c:v>
                </c:pt>
                <c:pt idx="12">
                  <c:v>2008.5782618345193</c:v>
                </c:pt>
                <c:pt idx="13">
                  <c:v>2078.8785009987273</c:v>
                </c:pt>
                <c:pt idx="14">
                  <c:v>2151.6392485336823</c:v>
                </c:pt>
                <c:pt idx="15">
                  <c:v>2226.9466222323608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9597056"/>
        <c:axId val="137699904"/>
      </c:barChart>
      <c:catAx>
        <c:axId val="39597056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crossAx val="137699904"/>
        <c:crosses val="autoZero"/>
        <c:auto val="1"/>
        <c:lblAlgn val="ctr"/>
        <c:lblOffset val="100"/>
        <c:noMultiLvlLbl val="0"/>
      </c:catAx>
      <c:valAx>
        <c:axId val="137699904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39597056"/>
        <c:crosses val="autoZero"/>
        <c:crossBetween val="between"/>
      </c:valAx>
    </c:plotArea>
    <c:plotVisOnly val="1"/>
    <c:dispBlanksAs val="gap"/>
    <c:showDLblsOverMax val="0"/>
  </c:char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Proyecto Derivados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Proyección de Ingresos</a:t>
            </a:r>
            <a:endParaRPr lang="es-CO" sz="1600">
              <a:effectLst/>
            </a:endParaRPr>
          </a:p>
          <a:p>
            <a:pPr>
              <a:defRPr/>
            </a:pPr>
            <a:r>
              <a:rPr lang="es-CO" sz="1400" b="0" i="1" baseline="0">
                <a:effectLst/>
              </a:rPr>
              <a:t>Cifras en miles de millones $COP</a:t>
            </a:r>
            <a:endParaRPr lang="es-CO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6122932222401364E-2"/>
          <c:y val="8.6638441815185332E-2"/>
          <c:w val="0.96775413555519774"/>
          <c:h val="0.862768639119873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PryIngresos!$T$29</c:f>
              <c:strCache>
                <c:ptCount val="1"/>
                <c:pt idx="0">
                  <c:v>Proyecto Derivados</c:v>
                </c:pt>
              </c:strCache>
            </c:strRef>
          </c:tx>
          <c:spPr>
            <a:solidFill>
              <a:srgbClr val="996633"/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PryIngresos!$T$40:$T$47</c:f>
              <c:numCache>
                <c:formatCode>_(* #,##0_);_(* \(#,##0\);_(* "-"??_);_(@_)</c:formatCode>
                <c:ptCount val="8"/>
                <c:pt idx="0" formatCode="_(* #,##0.00_);_(* \(#,##0.00\);_(* &quot;-&quot;??_);_(@_)">
                  <c:v>0</c:v>
                </c:pt>
                <c:pt idx="1">
                  <c:v>68.66485606964676</c:v>
                </c:pt>
                <c:pt idx="2">
                  <c:v>113.44203060834751</c:v>
                </c:pt>
                <c:pt idx="3">
                  <c:v>138.82838940577841</c:v>
                </c:pt>
                <c:pt idx="4">
                  <c:v>282.5609893383039</c:v>
                </c:pt>
                <c:pt idx="5">
                  <c:v>443.42405559169435</c:v>
                </c:pt>
                <c:pt idx="6">
                  <c:v>759.92279442108509</c:v>
                </c:pt>
                <c:pt idx="7">
                  <c:v>1233.9186485946475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9686144"/>
        <c:axId val="137701632"/>
      </c:barChart>
      <c:catAx>
        <c:axId val="39686144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crossAx val="137701632"/>
        <c:crosses val="autoZero"/>
        <c:auto val="1"/>
        <c:lblAlgn val="ctr"/>
        <c:lblOffset val="100"/>
        <c:noMultiLvlLbl val="0"/>
      </c:catAx>
      <c:valAx>
        <c:axId val="13770163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39686144"/>
        <c:crosses val="autoZero"/>
        <c:crossBetween val="between"/>
      </c:valAx>
    </c:plotArea>
    <c:plotVisOnly val="1"/>
    <c:dispBlanksAs val="gap"/>
    <c:showDLblsOverMax val="0"/>
  </c:char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Proyecto Gas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Proyección de Ingresos</a:t>
            </a:r>
            <a:endParaRPr lang="es-CO" sz="1600">
              <a:effectLst/>
            </a:endParaRPr>
          </a:p>
          <a:p>
            <a:pPr>
              <a:defRPr/>
            </a:pPr>
            <a:r>
              <a:rPr lang="es-CO" sz="1400" b="0" i="1" baseline="0">
                <a:effectLst/>
              </a:rPr>
              <a:t>Cifras en miles de millones $COP</a:t>
            </a:r>
            <a:endParaRPr lang="es-CO" sz="14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PryIngresos!$V$29</c:f>
              <c:strCache>
                <c:ptCount val="1"/>
                <c:pt idx="0">
                  <c:v>Proyecto Gas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PryIngresos!$V$40:$V$47</c:f>
              <c:numCache>
                <c:formatCode>_(* #,##0_);_(* \(#,##0\);_(* "-"??_);_(@_)</c:formatCode>
                <c:ptCount val="8"/>
                <c:pt idx="0" formatCode="_(* #,##0.00_);_(* \(#,##0.00\);_(* &quot;-&quot;??_);_(@_)">
                  <c:v>0</c:v>
                </c:pt>
                <c:pt idx="1">
                  <c:v>0</c:v>
                </c:pt>
                <c:pt idx="2">
                  <c:v>429.32755800000001</c:v>
                </c:pt>
                <c:pt idx="3">
                  <c:v>481.83880799999991</c:v>
                </c:pt>
                <c:pt idx="4">
                  <c:v>538.0369005</c:v>
                </c:pt>
                <c:pt idx="5">
                  <c:v>598.16985442499993</c:v>
                </c:pt>
                <c:pt idx="6">
                  <c:v>700.89454337924997</c:v>
                </c:pt>
                <c:pt idx="7">
                  <c:v>785.00188858476008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9687680"/>
        <c:axId val="137703360"/>
      </c:barChart>
      <c:catAx>
        <c:axId val="39687680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crossAx val="137703360"/>
        <c:crosses val="autoZero"/>
        <c:auto val="1"/>
        <c:lblAlgn val="ctr"/>
        <c:lblOffset val="100"/>
        <c:noMultiLvlLbl val="0"/>
      </c:catAx>
      <c:valAx>
        <c:axId val="13770336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39687680"/>
        <c:crosses val="autoZero"/>
        <c:crossBetween val="between"/>
      </c:valAx>
    </c:plotArea>
    <c:plotVisOnly val="1"/>
    <c:dispBlanksAs val="gap"/>
    <c:showDLblsOverMax val="0"/>
  </c:char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Proyecto Transporte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Proyección de Ingresos</a:t>
            </a:r>
            <a:endParaRPr lang="es-CO" sz="1600">
              <a:effectLst/>
            </a:endParaRPr>
          </a:p>
          <a:p>
            <a:pPr>
              <a:defRPr/>
            </a:pPr>
            <a:r>
              <a:rPr lang="es-CO" sz="1400" b="0" i="1" baseline="0">
                <a:effectLst/>
              </a:rPr>
              <a:t>Cifras en miles de millones $COP</a:t>
            </a:r>
            <a:endParaRPr lang="es-CO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6122932222401364E-2"/>
          <c:y val="4.4732901776371937E-2"/>
          <c:w val="0.96775413555519774"/>
          <c:h val="0.904674179158686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PryIngresos!$X$29</c:f>
              <c:strCache>
                <c:ptCount val="1"/>
                <c:pt idx="0">
                  <c:v>Proyecto Transporte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PryIngresos!$X$40:$X$47</c:f>
              <c:numCache>
                <c:formatCode>_(* #,##0_);_(* \(#,##0\);_(* "-"??_);_(@_)</c:formatCode>
                <c:ptCount val="8"/>
                <c:pt idx="0" formatCode="_(* #,##0.00_);_(* \(#,##0.00\);_(* &quot;-&quot;??_);_(@_)">
                  <c:v>0</c:v>
                </c:pt>
                <c:pt idx="1">
                  <c:v>0</c:v>
                </c:pt>
                <c:pt idx="2">
                  <c:v>445.36644760764227</c:v>
                </c:pt>
                <c:pt idx="3">
                  <c:v>896.16479455003071</c:v>
                </c:pt>
                <c:pt idx="4">
                  <c:v>1379.5436609856431</c:v>
                </c:pt>
                <c:pt idx="5">
                  <c:v>1749.5949282858157</c:v>
                </c:pt>
                <c:pt idx="6">
                  <c:v>2218.9094116067308</c:v>
                </c:pt>
                <c:pt idx="7">
                  <c:v>2400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9689728"/>
        <c:axId val="137705088"/>
      </c:barChart>
      <c:catAx>
        <c:axId val="39689728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crossAx val="137705088"/>
        <c:crosses val="autoZero"/>
        <c:auto val="1"/>
        <c:lblAlgn val="ctr"/>
        <c:lblOffset val="100"/>
        <c:noMultiLvlLbl val="0"/>
      </c:catAx>
      <c:valAx>
        <c:axId val="137705088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39689728"/>
        <c:crosses val="autoZero"/>
        <c:crossBetween val="between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600" b="1" i="0" baseline="0">
                <a:effectLst/>
              </a:rPr>
              <a:t>Sensibilidad del valor de la empresa a la tasa de descuento </a:t>
            </a:r>
            <a:endParaRPr lang="es-CO" sz="1600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'A. Sensibilidad'!$B$34</c:f>
              <c:strCache>
                <c:ptCount val="1"/>
                <c:pt idx="0">
                  <c:v>WACC</c:v>
                </c:pt>
              </c:strCache>
            </c:strRef>
          </c:tx>
          <c:spPr>
            <a:ln w="34925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7.8866287797987704E-3"/>
                  <c:y val="-2.834105229013398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801600364647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5773102310999581E-2"/>
                  <c:y val="-1.133642091605359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856295453858149E-2"/>
                  <c:y val="3.5137249694031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524859817212214E-7"/>
                  <c:y val="-1.8550964698366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('A. Sensibilidad'!$B$35,'A. Sensibilidad'!$B$39,'A. Sensibilidad'!$B$43,'A. Sensibilidad'!$B$47,'A. Sensibilidad'!$B$51)</c:f>
              <c:numCache>
                <c:formatCode>0.00%</c:formatCode>
                <c:ptCount val="5"/>
                <c:pt idx="0">
                  <c:v>0.14099999999999999</c:v>
                </c:pt>
                <c:pt idx="1">
                  <c:v>0.14599999999999999</c:v>
                </c:pt>
                <c:pt idx="2">
                  <c:v>0.151</c:v>
                </c:pt>
                <c:pt idx="3">
                  <c:v>0.156</c:v>
                </c:pt>
                <c:pt idx="4">
                  <c:v>0.161</c:v>
                </c:pt>
              </c:numCache>
            </c:numRef>
          </c:cat>
          <c:val>
            <c:numRef>
              <c:f>('A. Sensibilidad'!$D$37,'A. Sensibilidad'!$D$41,'A. Sensibilidad'!$D$45,'A. Sensibilidad'!$D$49,'A. Sensibilidad'!$D$53)</c:f>
              <c:numCache>
                <c:formatCode>_(* #,##0.00_);_(* \(#,##0.00\);_(* "-"??_);_(@_)</c:formatCode>
                <c:ptCount val="5"/>
                <c:pt idx="0">
                  <c:v>76203.041874089773</c:v>
                </c:pt>
                <c:pt idx="1">
                  <c:v>71695.319887964535</c:v>
                </c:pt>
                <c:pt idx="2">
                  <c:v>67630.208497273925</c:v>
                </c:pt>
                <c:pt idx="3">
                  <c:v>63947.375907429174</c:v>
                </c:pt>
                <c:pt idx="4">
                  <c:v>60596.90927458019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marker val="1"/>
        <c:smooth val="0"/>
        <c:axId val="129752576"/>
        <c:axId val="139067392"/>
      </c:lineChart>
      <c:catAx>
        <c:axId val="129752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Tasa de descuento</a:t>
                </a:r>
              </a:p>
            </c:rich>
          </c:tx>
          <c:layout/>
          <c:overlay val="0"/>
        </c:title>
        <c:numFmt formatCode="0.00%" sourceLinked="1"/>
        <c:majorTickMark val="none"/>
        <c:minorTickMark val="none"/>
        <c:tickLblPos val="nextTo"/>
        <c:crossAx val="139067392"/>
        <c:crosses val="autoZero"/>
        <c:auto val="1"/>
        <c:lblAlgn val="ctr"/>
        <c:lblOffset val="100"/>
        <c:noMultiLvlLbl val="0"/>
      </c:catAx>
      <c:valAx>
        <c:axId val="139067392"/>
        <c:scaling>
          <c:orientation val="minMax"/>
          <c:max val="78000"/>
          <c:min val="60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es-CO" sz="1000" b="1" i="0" baseline="0">
                    <a:effectLst/>
                  </a:rPr>
                  <a:t>Valor Empresa </a:t>
                </a:r>
                <a:endParaRPr lang="es-CO" sz="1000">
                  <a:effectLst/>
                </a:endParaRPr>
              </a:p>
              <a:p>
                <a:pPr>
                  <a:defRPr sz="1000"/>
                </a:pPr>
                <a:r>
                  <a:rPr lang="es-CO" sz="1000" b="1" i="0" baseline="0">
                    <a:effectLst/>
                  </a:rPr>
                  <a:t>miles  de millones  $ COP</a:t>
                </a:r>
                <a:endParaRPr lang="es-CO" sz="1000" b="0" i="0" baseline="0">
                  <a:effectLst/>
                </a:endParaRPr>
              </a:p>
            </c:rich>
          </c:tx>
          <c:layout/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2975257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Proyecto CO2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Proyección de Ingresos</a:t>
            </a:r>
            <a:endParaRPr lang="es-CO" sz="1600">
              <a:effectLst/>
            </a:endParaRPr>
          </a:p>
          <a:p>
            <a:pPr>
              <a:defRPr/>
            </a:pPr>
            <a:r>
              <a:rPr lang="es-CO" sz="1400" b="0" i="1" baseline="0">
                <a:effectLst/>
              </a:rPr>
              <a:t>Cifras en miles de millones $COP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PryIngresos!$R$29</c:f>
              <c:strCache>
                <c:ptCount val="1"/>
                <c:pt idx="0">
                  <c:v>CO2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PryIngresos!$R$40:$R$47</c:f>
              <c:numCache>
                <c:formatCode>_(* #,##0.00_);_(* \(#,##0.00\);_(* "-"??_);_(@_)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3.6</c:v>
                </c:pt>
                <c:pt idx="3">
                  <c:v>4.7519999999999998</c:v>
                </c:pt>
                <c:pt idx="4">
                  <c:v>7.7279999999999998</c:v>
                </c:pt>
                <c:pt idx="5">
                  <c:v>11.28</c:v>
                </c:pt>
                <c:pt idx="6">
                  <c:v>14.832000000000001</c:v>
                </c:pt>
                <c:pt idx="7">
                  <c:v>18.384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0236544"/>
        <c:axId val="137706816"/>
      </c:barChart>
      <c:catAx>
        <c:axId val="40236544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crossAx val="137706816"/>
        <c:crosses val="autoZero"/>
        <c:auto val="1"/>
        <c:lblAlgn val="ctr"/>
        <c:lblOffset val="100"/>
        <c:noMultiLvlLbl val="0"/>
      </c:catAx>
      <c:valAx>
        <c:axId val="137706816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40236544"/>
        <c:crosses val="autoZero"/>
        <c:crossBetween val="between"/>
      </c:valAx>
    </c:plotArea>
    <c:plotVisOnly val="1"/>
    <c:dispBlanksAs val="gap"/>
    <c:showDLblsOverMax val="0"/>
  </c:char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Proyección de Gastos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1" baseline="0">
                <a:effectLst/>
              </a:rPr>
              <a:t>Cifras en miles de millones $COP</a:t>
            </a:r>
            <a:r>
              <a:rPr lang="es-CO" sz="1400" b="0" i="0" baseline="0">
                <a:effectLst/>
              </a:rPr>
              <a:t> </a:t>
            </a:r>
            <a:r>
              <a:rPr lang="en-US" sz="1400"/>
              <a:t> </a:t>
            </a:r>
          </a:p>
        </c:rich>
      </c:tx>
      <c:overlay val="0"/>
    </c:title>
    <c:autoTitleDeleted val="0"/>
    <c:view3D>
      <c:rotX val="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'EEFFPry+Valor'!$B$174</c:f>
              <c:strCache>
                <c:ptCount val="1"/>
                <c:pt idx="0">
                  <c:v>GASTOS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'EEFFPry+Valor'!$N$5:$U$5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'EEFFPry+Valor'!$N$174:$U$174</c:f>
              <c:numCache>
                <c:formatCode>_(* #,##0.00_);_(* \(#,##0.00\);_(* "-"??_);_(@_)</c:formatCode>
                <c:ptCount val="8"/>
                <c:pt idx="0">
                  <c:v>20881.490482286263</c:v>
                </c:pt>
                <c:pt idx="1">
                  <c:v>24400.1500140973</c:v>
                </c:pt>
                <c:pt idx="2">
                  <c:v>27459.975833721102</c:v>
                </c:pt>
                <c:pt idx="3">
                  <c:v>30343.506125645683</c:v>
                </c:pt>
                <c:pt idx="4">
                  <c:v>33489.381904755704</c:v>
                </c:pt>
                <c:pt idx="5">
                  <c:v>36908.993417437276</c:v>
                </c:pt>
                <c:pt idx="6">
                  <c:v>40866.293118528498</c:v>
                </c:pt>
                <c:pt idx="7">
                  <c:v>44934.819489939357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40237056"/>
        <c:axId val="39969920"/>
        <c:axId val="0"/>
      </c:bar3DChart>
      <c:catAx>
        <c:axId val="4023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9969920"/>
        <c:crosses val="autoZero"/>
        <c:auto val="1"/>
        <c:lblAlgn val="ctr"/>
        <c:lblOffset val="100"/>
        <c:noMultiLvlLbl val="0"/>
      </c:catAx>
      <c:valAx>
        <c:axId val="3996992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40237056"/>
        <c:crosses val="autoZero"/>
        <c:crossBetween val="between"/>
      </c:valAx>
    </c:plotArea>
    <c:plotVisOnly val="1"/>
    <c:dispBlanksAs val="gap"/>
    <c:showDLblsOverMax val="0"/>
  </c:char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Distribución Gastos Proyectados</a:t>
            </a:r>
            <a:endParaRPr lang="es-CO">
              <a:effectLst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'EEFFPry+Valor'!$B$175</c:f>
              <c:strCache>
                <c:ptCount val="1"/>
                <c:pt idx="0">
                  <c:v>Operacionales De Administración 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'EEFFPry+Valor'!$N$5:$U$5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'EEFFPry+Valor'!$N$175:$U$175</c:f>
              <c:numCache>
                <c:formatCode>_(* #,##0.00_);_(* \(#,##0.00\);_(* "-"??_);_(@_)</c:formatCode>
                <c:ptCount val="8"/>
                <c:pt idx="0">
                  <c:v>17096.209291698346</c:v>
                </c:pt>
                <c:pt idx="1">
                  <c:v>17704.834342482809</c:v>
                </c:pt>
                <c:pt idx="2">
                  <c:v>18246.602273362783</c:v>
                </c:pt>
                <c:pt idx="3">
                  <c:v>18819.545584746378</c:v>
                </c:pt>
                <c:pt idx="4">
                  <c:v>19402.951497873513</c:v>
                </c:pt>
                <c:pt idx="5">
                  <c:v>19996.681813708441</c:v>
                </c:pt>
                <c:pt idx="6">
                  <c:v>20608.580277207919</c:v>
                </c:pt>
                <c:pt idx="7">
                  <c:v>21239.20283369048</c:v>
                </c:pt>
              </c:numCache>
            </c:numRef>
          </c:val>
        </c:ser>
        <c:ser>
          <c:idx val="1"/>
          <c:order val="1"/>
          <c:tx>
            <c:strRef>
              <c:f>'EEFFPry+Valor'!$B$197</c:f>
              <c:strCache>
                <c:ptCount val="1"/>
                <c:pt idx="0">
                  <c:v>No Operacionales </c:v>
                </c:pt>
              </c:strCache>
            </c:strRef>
          </c:tx>
          <c:invertIfNegative val="0"/>
          <c:cat>
            <c:numRef>
              <c:f>'EEFFPry+Valor'!$N$5:$U$5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'EEFFPry+Valor'!$N$197:$U$197</c:f>
              <c:numCache>
                <c:formatCode>_(* #,##0.00_);_(* \(#,##0.00\);_(* "-"??_);_(@_)</c:formatCode>
                <c:ptCount val="8"/>
                <c:pt idx="0">
                  <c:v>968.41061999999999</c:v>
                </c:pt>
                <c:pt idx="1">
                  <c:v>1002.886038072</c:v>
                </c:pt>
                <c:pt idx="2">
                  <c:v>1033.5743508370033</c:v>
                </c:pt>
                <c:pt idx="3">
                  <c:v>1066.0285854532854</c:v>
                </c:pt>
                <c:pt idx="4">
                  <c:v>1099.0754716023371</c:v>
                </c:pt>
                <c:pt idx="5">
                  <c:v>1132.7071810333684</c:v>
                </c:pt>
                <c:pt idx="6">
                  <c:v>1167.3680207729894</c:v>
                </c:pt>
                <c:pt idx="7">
                  <c:v>1203.0894822086429</c:v>
                </c:pt>
              </c:numCache>
            </c:numRef>
          </c:val>
        </c:ser>
        <c:ser>
          <c:idx val="2"/>
          <c:order val="2"/>
          <c:tx>
            <c:strRef>
              <c:f>'EEFFPry+Valor'!$B$208</c:f>
              <c:strCache>
                <c:ptCount val="1"/>
                <c:pt idx="0">
                  <c:v>Impuesto De Renta Y Complementarios </c:v>
                </c:pt>
              </c:strCache>
            </c:strRef>
          </c:tx>
          <c:invertIfNegative val="0"/>
          <c:cat>
            <c:numRef>
              <c:f>'EEFFPry+Valor'!$N$5:$U$5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'EEFFPry+Valor'!$N$208:$U$208</c:f>
              <c:numCache>
                <c:formatCode>_(* #,##0.00_);_(* \(#,##0.00\);_(* "-"??_);_(@_)</c:formatCode>
                <c:ptCount val="8"/>
                <c:pt idx="0">
                  <c:v>929.56728829401368</c:v>
                </c:pt>
                <c:pt idx="1">
                  <c:v>1878.5017790690235</c:v>
                </c:pt>
                <c:pt idx="2">
                  <c:v>2699.3337391420341</c:v>
                </c:pt>
                <c:pt idx="3">
                  <c:v>3451.1175452971879</c:v>
                </c:pt>
                <c:pt idx="4">
                  <c:v>4285.8271286423515</c:v>
                </c:pt>
                <c:pt idx="5">
                  <c:v>5207.2694594895038</c:v>
                </c:pt>
                <c:pt idx="6">
                  <c:v>6299.8137907807031</c:v>
                </c:pt>
                <c:pt idx="7">
                  <c:v>7422.5339674332763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40238592"/>
        <c:axId val="39971072"/>
        <c:axId val="0"/>
      </c:bar3DChart>
      <c:catAx>
        <c:axId val="4023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9971072"/>
        <c:crosses val="autoZero"/>
        <c:auto val="1"/>
        <c:lblAlgn val="ctr"/>
        <c:lblOffset val="100"/>
        <c:noMultiLvlLbl val="0"/>
      </c:catAx>
      <c:valAx>
        <c:axId val="3997107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402385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EBITDA</a:t>
            </a:r>
          </a:p>
          <a:p>
            <a:pPr>
              <a:defRPr/>
            </a:pPr>
            <a:r>
              <a:rPr lang="en-US" sz="1600" b="1" i="0" baseline="0">
                <a:effectLst/>
              </a:rPr>
              <a:t>Comportamiento Historico y Proyectado </a:t>
            </a:r>
            <a:endParaRPr lang="es-CO" sz="1600">
              <a:effectLst/>
            </a:endParaRPr>
          </a:p>
          <a:p>
            <a:pPr>
              <a:defRPr/>
            </a:pPr>
            <a:r>
              <a:rPr lang="es-CO" sz="1400" b="0" i="1" baseline="0">
                <a:effectLst/>
              </a:rPr>
              <a:t>Cifras en miles de millones $COP</a:t>
            </a:r>
            <a:endParaRPr lang="es-CO" sz="1400">
              <a:effectLst/>
            </a:endParaRPr>
          </a:p>
          <a:p>
            <a:pPr>
              <a:defRPr/>
            </a:pPr>
            <a:endParaRPr lang="en-US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'EEFFPry+Valor'!$B$214</c:f>
              <c:strCache>
                <c:ptCount val="1"/>
                <c:pt idx="0">
                  <c:v>EBITDA</c:v>
                </c:pt>
              </c:strCache>
            </c:strRef>
          </c:tx>
          <c:invertIfNegative val="0"/>
          <c:dPt>
            <c:idx val="1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Lbls>
            <c:numFmt formatCode="#,##0" sourceLinked="0"/>
            <c:txPr>
              <a:bodyPr rot="-5400000" vert="horz"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'EEFFPry+Valor'!$D$5:$U$5</c:f>
              <c:numCache>
                <c:formatCode>General</c:formatCode>
                <c:ptCount val="1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</c:numCache>
            </c:numRef>
          </c:cat>
          <c:val>
            <c:numRef>
              <c:f>'EEFFPry+Valor'!$D$214:$U$214</c:f>
              <c:numCache>
                <c:formatCode>_(* #,##0.00_);_(* \(#,##0.00\);_(* "-"??_);_(@_)</c:formatCode>
                <c:ptCount val="18"/>
                <c:pt idx="0">
                  <c:v>2581.9499999999998</c:v>
                </c:pt>
                <c:pt idx="1">
                  <c:v>3865.8399999999992</c:v>
                </c:pt>
                <c:pt idx="2">
                  <c:v>3429.7899999999995</c:v>
                </c:pt>
                <c:pt idx="3">
                  <c:v>748.89100000000008</c:v>
                </c:pt>
                <c:pt idx="4">
                  <c:v>3901.4599999999996</c:v>
                </c:pt>
                <c:pt idx="5">
                  <c:v>7023.8999999999987</c:v>
                </c:pt>
                <c:pt idx="6">
                  <c:v>3873.3300000000027</c:v>
                </c:pt>
                <c:pt idx="7">
                  <c:v>1589.8800000000022</c:v>
                </c:pt>
                <c:pt idx="8">
                  <c:v>4561.1000000000004</c:v>
                </c:pt>
                <c:pt idx="9">
                  <c:v>5163.4199999999992</c:v>
                </c:pt>
                <c:pt idx="10">
                  <c:v>3776.788550587919</c:v>
                </c:pt>
                <c:pt idx="11">
                  <c:v>6686.5206936304958</c:v>
                </c:pt>
                <c:pt idx="12">
                  <c:v>9204.3094560480076</c:v>
                </c:pt>
                <c:pt idx="13">
                  <c:v>11514.611823713651</c:v>
                </c:pt>
                <c:pt idx="14">
                  <c:v>14076.791879463781</c:v>
                </c:pt>
                <c:pt idx="15">
                  <c:v>16902.378137371419</c:v>
                </c:pt>
                <c:pt idx="16">
                  <c:v>20247.475410892628</c:v>
                </c:pt>
                <c:pt idx="17">
                  <c:v>23685.065960449829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40704000"/>
        <c:axId val="39973952"/>
        <c:axId val="0"/>
      </c:bar3DChart>
      <c:catAx>
        <c:axId val="4070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9973952"/>
        <c:crosses val="autoZero"/>
        <c:auto val="1"/>
        <c:lblAlgn val="ctr"/>
        <c:lblOffset val="100"/>
        <c:noMultiLvlLbl val="0"/>
      </c:catAx>
      <c:valAx>
        <c:axId val="3997395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40704000"/>
        <c:crosses val="autoZero"/>
        <c:crossBetween val="between"/>
      </c:valAx>
    </c:plotArea>
    <c:plotVisOnly val="1"/>
    <c:dispBlanksAs val="gap"/>
    <c:showDLblsOverMax val="0"/>
  </c:char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Margen EBITDA</a:t>
            </a:r>
            <a:r>
              <a:rPr lang="en-US" sz="1600" baseline="0"/>
              <a:t> </a:t>
            </a:r>
            <a:r>
              <a:rPr lang="en-US" sz="1600" b="1" i="0" baseline="0">
                <a:effectLst/>
              </a:rPr>
              <a:t>Proyectado </a:t>
            </a:r>
            <a:endParaRPr lang="es-CO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'EEFFPry+Valor'!$B$215</c:f>
              <c:strCache>
                <c:ptCount val="1"/>
                <c:pt idx="0">
                  <c:v>Margen EBITDA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1"/>
              <c:layout>
                <c:manualLayout>
                  <c:x val="0"/>
                  <c:y val="6.05217354837974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8585861847617647E-3"/>
                  <c:y val="2.01739118279327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3939396385713628E-3"/>
                  <c:y val="1.0086955913966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7878792771427256E-3"/>
                  <c:y val="4.0347823655865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717172369523637E-2"/>
                  <c:y val="8.0695647311730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5.8585861847618194E-3"/>
                  <c:y val="1.0086955913966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'EEFFPry+Valor'!$N$5:$U$5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'EEFFPry+Valor'!$N$215:$U$215</c:f>
              <c:numCache>
                <c:formatCode>0.00%</c:formatCode>
                <c:ptCount val="8"/>
                <c:pt idx="0">
                  <c:v>0.19885654015919163</c:v>
                </c:pt>
                <c:pt idx="1">
                  <c:v>0.29792096804416007</c:v>
                </c:pt>
                <c:pt idx="2">
                  <c:v>0.36174905998007351</c:v>
                </c:pt>
                <c:pt idx="3">
                  <c:v>0.40739307001675745</c:v>
                </c:pt>
                <c:pt idx="4">
                  <c:v>0.44908424912642192</c:v>
                </c:pt>
                <c:pt idx="5">
                  <c:v>0.48710643665129877</c:v>
                </c:pt>
                <c:pt idx="6">
                  <c:v>0.52469213191060393</c:v>
                </c:pt>
                <c:pt idx="7">
                  <c:v>0.5561428445982598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05536"/>
        <c:axId val="39975104"/>
      </c:lineChart>
      <c:catAx>
        <c:axId val="4070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9975104"/>
        <c:crosses val="autoZero"/>
        <c:auto val="1"/>
        <c:lblAlgn val="ctr"/>
        <c:lblOffset val="100"/>
        <c:noMultiLvlLbl val="0"/>
      </c:catAx>
      <c:valAx>
        <c:axId val="39975104"/>
        <c:scaling>
          <c:orientation val="minMax"/>
          <c:min val="0.1"/>
        </c:scaling>
        <c:delete val="0"/>
        <c:axPos val="l"/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crossAx val="40705536"/>
        <c:crosses val="autoZero"/>
        <c:crossBetween val="between"/>
      </c:valAx>
    </c:plotArea>
    <c:plotVisOnly val="1"/>
    <c:dispBlanksAs val="gap"/>
    <c:showDLblsOverMax val="0"/>
  </c:char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Flujo de caja libre proyectado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'EEFFPry+Valor'!$B$249</c:f>
              <c:strCache>
                <c:ptCount val="1"/>
                <c:pt idx="0">
                  <c:v>Flujo de Caja Libre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'EEFFPry+Valor'!$N$5:$U$5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'EEFFPry+Valor'!$N$249:$U$249</c:f>
              <c:numCache>
                <c:formatCode>_(* #,##0.00_);_(* \(#,##0.00\);_(* "-"??_);_(@_)</c:formatCode>
                <c:ptCount val="8"/>
                <c:pt idx="0">
                  <c:v>2053.55705173553</c:v>
                </c:pt>
                <c:pt idx="1">
                  <c:v>4329.227547540936</c:v>
                </c:pt>
                <c:pt idx="2">
                  <c:v>5604.5068602552728</c:v>
                </c:pt>
                <c:pt idx="3">
                  <c:v>6009.5756537506622</c:v>
                </c:pt>
                <c:pt idx="4">
                  <c:v>7288.3645531738284</c:v>
                </c:pt>
                <c:pt idx="5">
                  <c:v>8765.5887492221646</c:v>
                </c:pt>
                <c:pt idx="6">
                  <c:v>10574.792255759214</c:v>
                </c:pt>
                <c:pt idx="7">
                  <c:v>12527.431666911589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33728"/>
        <c:axId val="40936000"/>
      </c:barChart>
      <c:catAx>
        <c:axId val="4103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0936000"/>
        <c:crosses val="autoZero"/>
        <c:auto val="1"/>
        <c:lblAlgn val="ctr"/>
        <c:lblOffset val="100"/>
        <c:noMultiLvlLbl val="0"/>
      </c:catAx>
      <c:valAx>
        <c:axId val="409360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baseline="0">
                    <a:effectLst/>
                  </a:rPr>
                  <a:t>miles  de millones  $ COP</a:t>
                </a:r>
                <a:endParaRPr lang="es-CO" sz="100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 sz="1000"/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41033728"/>
        <c:crosses val="autoZero"/>
        <c:crossBetween val="between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229"/>
              <c:layout>
                <c:manualLayout>
                  <c:x val="-5.3574728690828501E-2"/>
                  <c:y val="-3.68076458797080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  <a:r>
                      <a:rPr lang="en-US" sz="800" b="1"/>
                      <a:t>22/04/09</a:t>
                    </a:r>
                    <a:r>
                      <a:rPr lang="en-US" sz="800" b="1" baseline="0"/>
                      <a:t> </a:t>
                    </a:r>
                  </a:p>
                  <a:p>
                    <a:r>
                      <a:rPr lang="en-US" sz="900"/>
                      <a:t>$19,580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84"/>
              <c:layout>
                <c:manualLayout>
                  <c:x val="-3.7825059101654849E-3"/>
                  <c:y val="2.2503516174402154E-2"/>
                </c:manualLayout>
              </c:layout>
              <c:tx>
                <c:rich>
                  <a:bodyPr/>
                  <a:lstStyle/>
                  <a:p>
                    <a:r>
                      <a:rPr lang="en-US" sz="800" b="1"/>
                      <a:t>14/12/10</a:t>
                    </a:r>
                    <a:r>
                      <a:rPr lang="en-US" sz="800" b="1" baseline="0"/>
                      <a:t> </a:t>
                    </a:r>
                  </a:p>
                  <a:p>
                    <a:r>
                      <a:rPr lang="en-US" sz="900"/>
                      <a:t>$2,025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Accion!$B$2:$B$959</c:f>
              <c:numCache>
                <c:formatCode>m/d/yyyy</c:formatCode>
                <c:ptCount val="958"/>
                <c:pt idx="0">
                  <c:v>41253</c:v>
                </c:pt>
                <c:pt idx="1">
                  <c:v>41253</c:v>
                </c:pt>
                <c:pt idx="2">
                  <c:v>41122</c:v>
                </c:pt>
                <c:pt idx="3">
                  <c:v>41099</c:v>
                </c:pt>
                <c:pt idx="4">
                  <c:v>41096</c:v>
                </c:pt>
                <c:pt idx="5">
                  <c:v>41095</c:v>
                </c:pt>
                <c:pt idx="6">
                  <c:v>41094</c:v>
                </c:pt>
                <c:pt idx="7">
                  <c:v>41093</c:v>
                </c:pt>
                <c:pt idx="8">
                  <c:v>41089</c:v>
                </c:pt>
                <c:pt idx="9">
                  <c:v>41088</c:v>
                </c:pt>
                <c:pt idx="10">
                  <c:v>41087</c:v>
                </c:pt>
                <c:pt idx="11">
                  <c:v>41086</c:v>
                </c:pt>
                <c:pt idx="12">
                  <c:v>41085</c:v>
                </c:pt>
                <c:pt idx="13">
                  <c:v>41082</c:v>
                </c:pt>
                <c:pt idx="14">
                  <c:v>41081</c:v>
                </c:pt>
                <c:pt idx="15">
                  <c:v>41080</c:v>
                </c:pt>
                <c:pt idx="16">
                  <c:v>41079</c:v>
                </c:pt>
                <c:pt idx="17">
                  <c:v>41075</c:v>
                </c:pt>
                <c:pt idx="18">
                  <c:v>41074</c:v>
                </c:pt>
                <c:pt idx="19">
                  <c:v>41073</c:v>
                </c:pt>
                <c:pt idx="20">
                  <c:v>41072</c:v>
                </c:pt>
                <c:pt idx="21">
                  <c:v>41068</c:v>
                </c:pt>
                <c:pt idx="22">
                  <c:v>41067</c:v>
                </c:pt>
                <c:pt idx="23">
                  <c:v>41066</c:v>
                </c:pt>
                <c:pt idx="24">
                  <c:v>41065</c:v>
                </c:pt>
                <c:pt idx="25">
                  <c:v>41061</c:v>
                </c:pt>
                <c:pt idx="26">
                  <c:v>41060</c:v>
                </c:pt>
                <c:pt idx="27">
                  <c:v>41059</c:v>
                </c:pt>
                <c:pt idx="28">
                  <c:v>41058</c:v>
                </c:pt>
                <c:pt idx="29">
                  <c:v>41057</c:v>
                </c:pt>
                <c:pt idx="30">
                  <c:v>41054</c:v>
                </c:pt>
                <c:pt idx="31">
                  <c:v>41053</c:v>
                </c:pt>
                <c:pt idx="32">
                  <c:v>41052</c:v>
                </c:pt>
                <c:pt idx="33">
                  <c:v>41051</c:v>
                </c:pt>
                <c:pt idx="34">
                  <c:v>41047</c:v>
                </c:pt>
                <c:pt idx="35">
                  <c:v>41046</c:v>
                </c:pt>
                <c:pt idx="36">
                  <c:v>41045</c:v>
                </c:pt>
                <c:pt idx="37">
                  <c:v>41044</c:v>
                </c:pt>
                <c:pt idx="38">
                  <c:v>41043</c:v>
                </c:pt>
                <c:pt idx="39">
                  <c:v>41040</c:v>
                </c:pt>
                <c:pt idx="40">
                  <c:v>41039</c:v>
                </c:pt>
                <c:pt idx="41">
                  <c:v>41038</c:v>
                </c:pt>
                <c:pt idx="42">
                  <c:v>41037</c:v>
                </c:pt>
                <c:pt idx="43">
                  <c:v>41036</c:v>
                </c:pt>
                <c:pt idx="44">
                  <c:v>41033</c:v>
                </c:pt>
                <c:pt idx="45">
                  <c:v>41032</c:v>
                </c:pt>
                <c:pt idx="46">
                  <c:v>41031</c:v>
                </c:pt>
                <c:pt idx="47">
                  <c:v>41029</c:v>
                </c:pt>
                <c:pt idx="48">
                  <c:v>41026</c:v>
                </c:pt>
                <c:pt idx="49">
                  <c:v>41025</c:v>
                </c:pt>
                <c:pt idx="50">
                  <c:v>41024</c:v>
                </c:pt>
                <c:pt idx="51">
                  <c:v>41023</c:v>
                </c:pt>
                <c:pt idx="52">
                  <c:v>41022</c:v>
                </c:pt>
                <c:pt idx="53">
                  <c:v>41019</c:v>
                </c:pt>
                <c:pt idx="54">
                  <c:v>41018</c:v>
                </c:pt>
                <c:pt idx="55">
                  <c:v>41017</c:v>
                </c:pt>
                <c:pt idx="56">
                  <c:v>41016</c:v>
                </c:pt>
                <c:pt idx="57">
                  <c:v>41015</c:v>
                </c:pt>
                <c:pt idx="58">
                  <c:v>41012</c:v>
                </c:pt>
                <c:pt idx="59">
                  <c:v>41011</c:v>
                </c:pt>
                <c:pt idx="60">
                  <c:v>41010</c:v>
                </c:pt>
                <c:pt idx="61">
                  <c:v>41009</c:v>
                </c:pt>
                <c:pt idx="62">
                  <c:v>41008</c:v>
                </c:pt>
                <c:pt idx="63">
                  <c:v>41003</c:v>
                </c:pt>
                <c:pt idx="64">
                  <c:v>41002</c:v>
                </c:pt>
                <c:pt idx="65">
                  <c:v>41001</c:v>
                </c:pt>
                <c:pt idx="66">
                  <c:v>40998</c:v>
                </c:pt>
                <c:pt idx="67">
                  <c:v>40997</c:v>
                </c:pt>
                <c:pt idx="68">
                  <c:v>40996</c:v>
                </c:pt>
                <c:pt idx="69">
                  <c:v>40995</c:v>
                </c:pt>
                <c:pt idx="70">
                  <c:v>40994</c:v>
                </c:pt>
                <c:pt idx="71">
                  <c:v>40990</c:v>
                </c:pt>
                <c:pt idx="72">
                  <c:v>40989</c:v>
                </c:pt>
                <c:pt idx="73">
                  <c:v>40988</c:v>
                </c:pt>
                <c:pt idx="74">
                  <c:v>40984</c:v>
                </c:pt>
                <c:pt idx="75">
                  <c:v>40983</c:v>
                </c:pt>
                <c:pt idx="76">
                  <c:v>40982</c:v>
                </c:pt>
                <c:pt idx="77">
                  <c:v>40981</c:v>
                </c:pt>
                <c:pt idx="78">
                  <c:v>40980</c:v>
                </c:pt>
                <c:pt idx="79">
                  <c:v>40977</c:v>
                </c:pt>
                <c:pt idx="80">
                  <c:v>40976</c:v>
                </c:pt>
                <c:pt idx="81">
                  <c:v>40975</c:v>
                </c:pt>
                <c:pt idx="82">
                  <c:v>40974</c:v>
                </c:pt>
                <c:pt idx="83">
                  <c:v>40973</c:v>
                </c:pt>
                <c:pt idx="84">
                  <c:v>40970</c:v>
                </c:pt>
                <c:pt idx="85">
                  <c:v>40969</c:v>
                </c:pt>
                <c:pt idx="86">
                  <c:v>40968</c:v>
                </c:pt>
                <c:pt idx="87">
                  <c:v>40967</c:v>
                </c:pt>
                <c:pt idx="88">
                  <c:v>40966</c:v>
                </c:pt>
                <c:pt idx="89">
                  <c:v>40963</c:v>
                </c:pt>
                <c:pt idx="90">
                  <c:v>40961</c:v>
                </c:pt>
                <c:pt idx="91">
                  <c:v>40960</c:v>
                </c:pt>
                <c:pt idx="92">
                  <c:v>40959</c:v>
                </c:pt>
                <c:pt idx="93">
                  <c:v>40956</c:v>
                </c:pt>
                <c:pt idx="94">
                  <c:v>40955</c:v>
                </c:pt>
                <c:pt idx="95">
                  <c:v>40954</c:v>
                </c:pt>
                <c:pt idx="96">
                  <c:v>40952</c:v>
                </c:pt>
                <c:pt idx="97">
                  <c:v>40949</c:v>
                </c:pt>
                <c:pt idx="98">
                  <c:v>40948</c:v>
                </c:pt>
                <c:pt idx="99">
                  <c:v>40947</c:v>
                </c:pt>
                <c:pt idx="100">
                  <c:v>40946</c:v>
                </c:pt>
                <c:pt idx="101">
                  <c:v>40945</c:v>
                </c:pt>
                <c:pt idx="102">
                  <c:v>40942</c:v>
                </c:pt>
                <c:pt idx="103">
                  <c:v>40941</c:v>
                </c:pt>
                <c:pt idx="104">
                  <c:v>40940</c:v>
                </c:pt>
                <c:pt idx="105">
                  <c:v>40939</c:v>
                </c:pt>
                <c:pt idx="106">
                  <c:v>40935</c:v>
                </c:pt>
                <c:pt idx="107">
                  <c:v>40934</c:v>
                </c:pt>
                <c:pt idx="108">
                  <c:v>40933</c:v>
                </c:pt>
                <c:pt idx="109">
                  <c:v>40932</c:v>
                </c:pt>
                <c:pt idx="110">
                  <c:v>40931</c:v>
                </c:pt>
                <c:pt idx="111">
                  <c:v>40928</c:v>
                </c:pt>
                <c:pt idx="112">
                  <c:v>40927</c:v>
                </c:pt>
                <c:pt idx="113">
                  <c:v>40926</c:v>
                </c:pt>
                <c:pt idx="114">
                  <c:v>40925</c:v>
                </c:pt>
                <c:pt idx="115">
                  <c:v>40924</c:v>
                </c:pt>
                <c:pt idx="116">
                  <c:v>40920</c:v>
                </c:pt>
                <c:pt idx="117">
                  <c:v>40919</c:v>
                </c:pt>
                <c:pt idx="118">
                  <c:v>40918</c:v>
                </c:pt>
                <c:pt idx="119">
                  <c:v>40914</c:v>
                </c:pt>
                <c:pt idx="120">
                  <c:v>40913</c:v>
                </c:pt>
                <c:pt idx="121">
                  <c:v>40912</c:v>
                </c:pt>
                <c:pt idx="122">
                  <c:v>40911</c:v>
                </c:pt>
                <c:pt idx="123">
                  <c:v>40910</c:v>
                </c:pt>
                <c:pt idx="124">
                  <c:v>40906</c:v>
                </c:pt>
                <c:pt idx="125">
                  <c:v>40905</c:v>
                </c:pt>
                <c:pt idx="126">
                  <c:v>40904</c:v>
                </c:pt>
                <c:pt idx="127">
                  <c:v>40903</c:v>
                </c:pt>
                <c:pt idx="128">
                  <c:v>40900</c:v>
                </c:pt>
                <c:pt idx="129">
                  <c:v>40899</c:v>
                </c:pt>
                <c:pt idx="130">
                  <c:v>40898</c:v>
                </c:pt>
                <c:pt idx="131">
                  <c:v>40897</c:v>
                </c:pt>
                <c:pt idx="132">
                  <c:v>40896</c:v>
                </c:pt>
                <c:pt idx="133">
                  <c:v>40893</c:v>
                </c:pt>
                <c:pt idx="134">
                  <c:v>40892</c:v>
                </c:pt>
                <c:pt idx="135">
                  <c:v>40891</c:v>
                </c:pt>
                <c:pt idx="136">
                  <c:v>40890</c:v>
                </c:pt>
                <c:pt idx="137">
                  <c:v>40889</c:v>
                </c:pt>
                <c:pt idx="138">
                  <c:v>40886</c:v>
                </c:pt>
                <c:pt idx="139">
                  <c:v>40882</c:v>
                </c:pt>
                <c:pt idx="140">
                  <c:v>40879</c:v>
                </c:pt>
                <c:pt idx="141">
                  <c:v>40878</c:v>
                </c:pt>
                <c:pt idx="142">
                  <c:v>40876</c:v>
                </c:pt>
                <c:pt idx="143">
                  <c:v>40875</c:v>
                </c:pt>
                <c:pt idx="144">
                  <c:v>40872</c:v>
                </c:pt>
                <c:pt idx="145">
                  <c:v>40871</c:v>
                </c:pt>
                <c:pt idx="146">
                  <c:v>40870</c:v>
                </c:pt>
                <c:pt idx="147">
                  <c:v>40869</c:v>
                </c:pt>
                <c:pt idx="148">
                  <c:v>40868</c:v>
                </c:pt>
                <c:pt idx="149">
                  <c:v>40865</c:v>
                </c:pt>
                <c:pt idx="150">
                  <c:v>40864</c:v>
                </c:pt>
                <c:pt idx="151">
                  <c:v>40863</c:v>
                </c:pt>
                <c:pt idx="152">
                  <c:v>40862</c:v>
                </c:pt>
                <c:pt idx="153">
                  <c:v>40858</c:v>
                </c:pt>
                <c:pt idx="154">
                  <c:v>40857</c:v>
                </c:pt>
                <c:pt idx="155">
                  <c:v>40856</c:v>
                </c:pt>
                <c:pt idx="156">
                  <c:v>40855</c:v>
                </c:pt>
                <c:pt idx="157">
                  <c:v>40851</c:v>
                </c:pt>
                <c:pt idx="158">
                  <c:v>40850</c:v>
                </c:pt>
                <c:pt idx="159">
                  <c:v>40849</c:v>
                </c:pt>
                <c:pt idx="160">
                  <c:v>40848</c:v>
                </c:pt>
                <c:pt idx="161">
                  <c:v>40847</c:v>
                </c:pt>
                <c:pt idx="162">
                  <c:v>40844</c:v>
                </c:pt>
                <c:pt idx="163">
                  <c:v>40843</c:v>
                </c:pt>
                <c:pt idx="164">
                  <c:v>40842</c:v>
                </c:pt>
                <c:pt idx="165">
                  <c:v>40841</c:v>
                </c:pt>
                <c:pt idx="166">
                  <c:v>40840</c:v>
                </c:pt>
                <c:pt idx="167">
                  <c:v>40837</c:v>
                </c:pt>
                <c:pt idx="168">
                  <c:v>40836</c:v>
                </c:pt>
                <c:pt idx="169">
                  <c:v>40835</c:v>
                </c:pt>
                <c:pt idx="170">
                  <c:v>40834</c:v>
                </c:pt>
                <c:pt idx="171">
                  <c:v>40830</c:v>
                </c:pt>
                <c:pt idx="172">
                  <c:v>40829</c:v>
                </c:pt>
                <c:pt idx="173">
                  <c:v>40828</c:v>
                </c:pt>
                <c:pt idx="174">
                  <c:v>40827</c:v>
                </c:pt>
                <c:pt idx="175">
                  <c:v>40826</c:v>
                </c:pt>
                <c:pt idx="176">
                  <c:v>40823</c:v>
                </c:pt>
                <c:pt idx="177">
                  <c:v>40822</c:v>
                </c:pt>
                <c:pt idx="178">
                  <c:v>40821</c:v>
                </c:pt>
                <c:pt idx="179">
                  <c:v>40820</c:v>
                </c:pt>
                <c:pt idx="180">
                  <c:v>40819</c:v>
                </c:pt>
                <c:pt idx="181">
                  <c:v>40816</c:v>
                </c:pt>
                <c:pt idx="182">
                  <c:v>40815</c:v>
                </c:pt>
                <c:pt idx="183">
                  <c:v>40814</c:v>
                </c:pt>
                <c:pt idx="184">
                  <c:v>40813</c:v>
                </c:pt>
                <c:pt idx="185">
                  <c:v>40812</c:v>
                </c:pt>
                <c:pt idx="186">
                  <c:v>40809</c:v>
                </c:pt>
                <c:pt idx="187">
                  <c:v>40807</c:v>
                </c:pt>
                <c:pt idx="188">
                  <c:v>40806</c:v>
                </c:pt>
                <c:pt idx="189">
                  <c:v>40805</c:v>
                </c:pt>
                <c:pt idx="190">
                  <c:v>40802</c:v>
                </c:pt>
                <c:pt idx="191">
                  <c:v>40801</c:v>
                </c:pt>
                <c:pt idx="192">
                  <c:v>40800</c:v>
                </c:pt>
                <c:pt idx="193">
                  <c:v>40799</c:v>
                </c:pt>
                <c:pt idx="194">
                  <c:v>40798</c:v>
                </c:pt>
                <c:pt idx="195">
                  <c:v>40795</c:v>
                </c:pt>
                <c:pt idx="196">
                  <c:v>40794</c:v>
                </c:pt>
                <c:pt idx="197">
                  <c:v>40793</c:v>
                </c:pt>
                <c:pt idx="198">
                  <c:v>40792</c:v>
                </c:pt>
                <c:pt idx="199">
                  <c:v>40791</c:v>
                </c:pt>
                <c:pt idx="200">
                  <c:v>40788</c:v>
                </c:pt>
                <c:pt idx="201">
                  <c:v>40786</c:v>
                </c:pt>
                <c:pt idx="202">
                  <c:v>40785</c:v>
                </c:pt>
                <c:pt idx="203">
                  <c:v>40784</c:v>
                </c:pt>
                <c:pt idx="204">
                  <c:v>40781</c:v>
                </c:pt>
                <c:pt idx="205">
                  <c:v>40780</c:v>
                </c:pt>
                <c:pt idx="206">
                  <c:v>40779</c:v>
                </c:pt>
                <c:pt idx="207">
                  <c:v>40778</c:v>
                </c:pt>
                <c:pt idx="208">
                  <c:v>40777</c:v>
                </c:pt>
                <c:pt idx="209">
                  <c:v>40773</c:v>
                </c:pt>
                <c:pt idx="210">
                  <c:v>40772</c:v>
                </c:pt>
                <c:pt idx="211">
                  <c:v>40771</c:v>
                </c:pt>
                <c:pt idx="212">
                  <c:v>40767</c:v>
                </c:pt>
                <c:pt idx="213">
                  <c:v>40766</c:v>
                </c:pt>
                <c:pt idx="214">
                  <c:v>40765</c:v>
                </c:pt>
                <c:pt idx="215">
                  <c:v>40764</c:v>
                </c:pt>
                <c:pt idx="216">
                  <c:v>40763</c:v>
                </c:pt>
                <c:pt idx="217">
                  <c:v>40760</c:v>
                </c:pt>
                <c:pt idx="218">
                  <c:v>40759</c:v>
                </c:pt>
                <c:pt idx="219">
                  <c:v>40758</c:v>
                </c:pt>
                <c:pt idx="220">
                  <c:v>40757</c:v>
                </c:pt>
                <c:pt idx="221">
                  <c:v>40756</c:v>
                </c:pt>
                <c:pt idx="222">
                  <c:v>40753</c:v>
                </c:pt>
                <c:pt idx="223">
                  <c:v>40752</c:v>
                </c:pt>
                <c:pt idx="224">
                  <c:v>40751</c:v>
                </c:pt>
                <c:pt idx="225">
                  <c:v>40750</c:v>
                </c:pt>
                <c:pt idx="226">
                  <c:v>40749</c:v>
                </c:pt>
                <c:pt idx="227">
                  <c:v>40746</c:v>
                </c:pt>
                <c:pt idx="228">
                  <c:v>40745</c:v>
                </c:pt>
                <c:pt idx="229">
                  <c:v>40743</c:v>
                </c:pt>
                <c:pt idx="230">
                  <c:v>40742</c:v>
                </c:pt>
                <c:pt idx="231">
                  <c:v>40739</c:v>
                </c:pt>
                <c:pt idx="232">
                  <c:v>40738</c:v>
                </c:pt>
                <c:pt idx="233">
                  <c:v>40737</c:v>
                </c:pt>
                <c:pt idx="234">
                  <c:v>40736</c:v>
                </c:pt>
                <c:pt idx="235">
                  <c:v>40735</c:v>
                </c:pt>
                <c:pt idx="236">
                  <c:v>40732</c:v>
                </c:pt>
                <c:pt idx="237">
                  <c:v>40731</c:v>
                </c:pt>
                <c:pt idx="238">
                  <c:v>40730</c:v>
                </c:pt>
                <c:pt idx="239">
                  <c:v>40729</c:v>
                </c:pt>
                <c:pt idx="240">
                  <c:v>40725</c:v>
                </c:pt>
                <c:pt idx="241">
                  <c:v>40724</c:v>
                </c:pt>
                <c:pt idx="242">
                  <c:v>40723</c:v>
                </c:pt>
                <c:pt idx="243">
                  <c:v>40722</c:v>
                </c:pt>
                <c:pt idx="244">
                  <c:v>40718</c:v>
                </c:pt>
                <c:pt idx="245">
                  <c:v>40717</c:v>
                </c:pt>
                <c:pt idx="246">
                  <c:v>40716</c:v>
                </c:pt>
                <c:pt idx="247">
                  <c:v>40715</c:v>
                </c:pt>
                <c:pt idx="248">
                  <c:v>40714</c:v>
                </c:pt>
                <c:pt idx="249">
                  <c:v>40711</c:v>
                </c:pt>
                <c:pt idx="250">
                  <c:v>40710</c:v>
                </c:pt>
                <c:pt idx="251">
                  <c:v>40709</c:v>
                </c:pt>
                <c:pt idx="252">
                  <c:v>40708</c:v>
                </c:pt>
                <c:pt idx="253">
                  <c:v>40707</c:v>
                </c:pt>
                <c:pt idx="254">
                  <c:v>40704</c:v>
                </c:pt>
                <c:pt idx="255">
                  <c:v>40703</c:v>
                </c:pt>
                <c:pt idx="256">
                  <c:v>40702</c:v>
                </c:pt>
                <c:pt idx="257">
                  <c:v>40701</c:v>
                </c:pt>
                <c:pt idx="258">
                  <c:v>40697</c:v>
                </c:pt>
                <c:pt idx="259">
                  <c:v>40696</c:v>
                </c:pt>
                <c:pt idx="260">
                  <c:v>40695</c:v>
                </c:pt>
                <c:pt idx="261">
                  <c:v>40694</c:v>
                </c:pt>
                <c:pt idx="262">
                  <c:v>40693</c:v>
                </c:pt>
                <c:pt idx="263">
                  <c:v>40690</c:v>
                </c:pt>
                <c:pt idx="264">
                  <c:v>40689</c:v>
                </c:pt>
                <c:pt idx="265">
                  <c:v>40688</c:v>
                </c:pt>
                <c:pt idx="266">
                  <c:v>40686</c:v>
                </c:pt>
                <c:pt idx="267">
                  <c:v>40683</c:v>
                </c:pt>
                <c:pt idx="268">
                  <c:v>40682</c:v>
                </c:pt>
                <c:pt idx="269">
                  <c:v>40681</c:v>
                </c:pt>
                <c:pt idx="270">
                  <c:v>40680</c:v>
                </c:pt>
                <c:pt idx="271">
                  <c:v>40679</c:v>
                </c:pt>
                <c:pt idx="272">
                  <c:v>40676</c:v>
                </c:pt>
                <c:pt idx="273">
                  <c:v>40675</c:v>
                </c:pt>
                <c:pt idx="274">
                  <c:v>40674</c:v>
                </c:pt>
                <c:pt idx="275">
                  <c:v>40673</c:v>
                </c:pt>
                <c:pt idx="276">
                  <c:v>40672</c:v>
                </c:pt>
                <c:pt idx="277">
                  <c:v>40669</c:v>
                </c:pt>
                <c:pt idx="278">
                  <c:v>40668</c:v>
                </c:pt>
                <c:pt idx="279">
                  <c:v>40667</c:v>
                </c:pt>
                <c:pt idx="280">
                  <c:v>40666</c:v>
                </c:pt>
                <c:pt idx="281">
                  <c:v>40665</c:v>
                </c:pt>
                <c:pt idx="282">
                  <c:v>40662</c:v>
                </c:pt>
                <c:pt idx="283">
                  <c:v>40661</c:v>
                </c:pt>
                <c:pt idx="284">
                  <c:v>40660</c:v>
                </c:pt>
                <c:pt idx="285">
                  <c:v>40659</c:v>
                </c:pt>
                <c:pt idx="286">
                  <c:v>40658</c:v>
                </c:pt>
                <c:pt idx="287">
                  <c:v>40653</c:v>
                </c:pt>
                <c:pt idx="288">
                  <c:v>40652</c:v>
                </c:pt>
                <c:pt idx="289">
                  <c:v>40651</c:v>
                </c:pt>
                <c:pt idx="290">
                  <c:v>40648</c:v>
                </c:pt>
                <c:pt idx="291">
                  <c:v>40647</c:v>
                </c:pt>
                <c:pt idx="292">
                  <c:v>40646</c:v>
                </c:pt>
                <c:pt idx="293">
                  <c:v>40645</c:v>
                </c:pt>
                <c:pt idx="294">
                  <c:v>40644</c:v>
                </c:pt>
                <c:pt idx="295">
                  <c:v>40641</c:v>
                </c:pt>
                <c:pt idx="296">
                  <c:v>40639</c:v>
                </c:pt>
                <c:pt idx="297">
                  <c:v>40638</c:v>
                </c:pt>
                <c:pt idx="298">
                  <c:v>40637</c:v>
                </c:pt>
                <c:pt idx="299">
                  <c:v>40634</c:v>
                </c:pt>
                <c:pt idx="300">
                  <c:v>40633</c:v>
                </c:pt>
                <c:pt idx="301">
                  <c:v>40632</c:v>
                </c:pt>
                <c:pt idx="302">
                  <c:v>40631</c:v>
                </c:pt>
                <c:pt idx="303">
                  <c:v>40630</c:v>
                </c:pt>
                <c:pt idx="304">
                  <c:v>40627</c:v>
                </c:pt>
                <c:pt idx="305">
                  <c:v>40626</c:v>
                </c:pt>
                <c:pt idx="306">
                  <c:v>40625</c:v>
                </c:pt>
                <c:pt idx="307">
                  <c:v>40624</c:v>
                </c:pt>
                <c:pt idx="308">
                  <c:v>40620</c:v>
                </c:pt>
                <c:pt idx="309">
                  <c:v>40619</c:v>
                </c:pt>
                <c:pt idx="310">
                  <c:v>40618</c:v>
                </c:pt>
                <c:pt idx="311">
                  <c:v>40617</c:v>
                </c:pt>
                <c:pt idx="312">
                  <c:v>40616</c:v>
                </c:pt>
                <c:pt idx="313">
                  <c:v>40613</c:v>
                </c:pt>
                <c:pt idx="314">
                  <c:v>40612</c:v>
                </c:pt>
                <c:pt idx="315">
                  <c:v>40611</c:v>
                </c:pt>
                <c:pt idx="316">
                  <c:v>40609</c:v>
                </c:pt>
                <c:pt idx="317">
                  <c:v>40606</c:v>
                </c:pt>
                <c:pt idx="318">
                  <c:v>40605</c:v>
                </c:pt>
                <c:pt idx="319">
                  <c:v>40604</c:v>
                </c:pt>
                <c:pt idx="320">
                  <c:v>40603</c:v>
                </c:pt>
                <c:pt idx="321">
                  <c:v>40602</c:v>
                </c:pt>
                <c:pt idx="322">
                  <c:v>40599</c:v>
                </c:pt>
                <c:pt idx="323">
                  <c:v>40598</c:v>
                </c:pt>
                <c:pt idx="324">
                  <c:v>40597</c:v>
                </c:pt>
                <c:pt idx="325">
                  <c:v>40596</c:v>
                </c:pt>
                <c:pt idx="326">
                  <c:v>40595</c:v>
                </c:pt>
                <c:pt idx="327">
                  <c:v>40592</c:v>
                </c:pt>
                <c:pt idx="328">
                  <c:v>40591</c:v>
                </c:pt>
                <c:pt idx="329">
                  <c:v>40590</c:v>
                </c:pt>
                <c:pt idx="330">
                  <c:v>40589</c:v>
                </c:pt>
                <c:pt idx="331">
                  <c:v>40588</c:v>
                </c:pt>
                <c:pt idx="332">
                  <c:v>40585</c:v>
                </c:pt>
                <c:pt idx="333">
                  <c:v>40584</c:v>
                </c:pt>
                <c:pt idx="334">
                  <c:v>40583</c:v>
                </c:pt>
                <c:pt idx="335">
                  <c:v>40582</c:v>
                </c:pt>
                <c:pt idx="336">
                  <c:v>40581</c:v>
                </c:pt>
                <c:pt idx="337">
                  <c:v>40578</c:v>
                </c:pt>
                <c:pt idx="338">
                  <c:v>40577</c:v>
                </c:pt>
                <c:pt idx="339">
                  <c:v>40576</c:v>
                </c:pt>
                <c:pt idx="340">
                  <c:v>40575</c:v>
                </c:pt>
                <c:pt idx="341">
                  <c:v>40574</c:v>
                </c:pt>
                <c:pt idx="342">
                  <c:v>40571</c:v>
                </c:pt>
                <c:pt idx="343">
                  <c:v>40570</c:v>
                </c:pt>
                <c:pt idx="344">
                  <c:v>40569</c:v>
                </c:pt>
                <c:pt idx="345">
                  <c:v>40568</c:v>
                </c:pt>
                <c:pt idx="346">
                  <c:v>40567</c:v>
                </c:pt>
                <c:pt idx="347">
                  <c:v>40564</c:v>
                </c:pt>
                <c:pt idx="348">
                  <c:v>40563</c:v>
                </c:pt>
                <c:pt idx="349">
                  <c:v>40562</c:v>
                </c:pt>
                <c:pt idx="350">
                  <c:v>40561</c:v>
                </c:pt>
                <c:pt idx="351">
                  <c:v>40560</c:v>
                </c:pt>
                <c:pt idx="352">
                  <c:v>40557</c:v>
                </c:pt>
                <c:pt idx="353">
                  <c:v>40556</c:v>
                </c:pt>
                <c:pt idx="354">
                  <c:v>40555</c:v>
                </c:pt>
                <c:pt idx="355">
                  <c:v>40554</c:v>
                </c:pt>
                <c:pt idx="356">
                  <c:v>40550</c:v>
                </c:pt>
                <c:pt idx="357">
                  <c:v>40549</c:v>
                </c:pt>
                <c:pt idx="358">
                  <c:v>40548</c:v>
                </c:pt>
                <c:pt idx="359">
                  <c:v>40547</c:v>
                </c:pt>
                <c:pt idx="360">
                  <c:v>40546</c:v>
                </c:pt>
                <c:pt idx="361">
                  <c:v>40542</c:v>
                </c:pt>
                <c:pt idx="362">
                  <c:v>40541</c:v>
                </c:pt>
                <c:pt idx="363">
                  <c:v>40540</c:v>
                </c:pt>
                <c:pt idx="364">
                  <c:v>40539</c:v>
                </c:pt>
                <c:pt idx="365">
                  <c:v>40536</c:v>
                </c:pt>
                <c:pt idx="366">
                  <c:v>40535</c:v>
                </c:pt>
                <c:pt idx="367">
                  <c:v>40534</c:v>
                </c:pt>
                <c:pt idx="368">
                  <c:v>40533</c:v>
                </c:pt>
                <c:pt idx="369">
                  <c:v>40532</c:v>
                </c:pt>
                <c:pt idx="370">
                  <c:v>40529</c:v>
                </c:pt>
                <c:pt idx="371">
                  <c:v>40528</c:v>
                </c:pt>
                <c:pt idx="372">
                  <c:v>40527</c:v>
                </c:pt>
                <c:pt idx="373">
                  <c:v>40526</c:v>
                </c:pt>
                <c:pt idx="374">
                  <c:v>40525</c:v>
                </c:pt>
                <c:pt idx="375">
                  <c:v>40522</c:v>
                </c:pt>
                <c:pt idx="376">
                  <c:v>40521</c:v>
                </c:pt>
                <c:pt idx="377">
                  <c:v>40519</c:v>
                </c:pt>
                <c:pt idx="378">
                  <c:v>40518</c:v>
                </c:pt>
                <c:pt idx="379">
                  <c:v>40515</c:v>
                </c:pt>
                <c:pt idx="380">
                  <c:v>40514</c:v>
                </c:pt>
                <c:pt idx="381">
                  <c:v>40513</c:v>
                </c:pt>
                <c:pt idx="382">
                  <c:v>40512</c:v>
                </c:pt>
                <c:pt idx="383">
                  <c:v>40511</c:v>
                </c:pt>
                <c:pt idx="384">
                  <c:v>40508</c:v>
                </c:pt>
                <c:pt idx="385">
                  <c:v>40507</c:v>
                </c:pt>
                <c:pt idx="386">
                  <c:v>40506</c:v>
                </c:pt>
                <c:pt idx="387">
                  <c:v>40505</c:v>
                </c:pt>
                <c:pt idx="388">
                  <c:v>40504</c:v>
                </c:pt>
                <c:pt idx="389">
                  <c:v>40501</c:v>
                </c:pt>
                <c:pt idx="390">
                  <c:v>40500</c:v>
                </c:pt>
                <c:pt idx="391">
                  <c:v>40499</c:v>
                </c:pt>
                <c:pt idx="392">
                  <c:v>40498</c:v>
                </c:pt>
                <c:pt idx="393">
                  <c:v>40493</c:v>
                </c:pt>
                <c:pt idx="394">
                  <c:v>40492</c:v>
                </c:pt>
                <c:pt idx="395">
                  <c:v>40491</c:v>
                </c:pt>
                <c:pt idx="396">
                  <c:v>40490</c:v>
                </c:pt>
                <c:pt idx="397">
                  <c:v>40487</c:v>
                </c:pt>
                <c:pt idx="398">
                  <c:v>40486</c:v>
                </c:pt>
                <c:pt idx="399">
                  <c:v>40485</c:v>
                </c:pt>
                <c:pt idx="400">
                  <c:v>40484</c:v>
                </c:pt>
                <c:pt idx="401">
                  <c:v>40480</c:v>
                </c:pt>
                <c:pt idx="402">
                  <c:v>40479</c:v>
                </c:pt>
                <c:pt idx="403">
                  <c:v>40478</c:v>
                </c:pt>
                <c:pt idx="404">
                  <c:v>40477</c:v>
                </c:pt>
                <c:pt idx="405">
                  <c:v>40476</c:v>
                </c:pt>
                <c:pt idx="406">
                  <c:v>40473</c:v>
                </c:pt>
                <c:pt idx="407">
                  <c:v>40472</c:v>
                </c:pt>
                <c:pt idx="408">
                  <c:v>40471</c:v>
                </c:pt>
                <c:pt idx="409">
                  <c:v>40470</c:v>
                </c:pt>
                <c:pt idx="410">
                  <c:v>40466</c:v>
                </c:pt>
                <c:pt idx="411">
                  <c:v>40465</c:v>
                </c:pt>
                <c:pt idx="412">
                  <c:v>40464</c:v>
                </c:pt>
                <c:pt idx="413">
                  <c:v>40463</c:v>
                </c:pt>
                <c:pt idx="414">
                  <c:v>40462</c:v>
                </c:pt>
                <c:pt idx="415">
                  <c:v>40459</c:v>
                </c:pt>
                <c:pt idx="416">
                  <c:v>40458</c:v>
                </c:pt>
                <c:pt idx="417">
                  <c:v>40457</c:v>
                </c:pt>
                <c:pt idx="418">
                  <c:v>40456</c:v>
                </c:pt>
                <c:pt idx="419">
                  <c:v>40455</c:v>
                </c:pt>
                <c:pt idx="420">
                  <c:v>40452</c:v>
                </c:pt>
                <c:pt idx="421">
                  <c:v>40451</c:v>
                </c:pt>
                <c:pt idx="422">
                  <c:v>40450</c:v>
                </c:pt>
                <c:pt idx="423">
                  <c:v>40449</c:v>
                </c:pt>
                <c:pt idx="424">
                  <c:v>40448</c:v>
                </c:pt>
                <c:pt idx="425">
                  <c:v>40445</c:v>
                </c:pt>
                <c:pt idx="426">
                  <c:v>40444</c:v>
                </c:pt>
                <c:pt idx="427">
                  <c:v>40443</c:v>
                </c:pt>
                <c:pt idx="428">
                  <c:v>40442</c:v>
                </c:pt>
                <c:pt idx="429">
                  <c:v>40441</c:v>
                </c:pt>
                <c:pt idx="430">
                  <c:v>40438</c:v>
                </c:pt>
                <c:pt idx="431">
                  <c:v>40437</c:v>
                </c:pt>
                <c:pt idx="432">
                  <c:v>40436</c:v>
                </c:pt>
                <c:pt idx="433">
                  <c:v>40435</c:v>
                </c:pt>
                <c:pt idx="434">
                  <c:v>40434</c:v>
                </c:pt>
                <c:pt idx="435">
                  <c:v>40431</c:v>
                </c:pt>
                <c:pt idx="436">
                  <c:v>40430</c:v>
                </c:pt>
                <c:pt idx="437">
                  <c:v>40429</c:v>
                </c:pt>
                <c:pt idx="438">
                  <c:v>40428</c:v>
                </c:pt>
                <c:pt idx="439">
                  <c:v>40427</c:v>
                </c:pt>
                <c:pt idx="440">
                  <c:v>40424</c:v>
                </c:pt>
                <c:pt idx="441">
                  <c:v>40423</c:v>
                </c:pt>
                <c:pt idx="442">
                  <c:v>40422</c:v>
                </c:pt>
                <c:pt idx="443">
                  <c:v>40421</c:v>
                </c:pt>
                <c:pt idx="444">
                  <c:v>40420</c:v>
                </c:pt>
                <c:pt idx="445">
                  <c:v>40417</c:v>
                </c:pt>
                <c:pt idx="446">
                  <c:v>40416</c:v>
                </c:pt>
                <c:pt idx="447">
                  <c:v>40415</c:v>
                </c:pt>
                <c:pt idx="448">
                  <c:v>40414</c:v>
                </c:pt>
                <c:pt idx="449">
                  <c:v>40413</c:v>
                </c:pt>
                <c:pt idx="450">
                  <c:v>40410</c:v>
                </c:pt>
                <c:pt idx="451">
                  <c:v>40409</c:v>
                </c:pt>
                <c:pt idx="452">
                  <c:v>40408</c:v>
                </c:pt>
                <c:pt idx="453">
                  <c:v>40407</c:v>
                </c:pt>
                <c:pt idx="454">
                  <c:v>40403</c:v>
                </c:pt>
                <c:pt idx="455">
                  <c:v>40402</c:v>
                </c:pt>
                <c:pt idx="456">
                  <c:v>40401</c:v>
                </c:pt>
                <c:pt idx="457">
                  <c:v>40400</c:v>
                </c:pt>
                <c:pt idx="458">
                  <c:v>40399</c:v>
                </c:pt>
                <c:pt idx="459">
                  <c:v>40394</c:v>
                </c:pt>
                <c:pt idx="460">
                  <c:v>40393</c:v>
                </c:pt>
                <c:pt idx="461">
                  <c:v>40392</c:v>
                </c:pt>
                <c:pt idx="462">
                  <c:v>40388</c:v>
                </c:pt>
                <c:pt idx="463">
                  <c:v>40387</c:v>
                </c:pt>
                <c:pt idx="464">
                  <c:v>40386</c:v>
                </c:pt>
                <c:pt idx="465">
                  <c:v>40385</c:v>
                </c:pt>
                <c:pt idx="466">
                  <c:v>40381</c:v>
                </c:pt>
                <c:pt idx="467">
                  <c:v>40380</c:v>
                </c:pt>
                <c:pt idx="468">
                  <c:v>40378</c:v>
                </c:pt>
                <c:pt idx="469">
                  <c:v>40375</c:v>
                </c:pt>
                <c:pt idx="470">
                  <c:v>40374</c:v>
                </c:pt>
                <c:pt idx="471">
                  <c:v>40373</c:v>
                </c:pt>
                <c:pt idx="472">
                  <c:v>40372</c:v>
                </c:pt>
                <c:pt idx="473">
                  <c:v>40371</c:v>
                </c:pt>
                <c:pt idx="474">
                  <c:v>40368</c:v>
                </c:pt>
                <c:pt idx="475">
                  <c:v>40367</c:v>
                </c:pt>
                <c:pt idx="476">
                  <c:v>40365</c:v>
                </c:pt>
                <c:pt idx="477">
                  <c:v>40361</c:v>
                </c:pt>
                <c:pt idx="478">
                  <c:v>40360</c:v>
                </c:pt>
                <c:pt idx="479">
                  <c:v>40358</c:v>
                </c:pt>
                <c:pt idx="480">
                  <c:v>40353</c:v>
                </c:pt>
                <c:pt idx="481">
                  <c:v>40352</c:v>
                </c:pt>
                <c:pt idx="482">
                  <c:v>40347</c:v>
                </c:pt>
                <c:pt idx="483">
                  <c:v>40345</c:v>
                </c:pt>
                <c:pt idx="484">
                  <c:v>40344</c:v>
                </c:pt>
                <c:pt idx="485">
                  <c:v>40340</c:v>
                </c:pt>
                <c:pt idx="486">
                  <c:v>40339</c:v>
                </c:pt>
                <c:pt idx="487">
                  <c:v>40338</c:v>
                </c:pt>
                <c:pt idx="488">
                  <c:v>40337</c:v>
                </c:pt>
                <c:pt idx="489">
                  <c:v>40333</c:v>
                </c:pt>
                <c:pt idx="490">
                  <c:v>40332</c:v>
                </c:pt>
                <c:pt idx="491">
                  <c:v>40331</c:v>
                </c:pt>
                <c:pt idx="492">
                  <c:v>40326</c:v>
                </c:pt>
                <c:pt idx="493">
                  <c:v>40324</c:v>
                </c:pt>
                <c:pt idx="494">
                  <c:v>40323</c:v>
                </c:pt>
                <c:pt idx="495">
                  <c:v>40322</c:v>
                </c:pt>
                <c:pt idx="496">
                  <c:v>40319</c:v>
                </c:pt>
                <c:pt idx="497">
                  <c:v>40311</c:v>
                </c:pt>
                <c:pt idx="498">
                  <c:v>40310</c:v>
                </c:pt>
                <c:pt idx="499">
                  <c:v>40309</c:v>
                </c:pt>
                <c:pt idx="500">
                  <c:v>40308</c:v>
                </c:pt>
                <c:pt idx="501">
                  <c:v>40305</c:v>
                </c:pt>
                <c:pt idx="502">
                  <c:v>40304</c:v>
                </c:pt>
                <c:pt idx="503">
                  <c:v>40303</c:v>
                </c:pt>
                <c:pt idx="504">
                  <c:v>40302</c:v>
                </c:pt>
                <c:pt idx="505">
                  <c:v>40301</c:v>
                </c:pt>
                <c:pt idx="506">
                  <c:v>40298</c:v>
                </c:pt>
                <c:pt idx="507">
                  <c:v>40297</c:v>
                </c:pt>
                <c:pt idx="508">
                  <c:v>40295</c:v>
                </c:pt>
                <c:pt idx="509">
                  <c:v>40294</c:v>
                </c:pt>
                <c:pt idx="510">
                  <c:v>40291</c:v>
                </c:pt>
                <c:pt idx="511">
                  <c:v>40290</c:v>
                </c:pt>
                <c:pt idx="512">
                  <c:v>40289</c:v>
                </c:pt>
                <c:pt idx="513">
                  <c:v>40288</c:v>
                </c:pt>
                <c:pt idx="514">
                  <c:v>40287</c:v>
                </c:pt>
                <c:pt idx="515">
                  <c:v>40283</c:v>
                </c:pt>
                <c:pt idx="516">
                  <c:v>40282</c:v>
                </c:pt>
                <c:pt idx="517">
                  <c:v>40281</c:v>
                </c:pt>
                <c:pt idx="518">
                  <c:v>40277</c:v>
                </c:pt>
                <c:pt idx="519">
                  <c:v>40276</c:v>
                </c:pt>
                <c:pt idx="520">
                  <c:v>40275</c:v>
                </c:pt>
                <c:pt idx="521">
                  <c:v>40274</c:v>
                </c:pt>
                <c:pt idx="522">
                  <c:v>40273</c:v>
                </c:pt>
                <c:pt idx="523">
                  <c:v>40268</c:v>
                </c:pt>
                <c:pt idx="524">
                  <c:v>40267</c:v>
                </c:pt>
                <c:pt idx="525">
                  <c:v>40263</c:v>
                </c:pt>
                <c:pt idx="526">
                  <c:v>40260</c:v>
                </c:pt>
                <c:pt idx="527">
                  <c:v>40256</c:v>
                </c:pt>
                <c:pt idx="528">
                  <c:v>40253</c:v>
                </c:pt>
                <c:pt idx="529">
                  <c:v>40249</c:v>
                </c:pt>
                <c:pt idx="530">
                  <c:v>40248</c:v>
                </c:pt>
                <c:pt idx="531">
                  <c:v>40247</c:v>
                </c:pt>
                <c:pt idx="532">
                  <c:v>40246</c:v>
                </c:pt>
                <c:pt idx="533">
                  <c:v>40245</c:v>
                </c:pt>
                <c:pt idx="534">
                  <c:v>40242</c:v>
                </c:pt>
                <c:pt idx="535">
                  <c:v>40241</c:v>
                </c:pt>
                <c:pt idx="536">
                  <c:v>40240</c:v>
                </c:pt>
                <c:pt idx="537">
                  <c:v>40239</c:v>
                </c:pt>
                <c:pt idx="538">
                  <c:v>40238</c:v>
                </c:pt>
                <c:pt idx="539">
                  <c:v>40235</c:v>
                </c:pt>
                <c:pt idx="540">
                  <c:v>40234</c:v>
                </c:pt>
                <c:pt idx="541">
                  <c:v>40233</c:v>
                </c:pt>
                <c:pt idx="542">
                  <c:v>40232</c:v>
                </c:pt>
                <c:pt idx="543">
                  <c:v>40231</c:v>
                </c:pt>
                <c:pt idx="544">
                  <c:v>40228</c:v>
                </c:pt>
                <c:pt idx="545">
                  <c:v>40227</c:v>
                </c:pt>
                <c:pt idx="546">
                  <c:v>40226</c:v>
                </c:pt>
                <c:pt idx="547">
                  <c:v>40225</c:v>
                </c:pt>
                <c:pt idx="548">
                  <c:v>40224</c:v>
                </c:pt>
                <c:pt idx="549">
                  <c:v>40221</c:v>
                </c:pt>
                <c:pt idx="550">
                  <c:v>40220</c:v>
                </c:pt>
                <c:pt idx="551">
                  <c:v>40219</c:v>
                </c:pt>
                <c:pt idx="552">
                  <c:v>40218</c:v>
                </c:pt>
                <c:pt idx="553">
                  <c:v>40217</c:v>
                </c:pt>
                <c:pt idx="554">
                  <c:v>40214</c:v>
                </c:pt>
                <c:pt idx="555">
                  <c:v>40212</c:v>
                </c:pt>
                <c:pt idx="556">
                  <c:v>40210</c:v>
                </c:pt>
                <c:pt idx="557">
                  <c:v>40207</c:v>
                </c:pt>
                <c:pt idx="558">
                  <c:v>40206</c:v>
                </c:pt>
                <c:pt idx="559">
                  <c:v>40205</c:v>
                </c:pt>
                <c:pt idx="560">
                  <c:v>40203</c:v>
                </c:pt>
                <c:pt idx="561">
                  <c:v>40200</c:v>
                </c:pt>
                <c:pt idx="562">
                  <c:v>40199</c:v>
                </c:pt>
                <c:pt idx="563">
                  <c:v>40198</c:v>
                </c:pt>
                <c:pt idx="564">
                  <c:v>40197</c:v>
                </c:pt>
                <c:pt idx="565">
                  <c:v>40196</c:v>
                </c:pt>
                <c:pt idx="566">
                  <c:v>40193</c:v>
                </c:pt>
                <c:pt idx="567">
                  <c:v>40192</c:v>
                </c:pt>
                <c:pt idx="568">
                  <c:v>40191</c:v>
                </c:pt>
                <c:pt idx="569">
                  <c:v>40186</c:v>
                </c:pt>
                <c:pt idx="570">
                  <c:v>40185</c:v>
                </c:pt>
                <c:pt idx="571">
                  <c:v>40183</c:v>
                </c:pt>
                <c:pt idx="572">
                  <c:v>40182</c:v>
                </c:pt>
                <c:pt idx="573">
                  <c:v>40177</c:v>
                </c:pt>
                <c:pt idx="574">
                  <c:v>40175</c:v>
                </c:pt>
                <c:pt idx="575">
                  <c:v>40171</c:v>
                </c:pt>
                <c:pt idx="576">
                  <c:v>40170</c:v>
                </c:pt>
                <c:pt idx="577">
                  <c:v>40169</c:v>
                </c:pt>
                <c:pt idx="578">
                  <c:v>40168</c:v>
                </c:pt>
                <c:pt idx="579">
                  <c:v>40165</c:v>
                </c:pt>
                <c:pt idx="580">
                  <c:v>40164</c:v>
                </c:pt>
                <c:pt idx="581">
                  <c:v>40162</c:v>
                </c:pt>
                <c:pt idx="582">
                  <c:v>40161</c:v>
                </c:pt>
                <c:pt idx="583">
                  <c:v>40158</c:v>
                </c:pt>
                <c:pt idx="584">
                  <c:v>40157</c:v>
                </c:pt>
                <c:pt idx="585">
                  <c:v>40156</c:v>
                </c:pt>
                <c:pt idx="586">
                  <c:v>40148</c:v>
                </c:pt>
                <c:pt idx="587">
                  <c:v>40144</c:v>
                </c:pt>
                <c:pt idx="588">
                  <c:v>40143</c:v>
                </c:pt>
                <c:pt idx="589">
                  <c:v>40142</c:v>
                </c:pt>
                <c:pt idx="590">
                  <c:v>40140</c:v>
                </c:pt>
                <c:pt idx="591">
                  <c:v>40137</c:v>
                </c:pt>
                <c:pt idx="592">
                  <c:v>40135</c:v>
                </c:pt>
                <c:pt idx="593">
                  <c:v>40130</c:v>
                </c:pt>
                <c:pt idx="594">
                  <c:v>40129</c:v>
                </c:pt>
                <c:pt idx="595">
                  <c:v>40128</c:v>
                </c:pt>
                <c:pt idx="596">
                  <c:v>40127</c:v>
                </c:pt>
                <c:pt idx="597">
                  <c:v>40126</c:v>
                </c:pt>
                <c:pt idx="598">
                  <c:v>40123</c:v>
                </c:pt>
                <c:pt idx="599">
                  <c:v>40122</c:v>
                </c:pt>
                <c:pt idx="600">
                  <c:v>40121</c:v>
                </c:pt>
                <c:pt idx="601">
                  <c:v>40120</c:v>
                </c:pt>
                <c:pt idx="602">
                  <c:v>40116</c:v>
                </c:pt>
                <c:pt idx="603">
                  <c:v>40115</c:v>
                </c:pt>
                <c:pt idx="604">
                  <c:v>40114</c:v>
                </c:pt>
                <c:pt idx="605">
                  <c:v>40113</c:v>
                </c:pt>
                <c:pt idx="606">
                  <c:v>40112</c:v>
                </c:pt>
                <c:pt idx="607">
                  <c:v>40109</c:v>
                </c:pt>
                <c:pt idx="608">
                  <c:v>40108</c:v>
                </c:pt>
                <c:pt idx="609">
                  <c:v>40107</c:v>
                </c:pt>
                <c:pt idx="610">
                  <c:v>40106</c:v>
                </c:pt>
                <c:pt idx="611">
                  <c:v>40105</c:v>
                </c:pt>
                <c:pt idx="612">
                  <c:v>40102</c:v>
                </c:pt>
                <c:pt idx="613">
                  <c:v>40101</c:v>
                </c:pt>
                <c:pt idx="614">
                  <c:v>40100</c:v>
                </c:pt>
                <c:pt idx="615">
                  <c:v>40099</c:v>
                </c:pt>
                <c:pt idx="616">
                  <c:v>40095</c:v>
                </c:pt>
                <c:pt idx="617">
                  <c:v>40094</c:v>
                </c:pt>
                <c:pt idx="618">
                  <c:v>40093</c:v>
                </c:pt>
                <c:pt idx="619">
                  <c:v>40092</c:v>
                </c:pt>
                <c:pt idx="620">
                  <c:v>40091</c:v>
                </c:pt>
                <c:pt idx="621">
                  <c:v>40088</c:v>
                </c:pt>
                <c:pt idx="622">
                  <c:v>40087</c:v>
                </c:pt>
                <c:pt idx="623">
                  <c:v>40086</c:v>
                </c:pt>
                <c:pt idx="624">
                  <c:v>40085</c:v>
                </c:pt>
                <c:pt idx="625">
                  <c:v>40084</c:v>
                </c:pt>
                <c:pt idx="626">
                  <c:v>40081</c:v>
                </c:pt>
                <c:pt idx="627">
                  <c:v>40080</c:v>
                </c:pt>
                <c:pt idx="628">
                  <c:v>40079</c:v>
                </c:pt>
                <c:pt idx="629">
                  <c:v>40078</c:v>
                </c:pt>
                <c:pt idx="630">
                  <c:v>40077</c:v>
                </c:pt>
                <c:pt idx="631">
                  <c:v>40074</c:v>
                </c:pt>
                <c:pt idx="632">
                  <c:v>40073</c:v>
                </c:pt>
                <c:pt idx="633">
                  <c:v>40072</c:v>
                </c:pt>
                <c:pt idx="634">
                  <c:v>40071</c:v>
                </c:pt>
                <c:pt idx="635">
                  <c:v>40070</c:v>
                </c:pt>
                <c:pt idx="636">
                  <c:v>40067</c:v>
                </c:pt>
                <c:pt idx="637">
                  <c:v>40066</c:v>
                </c:pt>
                <c:pt idx="638">
                  <c:v>40065</c:v>
                </c:pt>
                <c:pt idx="639">
                  <c:v>40063</c:v>
                </c:pt>
                <c:pt idx="640">
                  <c:v>40060</c:v>
                </c:pt>
                <c:pt idx="641">
                  <c:v>40059</c:v>
                </c:pt>
                <c:pt idx="642">
                  <c:v>40058</c:v>
                </c:pt>
                <c:pt idx="643">
                  <c:v>40057</c:v>
                </c:pt>
                <c:pt idx="644">
                  <c:v>40056</c:v>
                </c:pt>
                <c:pt idx="645">
                  <c:v>40053</c:v>
                </c:pt>
                <c:pt idx="646">
                  <c:v>40052</c:v>
                </c:pt>
                <c:pt idx="647">
                  <c:v>40051</c:v>
                </c:pt>
                <c:pt idx="648">
                  <c:v>40050</c:v>
                </c:pt>
                <c:pt idx="649">
                  <c:v>40049</c:v>
                </c:pt>
                <c:pt idx="650">
                  <c:v>40046</c:v>
                </c:pt>
                <c:pt idx="651">
                  <c:v>40045</c:v>
                </c:pt>
                <c:pt idx="652">
                  <c:v>40044</c:v>
                </c:pt>
                <c:pt idx="653">
                  <c:v>40043</c:v>
                </c:pt>
                <c:pt idx="654">
                  <c:v>40039</c:v>
                </c:pt>
                <c:pt idx="655">
                  <c:v>40038</c:v>
                </c:pt>
                <c:pt idx="656">
                  <c:v>40037</c:v>
                </c:pt>
                <c:pt idx="657">
                  <c:v>40036</c:v>
                </c:pt>
                <c:pt idx="658">
                  <c:v>40035</c:v>
                </c:pt>
                <c:pt idx="659">
                  <c:v>40031</c:v>
                </c:pt>
                <c:pt idx="660">
                  <c:v>40030</c:v>
                </c:pt>
                <c:pt idx="661">
                  <c:v>40029</c:v>
                </c:pt>
                <c:pt idx="662">
                  <c:v>40028</c:v>
                </c:pt>
                <c:pt idx="663">
                  <c:v>40025</c:v>
                </c:pt>
                <c:pt idx="664">
                  <c:v>40024</c:v>
                </c:pt>
                <c:pt idx="665">
                  <c:v>40023</c:v>
                </c:pt>
                <c:pt idx="666">
                  <c:v>40022</c:v>
                </c:pt>
                <c:pt idx="667">
                  <c:v>40021</c:v>
                </c:pt>
                <c:pt idx="668">
                  <c:v>40018</c:v>
                </c:pt>
                <c:pt idx="669">
                  <c:v>40017</c:v>
                </c:pt>
                <c:pt idx="670">
                  <c:v>40016</c:v>
                </c:pt>
                <c:pt idx="671">
                  <c:v>40015</c:v>
                </c:pt>
                <c:pt idx="672">
                  <c:v>40011</c:v>
                </c:pt>
                <c:pt idx="673">
                  <c:v>40010</c:v>
                </c:pt>
                <c:pt idx="674">
                  <c:v>40009</c:v>
                </c:pt>
                <c:pt idx="675">
                  <c:v>40008</c:v>
                </c:pt>
                <c:pt idx="676">
                  <c:v>40007</c:v>
                </c:pt>
                <c:pt idx="677">
                  <c:v>40004</c:v>
                </c:pt>
                <c:pt idx="678">
                  <c:v>40003</c:v>
                </c:pt>
                <c:pt idx="679">
                  <c:v>40002</c:v>
                </c:pt>
                <c:pt idx="680">
                  <c:v>40001</c:v>
                </c:pt>
                <c:pt idx="681">
                  <c:v>40000</c:v>
                </c:pt>
                <c:pt idx="682">
                  <c:v>39997</c:v>
                </c:pt>
                <c:pt idx="683">
                  <c:v>39996</c:v>
                </c:pt>
                <c:pt idx="684">
                  <c:v>39995</c:v>
                </c:pt>
                <c:pt idx="685">
                  <c:v>39994</c:v>
                </c:pt>
                <c:pt idx="686">
                  <c:v>39990</c:v>
                </c:pt>
                <c:pt idx="687">
                  <c:v>39989</c:v>
                </c:pt>
                <c:pt idx="688">
                  <c:v>39988</c:v>
                </c:pt>
                <c:pt idx="689">
                  <c:v>39987</c:v>
                </c:pt>
                <c:pt idx="690">
                  <c:v>39983</c:v>
                </c:pt>
                <c:pt idx="691">
                  <c:v>39982</c:v>
                </c:pt>
                <c:pt idx="692">
                  <c:v>39981</c:v>
                </c:pt>
                <c:pt idx="693">
                  <c:v>39980</c:v>
                </c:pt>
                <c:pt idx="694">
                  <c:v>39976</c:v>
                </c:pt>
                <c:pt idx="695">
                  <c:v>39975</c:v>
                </c:pt>
                <c:pt idx="696">
                  <c:v>39974</c:v>
                </c:pt>
                <c:pt idx="697">
                  <c:v>39973</c:v>
                </c:pt>
                <c:pt idx="698">
                  <c:v>39972</c:v>
                </c:pt>
                <c:pt idx="699">
                  <c:v>39969</c:v>
                </c:pt>
                <c:pt idx="700">
                  <c:v>39968</c:v>
                </c:pt>
                <c:pt idx="701">
                  <c:v>39967</c:v>
                </c:pt>
                <c:pt idx="702">
                  <c:v>39966</c:v>
                </c:pt>
                <c:pt idx="703">
                  <c:v>39962</c:v>
                </c:pt>
                <c:pt idx="704">
                  <c:v>39961</c:v>
                </c:pt>
                <c:pt idx="705">
                  <c:v>39960</c:v>
                </c:pt>
                <c:pt idx="706">
                  <c:v>39959</c:v>
                </c:pt>
                <c:pt idx="707">
                  <c:v>39955</c:v>
                </c:pt>
                <c:pt idx="708">
                  <c:v>39954</c:v>
                </c:pt>
                <c:pt idx="709">
                  <c:v>39953</c:v>
                </c:pt>
                <c:pt idx="710">
                  <c:v>39952</c:v>
                </c:pt>
                <c:pt idx="711">
                  <c:v>39951</c:v>
                </c:pt>
                <c:pt idx="712">
                  <c:v>39948</c:v>
                </c:pt>
                <c:pt idx="713">
                  <c:v>39947</c:v>
                </c:pt>
                <c:pt idx="714">
                  <c:v>39946</c:v>
                </c:pt>
                <c:pt idx="715">
                  <c:v>39945</c:v>
                </c:pt>
                <c:pt idx="716">
                  <c:v>39944</c:v>
                </c:pt>
                <c:pt idx="717">
                  <c:v>39941</c:v>
                </c:pt>
                <c:pt idx="718">
                  <c:v>39940</c:v>
                </c:pt>
                <c:pt idx="719">
                  <c:v>39939</c:v>
                </c:pt>
                <c:pt idx="720">
                  <c:v>39938</c:v>
                </c:pt>
                <c:pt idx="721">
                  <c:v>39937</c:v>
                </c:pt>
                <c:pt idx="722">
                  <c:v>39933</c:v>
                </c:pt>
                <c:pt idx="723">
                  <c:v>39932</c:v>
                </c:pt>
                <c:pt idx="724">
                  <c:v>39931</c:v>
                </c:pt>
                <c:pt idx="725">
                  <c:v>39930</c:v>
                </c:pt>
                <c:pt idx="726">
                  <c:v>39927</c:v>
                </c:pt>
                <c:pt idx="727">
                  <c:v>39926</c:v>
                </c:pt>
                <c:pt idx="728">
                  <c:v>39925</c:v>
                </c:pt>
                <c:pt idx="729">
                  <c:v>39924</c:v>
                </c:pt>
                <c:pt idx="730">
                  <c:v>39923</c:v>
                </c:pt>
                <c:pt idx="731">
                  <c:v>39920</c:v>
                </c:pt>
                <c:pt idx="732">
                  <c:v>39919</c:v>
                </c:pt>
                <c:pt idx="733">
                  <c:v>39918</c:v>
                </c:pt>
                <c:pt idx="734">
                  <c:v>39917</c:v>
                </c:pt>
                <c:pt idx="735">
                  <c:v>39916</c:v>
                </c:pt>
                <c:pt idx="736">
                  <c:v>39911</c:v>
                </c:pt>
                <c:pt idx="737">
                  <c:v>39910</c:v>
                </c:pt>
                <c:pt idx="738">
                  <c:v>39909</c:v>
                </c:pt>
                <c:pt idx="739">
                  <c:v>39906</c:v>
                </c:pt>
                <c:pt idx="740">
                  <c:v>39905</c:v>
                </c:pt>
                <c:pt idx="741">
                  <c:v>39904</c:v>
                </c:pt>
                <c:pt idx="742">
                  <c:v>39903</c:v>
                </c:pt>
                <c:pt idx="743">
                  <c:v>39902</c:v>
                </c:pt>
                <c:pt idx="744">
                  <c:v>39899</c:v>
                </c:pt>
                <c:pt idx="745">
                  <c:v>39898</c:v>
                </c:pt>
                <c:pt idx="746">
                  <c:v>39897</c:v>
                </c:pt>
                <c:pt idx="747">
                  <c:v>39896</c:v>
                </c:pt>
                <c:pt idx="748">
                  <c:v>39892</c:v>
                </c:pt>
                <c:pt idx="749">
                  <c:v>39891</c:v>
                </c:pt>
                <c:pt idx="750">
                  <c:v>39890</c:v>
                </c:pt>
                <c:pt idx="751">
                  <c:v>39889</c:v>
                </c:pt>
                <c:pt idx="752">
                  <c:v>39888</c:v>
                </c:pt>
                <c:pt idx="753">
                  <c:v>39885</c:v>
                </c:pt>
                <c:pt idx="754">
                  <c:v>39884</c:v>
                </c:pt>
                <c:pt idx="755">
                  <c:v>39883</c:v>
                </c:pt>
                <c:pt idx="756">
                  <c:v>39882</c:v>
                </c:pt>
                <c:pt idx="757">
                  <c:v>39881</c:v>
                </c:pt>
                <c:pt idx="758">
                  <c:v>39878</c:v>
                </c:pt>
                <c:pt idx="759">
                  <c:v>39877</c:v>
                </c:pt>
                <c:pt idx="760">
                  <c:v>39876</c:v>
                </c:pt>
                <c:pt idx="761">
                  <c:v>39875</c:v>
                </c:pt>
                <c:pt idx="762">
                  <c:v>39874</c:v>
                </c:pt>
                <c:pt idx="763">
                  <c:v>39871</c:v>
                </c:pt>
                <c:pt idx="764">
                  <c:v>39870</c:v>
                </c:pt>
                <c:pt idx="765">
                  <c:v>39869</c:v>
                </c:pt>
                <c:pt idx="766">
                  <c:v>39868</c:v>
                </c:pt>
                <c:pt idx="767">
                  <c:v>39867</c:v>
                </c:pt>
                <c:pt idx="768">
                  <c:v>39864</c:v>
                </c:pt>
                <c:pt idx="769">
                  <c:v>39863</c:v>
                </c:pt>
                <c:pt idx="770">
                  <c:v>39862</c:v>
                </c:pt>
                <c:pt idx="771">
                  <c:v>39861</c:v>
                </c:pt>
                <c:pt idx="772">
                  <c:v>39860</c:v>
                </c:pt>
                <c:pt idx="773">
                  <c:v>39857</c:v>
                </c:pt>
                <c:pt idx="774">
                  <c:v>39856</c:v>
                </c:pt>
                <c:pt idx="775">
                  <c:v>39855</c:v>
                </c:pt>
                <c:pt idx="776">
                  <c:v>39854</c:v>
                </c:pt>
                <c:pt idx="777">
                  <c:v>39853</c:v>
                </c:pt>
                <c:pt idx="778">
                  <c:v>39850</c:v>
                </c:pt>
                <c:pt idx="779">
                  <c:v>39849</c:v>
                </c:pt>
                <c:pt idx="780">
                  <c:v>39848</c:v>
                </c:pt>
                <c:pt idx="781">
                  <c:v>39847</c:v>
                </c:pt>
                <c:pt idx="782">
                  <c:v>39846</c:v>
                </c:pt>
                <c:pt idx="783">
                  <c:v>39843</c:v>
                </c:pt>
                <c:pt idx="784">
                  <c:v>39842</c:v>
                </c:pt>
                <c:pt idx="785">
                  <c:v>39841</c:v>
                </c:pt>
                <c:pt idx="786">
                  <c:v>39840</c:v>
                </c:pt>
                <c:pt idx="787">
                  <c:v>39839</c:v>
                </c:pt>
                <c:pt idx="788">
                  <c:v>39836</c:v>
                </c:pt>
                <c:pt idx="789">
                  <c:v>39835</c:v>
                </c:pt>
                <c:pt idx="790">
                  <c:v>39834</c:v>
                </c:pt>
                <c:pt idx="791">
                  <c:v>39833</c:v>
                </c:pt>
                <c:pt idx="792">
                  <c:v>39832</c:v>
                </c:pt>
                <c:pt idx="793">
                  <c:v>39829</c:v>
                </c:pt>
                <c:pt idx="794">
                  <c:v>39828</c:v>
                </c:pt>
                <c:pt idx="795">
                  <c:v>39827</c:v>
                </c:pt>
                <c:pt idx="796">
                  <c:v>39826</c:v>
                </c:pt>
                <c:pt idx="797">
                  <c:v>39822</c:v>
                </c:pt>
                <c:pt idx="798">
                  <c:v>39821</c:v>
                </c:pt>
                <c:pt idx="799">
                  <c:v>39820</c:v>
                </c:pt>
                <c:pt idx="800">
                  <c:v>39819</c:v>
                </c:pt>
                <c:pt idx="801">
                  <c:v>39818</c:v>
                </c:pt>
                <c:pt idx="802">
                  <c:v>39815</c:v>
                </c:pt>
                <c:pt idx="803">
                  <c:v>39812</c:v>
                </c:pt>
                <c:pt idx="804">
                  <c:v>39811</c:v>
                </c:pt>
                <c:pt idx="805">
                  <c:v>39808</c:v>
                </c:pt>
                <c:pt idx="806">
                  <c:v>39806</c:v>
                </c:pt>
                <c:pt idx="807">
                  <c:v>39805</c:v>
                </c:pt>
                <c:pt idx="808">
                  <c:v>39804</c:v>
                </c:pt>
                <c:pt idx="809">
                  <c:v>39801</c:v>
                </c:pt>
                <c:pt idx="810">
                  <c:v>39800</c:v>
                </c:pt>
                <c:pt idx="811">
                  <c:v>39799</c:v>
                </c:pt>
                <c:pt idx="812">
                  <c:v>39798</c:v>
                </c:pt>
                <c:pt idx="813">
                  <c:v>39797</c:v>
                </c:pt>
                <c:pt idx="814">
                  <c:v>39794</c:v>
                </c:pt>
                <c:pt idx="815">
                  <c:v>39793</c:v>
                </c:pt>
                <c:pt idx="816">
                  <c:v>39792</c:v>
                </c:pt>
                <c:pt idx="817">
                  <c:v>39791</c:v>
                </c:pt>
                <c:pt idx="818">
                  <c:v>39787</c:v>
                </c:pt>
                <c:pt idx="819">
                  <c:v>39786</c:v>
                </c:pt>
                <c:pt idx="820">
                  <c:v>39785</c:v>
                </c:pt>
                <c:pt idx="821">
                  <c:v>39784</c:v>
                </c:pt>
                <c:pt idx="822">
                  <c:v>39783</c:v>
                </c:pt>
                <c:pt idx="823">
                  <c:v>39780</c:v>
                </c:pt>
                <c:pt idx="824">
                  <c:v>39779</c:v>
                </c:pt>
                <c:pt idx="825">
                  <c:v>39778</c:v>
                </c:pt>
                <c:pt idx="826">
                  <c:v>39777</c:v>
                </c:pt>
                <c:pt idx="827">
                  <c:v>39776</c:v>
                </c:pt>
                <c:pt idx="828">
                  <c:v>39773</c:v>
                </c:pt>
                <c:pt idx="829">
                  <c:v>39772</c:v>
                </c:pt>
                <c:pt idx="830">
                  <c:v>39771</c:v>
                </c:pt>
                <c:pt idx="831">
                  <c:v>39770</c:v>
                </c:pt>
                <c:pt idx="832">
                  <c:v>39766</c:v>
                </c:pt>
                <c:pt idx="833">
                  <c:v>39765</c:v>
                </c:pt>
                <c:pt idx="834">
                  <c:v>39764</c:v>
                </c:pt>
                <c:pt idx="835">
                  <c:v>39763</c:v>
                </c:pt>
                <c:pt idx="836">
                  <c:v>39762</c:v>
                </c:pt>
                <c:pt idx="837">
                  <c:v>39759</c:v>
                </c:pt>
                <c:pt idx="838">
                  <c:v>39758</c:v>
                </c:pt>
                <c:pt idx="839">
                  <c:v>39757</c:v>
                </c:pt>
                <c:pt idx="840">
                  <c:v>39756</c:v>
                </c:pt>
                <c:pt idx="841">
                  <c:v>39752</c:v>
                </c:pt>
                <c:pt idx="842">
                  <c:v>39751</c:v>
                </c:pt>
                <c:pt idx="843">
                  <c:v>39750</c:v>
                </c:pt>
                <c:pt idx="844">
                  <c:v>39749</c:v>
                </c:pt>
                <c:pt idx="845">
                  <c:v>39748</c:v>
                </c:pt>
                <c:pt idx="846">
                  <c:v>39745</c:v>
                </c:pt>
                <c:pt idx="847">
                  <c:v>39744</c:v>
                </c:pt>
                <c:pt idx="848">
                  <c:v>39743</c:v>
                </c:pt>
                <c:pt idx="849">
                  <c:v>39742</c:v>
                </c:pt>
                <c:pt idx="850">
                  <c:v>39741</c:v>
                </c:pt>
                <c:pt idx="851">
                  <c:v>39738</c:v>
                </c:pt>
                <c:pt idx="852">
                  <c:v>39737</c:v>
                </c:pt>
                <c:pt idx="853">
                  <c:v>39736</c:v>
                </c:pt>
                <c:pt idx="854">
                  <c:v>39735</c:v>
                </c:pt>
                <c:pt idx="855">
                  <c:v>39731</c:v>
                </c:pt>
                <c:pt idx="856">
                  <c:v>39730</c:v>
                </c:pt>
                <c:pt idx="857">
                  <c:v>39729</c:v>
                </c:pt>
                <c:pt idx="858">
                  <c:v>39728</c:v>
                </c:pt>
                <c:pt idx="859">
                  <c:v>39727</c:v>
                </c:pt>
                <c:pt idx="860">
                  <c:v>39724</c:v>
                </c:pt>
                <c:pt idx="861">
                  <c:v>39723</c:v>
                </c:pt>
                <c:pt idx="862">
                  <c:v>39722</c:v>
                </c:pt>
                <c:pt idx="863">
                  <c:v>39721</c:v>
                </c:pt>
                <c:pt idx="864">
                  <c:v>39720</c:v>
                </c:pt>
                <c:pt idx="865">
                  <c:v>39717</c:v>
                </c:pt>
                <c:pt idx="866">
                  <c:v>39716</c:v>
                </c:pt>
                <c:pt idx="867">
                  <c:v>39715</c:v>
                </c:pt>
                <c:pt idx="868">
                  <c:v>39714</c:v>
                </c:pt>
                <c:pt idx="869">
                  <c:v>39713</c:v>
                </c:pt>
                <c:pt idx="870">
                  <c:v>39710</c:v>
                </c:pt>
                <c:pt idx="871">
                  <c:v>39709</c:v>
                </c:pt>
                <c:pt idx="872">
                  <c:v>39708</c:v>
                </c:pt>
                <c:pt idx="873">
                  <c:v>39707</c:v>
                </c:pt>
                <c:pt idx="874">
                  <c:v>39706</c:v>
                </c:pt>
                <c:pt idx="875">
                  <c:v>39703</c:v>
                </c:pt>
                <c:pt idx="876">
                  <c:v>39702</c:v>
                </c:pt>
                <c:pt idx="877">
                  <c:v>39701</c:v>
                </c:pt>
                <c:pt idx="878">
                  <c:v>39700</c:v>
                </c:pt>
                <c:pt idx="879">
                  <c:v>39699</c:v>
                </c:pt>
                <c:pt idx="880">
                  <c:v>39696</c:v>
                </c:pt>
                <c:pt idx="881">
                  <c:v>39695</c:v>
                </c:pt>
                <c:pt idx="882">
                  <c:v>39694</c:v>
                </c:pt>
                <c:pt idx="883">
                  <c:v>39693</c:v>
                </c:pt>
                <c:pt idx="884">
                  <c:v>39692</c:v>
                </c:pt>
                <c:pt idx="885">
                  <c:v>39689</c:v>
                </c:pt>
                <c:pt idx="886">
                  <c:v>39687</c:v>
                </c:pt>
                <c:pt idx="887">
                  <c:v>39685</c:v>
                </c:pt>
                <c:pt idx="888">
                  <c:v>39681</c:v>
                </c:pt>
                <c:pt idx="889">
                  <c:v>39680</c:v>
                </c:pt>
                <c:pt idx="890">
                  <c:v>39679</c:v>
                </c:pt>
                <c:pt idx="891">
                  <c:v>39675</c:v>
                </c:pt>
                <c:pt idx="892">
                  <c:v>39674</c:v>
                </c:pt>
                <c:pt idx="893">
                  <c:v>39673</c:v>
                </c:pt>
                <c:pt idx="894">
                  <c:v>39661</c:v>
                </c:pt>
                <c:pt idx="895">
                  <c:v>39659</c:v>
                </c:pt>
                <c:pt idx="896">
                  <c:v>39654</c:v>
                </c:pt>
                <c:pt idx="897">
                  <c:v>39653</c:v>
                </c:pt>
                <c:pt idx="898">
                  <c:v>39647</c:v>
                </c:pt>
                <c:pt idx="899">
                  <c:v>39646</c:v>
                </c:pt>
                <c:pt idx="900">
                  <c:v>39631</c:v>
                </c:pt>
                <c:pt idx="901">
                  <c:v>39625</c:v>
                </c:pt>
                <c:pt idx="902">
                  <c:v>39623</c:v>
                </c:pt>
                <c:pt idx="903">
                  <c:v>39622</c:v>
                </c:pt>
                <c:pt idx="904">
                  <c:v>39619</c:v>
                </c:pt>
                <c:pt idx="905">
                  <c:v>39617</c:v>
                </c:pt>
                <c:pt idx="906">
                  <c:v>39616</c:v>
                </c:pt>
                <c:pt idx="907">
                  <c:v>39615</c:v>
                </c:pt>
                <c:pt idx="908">
                  <c:v>39611</c:v>
                </c:pt>
                <c:pt idx="909">
                  <c:v>39610</c:v>
                </c:pt>
                <c:pt idx="910">
                  <c:v>39609</c:v>
                </c:pt>
                <c:pt idx="911">
                  <c:v>39591</c:v>
                </c:pt>
                <c:pt idx="912">
                  <c:v>39583</c:v>
                </c:pt>
                <c:pt idx="913">
                  <c:v>39582</c:v>
                </c:pt>
                <c:pt idx="914">
                  <c:v>39581</c:v>
                </c:pt>
                <c:pt idx="915">
                  <c:v>39580</c:v>
                </c:pt>
                <c:pt idx="916">
                  <c:v>39576</c:v>
                </c:pt>
                <c:pt idx="917">
                  <c:v>39563</c:v>
                </c:pt>
                <c:pt idx="918">
                  <c:v>39549</c:v>
                </c:pt>
                <c:pt idx="919">
                  <c:v>39542</c:v>
                </c:pt>
                <c:pt idx="920">
                  <c:v>39541</c:v>
                </c:pt>
                <c:pt idx="921">
                  <c:v>39539</c:v>
                </c:pt>
                <c:pt idx="922">
                  <c:v>39534</c:v>
                </c:pt>
                <c:pt idx="923">
                  <c:v>39524</c:v>
                </c:pt>
                <c:pt idx="924">
                  <c:v>39520</c:v>
                </c:pt>
                <c:pt idx="925">
                  <c:v>39519</c:v>
                </c:pt>
                <c:pt idx="926">
                  <c:v>39507</c:v>
                </c:pt>
                <c:pt idx="927">
                  <c:v>39505</c:v>
                </c:pt>
                <c:pt idx="928">
                  <c:v>39503</c:v>
                </c:pt>
                <c:pt idx="929">
                  <c:v>39498</c:v>
                </c:pt>
                <c:pt idx="930">
                  <c:v>39496</c:v>
                </c:pt>
                <c:pt idx="931">
                  <c:v>39493</c:v>
                </c:pt>
                <c:pt idx="932">
                  <c:v>39492</c:v>
                </c:pt>
                <c:pt idx="933">
                  <c:v>39490</c:v>
                </c:pt>
                <c:pt idx="934">
                  <c:v>39489</c:v>
                </c:pt>
                <c:pt idx="935">
                  <c:v>39486</c:v>
                </c:pt>
                <c:pt idx="936">
                  <c:v>39485</c:v>
                </c:pt>
                <c:pt idx="937">
                  <c:v>39483</c:v>
                </c:pt>
                <c:pt idx="938">
                  <c:v>39482</c:v>
                </c:pt>
                <c:pt idx="939">
                  <c:v>39479</c:v>
                </c:pt>
                <c:pt idx="940">
                  <c:v>39478</c:v>
                </c:pt>
                <c:pt idx="941">
                  <c:v>39471</c:v>
                </c:pt>
                <c:pt idx="942">
                  <c:v>39470</c:v>
                </c:pt>
                <c:pt idx="943">
                  <c:v>39469</c:v>
                </c:pt>
                <c:pt idx="944">
                  <c:v>39468</c:v>
                </c:pt>
                <c:pt idx="945">
                  <c:v>39465</c:v>
                </c:pt>
                <c:pt idx="946">
                  <c:v>39464</c:v>
                </c:pt>
                <c:pt idx="947">
                  <c:v>39463</c:v>
                </c:pt>
                <c:pt idx="948">
                  <c:v>39462</c:v>
                </c:pt>
                <c:pt idx="949">
                  <c:v>39461</c:v>
                </c:pt>
                <c:pt idx="950">
                  <c:v>39455</c:v>
                </c:pt>
                <c:pt idx="951">
                  <c:v>39444</c:v>
                </c:pt>
                <c:pt idx="952">
                  <c:v>39443</c:v>
                </c:pt>
                <c:pt idx="953">
                  <c:v>39436</c:v>
                </c:pt>
                <c:pt idx="954">
                  <c:v>39433</c:v>
                </c:pt>
                <c:pt idx="955">
                  <c:v>39430</c:v>
                </c:pt>
                <c:pt idx="956">
                  <c:v>39427</c:v>
                </c:pt>
                <c:pt idx="957">
                  <c:v>39426</c:v>
                </c:pt>
              </c:numCache>
            </c:numRef>
          </c:cat>
          <c:val>
            <c:numRef>
              <c:f>Accion!$C$2:$C$959</c:f>
              <c:numCache>
                <c:formatCode>_(* #,##0.000_);_(* \(#,##0.000\);_(* "-"??_);_(@_)</c:formatCode>
                <c:ptCount val="958"/>
                <c:pt idx="0">
                  <c:v>2.5750000000000002</c:v>
                </c:pt>
                <c:pt idx="1">
                  <c:v>2.38</c:v>
                </c:pt>
                <c:pt idx="2">
                  <c:v>2.5750000000000002</c:v>
                </c:pt>
                <c:pt idx="3">
                  <c:v>2.5750000000000002</c:v>
                </c:pt>
                <c:pt idx="4">
                  <c:v>2.5750000000000002</c:v>
                </c:pt>
                <c:pt idx="5">
                  <c:v>2.5750000000000002</c:v>
                </c:pt>
                <c:pt idx="6">
                  <c:v>2.5750000000000002</c:v>
                </c:pt>
                <c:pt idx="7">
                  <c:v>2.5750000000000002</c:v>
                </c:pt>
                <c:pt idx="8">
                  <c:v>2.5750000000000002</c:v>
                </c:pt>
                <c:pt idx="9">
                  <c:v>2.5750000000000002</c:v>
                </c:pt>
                <c:pt idx="10">
                  <c:v>2.5750000000000002</c:v>
                </c:pt>
                <c:pt idx="11">
                  <c:v>2.38</c:v>
                </c:pt>
                <c:pt idx="12">
                  <c:v>2.38</c:v>
                </c:pt>
                <c:pt idx="13">
                  <c:v>2.5750000000000002</c:v>
                </c:pt>
                <c:pt idx="14">
                  <c:v>2.5750000000000002</c:v>
                </c:pt>
                <c:pt idx="15">
                  <c:v>2.5750000000000002</c:v>
                </c:pt>
                <c:pt idx="16">
                  <c:v>2.5750000000000002</c:v>
                </c:pt>
                <c:pt idx="17">
                  <c:v>2.5750000000000002</c:v>
                </c:pt>
                <c:pt idx="18">
                  <c:v>2.5750000000000002</c:v>
                </c:pt>
                <c:pt idx="19">
                  <c:v>2.5750000000000002</c:v>
                </c:pt>
                <c:pt idx="20">
                  <c:v>2.5750000000000002</c:v>
                </c:pt>
                <c:pt idx="21">
                  <c:v>2.5750000000000002</c:v>
                </c:pt>
                <c:pt idx="22">
                  <c:v>2.5750000000000002</c:v>
                </c:pt>
                <c:pt idx="23">
                  <c:v>2.5750000000000002</c:v>
                </c:pt>
                <c:pt idx="24">
                  <c:v>2.5750000000000002</c:v>
                </c:pt>
                <c:pt idx="25">
                  <c:v>2.5750000000000002</c:v>
                </c:pt>
                <c:pt idx="26">
                  <c:v>2.5750000000000002</c:v>
                </c:pt>
                <c:pt idx="27">
                  <c:v>2.5750000000000002</c:v>
                </c:pt>
                <c:pt idx="28">
                  <c:v>2.5750000000000002</c:v>
                </c:pt>
                <c:pt idx="29">
                  <c:v>2.5750000000000002</c:v>
                </c:pt>
                <c:pt idx="30">
                  <c:v>2.5750000000000002</c:v>
                </c:pt>
                <c:pt idx="31">
                  <c:v>2.5750000000000002</c:v>
                </c:pt>
                <c:pt idx="32">
                  <c:v>2.5750000000000002</c:v>
                </c:pt>
                <c:pt idx="33">
                  <c:v>2.5750000000000002</c:v>
                </c:pt>
                <c:pt idx="34">
                  <c:v>2.5750000000000002</c:v>
                </c:pt>
                <c:pt idx="35">
                  <c:v>2.5750000000000002</c:v>
                </c:pt>
                <c:pt idx="36">
                  <c:v>2.5750000000000002</c:v>
                </c:pt>
                <c:pt idx="37">
                  <c:v>2.5750000000000002</c:v>
                </c:pt>
                <c:pt idx="38">
                  <c:v>2.5750000000000002</c:v>
                </c:pt>
                <c:pt idx="39">
                  <c:v>2.5750000000000002</c:v>
                </c:pt>
                <c:pt idx="40">
                  <c:v>2.5750000000000002</c:v>
                </c:pt>
                <c:pt idx="41">
                  <c:v>2.5750000000000002</c:v>
                </c:pt>
                <c:pt idx="42">
                  <c:v>2.5750000000000002</c:v>
                </c:pt>
                <c:pt idx="43">
                  <c:v>2.5750000000000002</c:v>
                </c:pt>
                <c:pt idx="44">
                  <c:v>2.5750000000000002</c:v>
                </c:pt>
                <c:pt idx="45">
                  <c:v>2.5750000000000002</c:v>
                </c:pt>
                <c:pt idx="46">
                  <c:v>2.5750000000000002</c:v>
                </c:pt>
                <c:pt idx="47">
                  <c:v>2.5750000000000002</c:v>
                </c:pt>
                <c:pt idx="48">
                  <c:v>2.5750000000000002</c:v>
                </c:pt>
                <c:pt idx="49">
                  <c:v>2.5750000000000002</c:v>
                </c:pt>
                <c:pt idx="50">
                  <c:v>2.5750000000000002</c:v>
                </c:pt>
                <c:pt idx="51">
                  <c:v>2.5750000000000002</c:v>
                </c:pt>
                <c:pt idx="52">
                  <c:v>2.5750000000000002</c:v>
                </c:pt>
                <c:pt idx="53">
                  <c:v>2.5750000000000002</c:v>
                </c:pt>
                <c:pt idx="54">
                  <c:v>2.5750000000000002</c:v>
                </c:pt>
                <c:pt idx="55">
                  <c:v>2.5750000000000002</c:v>
                </c:pt>
                <c:pt idx="56">
                  <c:v>2.5750000000000002</c:v>
                </c:pt>
                <c:pt idx="57">
                  <c:v>2.5750000000000002</c:v>
                </c:pt>
                <c:pt idx="58">
                  <c:v>2.5750000000000002</c:v>
                </c:pt>
                <c:pt idx="59">
                  <c:v>2.5750000000000002</c:v>
                </c:pt>
                <c:pt idx="60">
                  <c:v>2.5750000000000002</c:v>
                </c:pt>
                <c:pt idx="61">
                  <c:v>2.5750000000000002</c:v>
                </c:pt>
                <c:pt idx="62">
                  <c:v>2.5750000000000002</c:v>
                </c:pt>
                <c:pt idx="63">
                  <c:v>2.5750000000000002</c:v>
                </c:pt>
                <c:pt idx="64">
                  <c:v>2.5750000000000002</c:v>
                </c:pt>
                <c:pt idx="65">
                  <c:v>2.5750000000000002</c:v>
                </c:pt>
                <c:pt idx="66">
                  <c:v>2.5750000000000002</c:v>
                </c:pt>
                <c:pt idx="67">
                  <c:v>2.5750000000000002</c:v>
                </c:pt>
                <c:pt idx="68">
                  <c:v>2.5750000000000002</c:v>
                </c:pt>
                <c:pt idx="69">
                  <c:v>2.5750000000000002</c:v>
                </c:pt>
                <c:pt idx="70">
                  <c:v>2.5750000000000002</c:v>
                </c:pt>
                <c:pt idx="71">
                  <c:v>2.5750000000000002</c:v>
                </c:pt>
                <c:pt idx="72">
                  <c:v>2.5750000000000002</c:v>
                </c:pt>
                <c:pt idx="73">
                  <c:v>2.5750000000000002</c:v>
                </c:pt>
                <c:pt idx="74">
                  <c:v>2.5750000000000002</c:v>
                </c:pt>
                <c:pt idx="75">
                  <c:v>2.5750000000000002</c:v>
                </c:pt>
                <c:pt idx="76">
                  <c:v>2.5750000000000002</c:v>
                </c:pt>
                <c:pt idx="77">
                  <c:v>2.5750000000000002</c:v>
                </c:pt>
                <c:pt idx="78">
                  <c:v>2.5750000000000002</c:v>
                </c:pt>
                <c:pt idx="79">
                  <c:v>2.5750000000000002</c:v>
                </c:pt>
                <c:pt idx="80">
                  <c:v>2.5750000000000002</c:v>
                </c:pt>
                <c:pt idx="81">
                  <c:v>2.5750000000000002</c:v>
                </c:pt>
                <c:pt idx="82">
                  <c:v>2.5750000000000002</c:v>
                </c:pt>
                <c:pt idx="83">
                  <c:v>2.5750000000000002</c:v>
                </c:pt>
                <c:pt idx="84">
                  <c:v>2.5750000000000002</c:v>
                </c:pt>
                <c:pt idx="85">
                  <c:v>2.4750000000000001</c:v>
                </c:pt>
                <c:pt idx="86">
                  <c:v>2.4750000000000001</c:v>
                </c:pt>
                <c:pt idx="87">
                  <c:v>2.4750000000000001</c:v>
                </c:pt>
                <c:pt idx="88">
                  <c:v>2.5750000000000002</c:v>
                </c:pt>
                <c:pt idx="89">
                  <c:v>2.5750000000000002</c:v>
                </c:pt>
                <c:pt idx="90">
                  <c:v>2.5750000000000002</c:v>
                </c:pt>
                <c:pt idx="91">
                  <c:v>2.5750000000000002</c:v>
                </c:pt>
                <c:pt idx="92">
                  <c:v>2.5750000000000002</c:v>
                </c:pt>
                <c:pt idx="93">
                  <c:v>2.5750000000000002</c:v>
                </c:pt>
                <c:pt idx="94">
                  <c:v>2.5750000000000002</c:v>
                </c:pt>
                <c:pt idx="95">
                  <c:v>2.5750000000000002</c:v>
                </c:pt>
                <c:pt idx="96">
                  <c:v>2.5750000000000002</c:v>
                </c:pt>
                <c:pt idx="97">
                  <c:v>2.5750000000000002</c:v>
                </c:pt>
                <c:pt idx="98">
                  <c:v>2.5750000000000002</c:v>
                </c:pt>
                <c:pt idx="99">
                  <c:v>2.5750000000000002</c:v>
                </c:pt>
                <c:pt idx="100">
                  <c:v>2.5750000000000002</c:v>
                </c:pt>
                <c:pt idx="101">
                  <c:v>2.5750000000000002</c:v>
                </c:pt>
                <c:pt idx="102">
                  <c:v>2.5750000000000002</c:v>
                </c:pt>
                <c:pt idx="103">
                  <c:v>2.5750000000000002</c:v>
                </c:pt>
                <c:pt idx="104">
                  <c:v>2.5750000000000002</c:v>
                </c:pt>
                <c:pt idx="105">
                  <c:v>2.5750000000000002</c:v>
                </c:pt>
                <c:pt idx="106">
                  <c:v>2.5750000000000002</c:v>
                </c:pt>
                <c:pt idx="107">
                  <c:v>2.5750000000000002</c:v>
                </c:pt>
                <c:pt idx="108">
                  <c:v>2.5750000000000002</c:v>
                </c:pt>
                <c:pt idx="109">
                  <c:v>2.5750000000000002</c:v>
                </c:pt>
                <c:pt idx="110">
                  <c:v>2.5750000000000002</c:v>
                </c:pt>
                <c:pt idx="111">
                  <c:v>2.5750000000000002</c:v>
                </c:pt>
                <c:pt idx="112">
                  <c:v>2.5750000000000002</c:v>
                </c:pt>
                <c:pt idx="113">
                  <c:v>2.5750000000000002</c:v>
                </c:pt>
                <c:pt idx="114">
                  <c:v>2.5750000000000002</c:v>
                </c:pt>
                <c:pt idx="115">
                  <c:v>2.5750000000000002</c:v>
                </c:pt>
                <c:pt idx="116">
                  <c:v>2.5750000000000002</c:v>
                </c:pt>
                <c:pt idx="117">
                  <c:v>2.5750000000000002</c:v>
                </c:pt>
                <c:pt idx="118">
                  <c:v>2.5750000000000002</c:v>
                </c:pt>
                <c:pt idx="119">
                  <c:v>2.5750000000000002</c:v>
                </c:pt>
                <c:pt idx="120">
                  <c:v>2.5750000000000002</c:v>
                </c:pt>
                <c:pt idx="121">
                  <c:v>2.5750000000000002</c:v>
                </c:pt>
                <c:pt idx="122">
                  <c:v>2.5750000000000002</c:v>
                </c:pt>
                <c:pt idx="123">
                  <c:v>2.5750000000000002</c:v>
                </c:pt>
                <c:pt idx="124">
                  <c:v>2.5750000000000002</c:v>
                </c:pt>
                <c:pt idx="125">
                  <c:v>2.5750000000000002</c:v>
                </c:pt>
                <c:pt idx="126">
                  <c:v>2.5750000000000002</c:v>
                </c:pt>
                <c:pt idx="127">
                  <c:v>2.5750000000000002</c:v>
                </c:pt>
                <c:pt idx="128">
                  <c:v>2.5750000000000002</c:v>
                </c:pt>
                <c:pt idx="129">
                  <c:v>2.5750000000000002</c:v>
                </c:pt>
                <c:pt idx="130">
                  <c:v>2.5750000000000002</c:v>
                </c:pt>
                <c:pt idx="131">
                  <c:v>2.5750000000000002</c:v>
                </c:pt>
                <c:pt idx="132">
                  <c:v>2.5750000000000002</c:v>
                </c:pt>
                <c:pt idx="133">
                  <c:v>2.5750000000000002</c:v>
                </c:pt>
                <c:pt idx="134">
                  <c:v>2.5750000000000002</c:v>
                </c:pt>
                <c:pt idx="135">
                  <c:v>2.5750000000000002</c:v>
                </c:pt>
                <c:pt idx="136">
                  <c:v>2.5750000000000002</c:v>
                </c:pt>
                <c:pt idx="137">
                  <c:v>2.5750000000000002</c:v>
                </c:pt>
                <c:pt idx="138">
                  <c:v>2.5750000000000002</c:v>
                </c:pt>
                <c:pt idx="139">
                  <c:v>2.5750000000000002</c:v>
                </c:pt>
                <c:pt idx="140">
                  <c:v>2.5750000000000002</c:v>
                </c:pt>
                <c:pt idx="141">
                  <c:v>2.5750000000000002</c:v>
                </c:pt>
                <c:pt idx="142">
                  <c:v>2.5750000000000002</c:v>
                </c:pt>
                <c:pt idx="143">
                  <c:v>2.5750000000000002</c:v>
                </c:pt>
                <c:pt idx="144">
                  <c:v>2.5750000000000002</c:v>
                </c:pt>
                <c:pt idx="145">
                  <c:v>2.5750000000000002</c:v>
                </c:pt>
                <c:pt idx="146">
                  <c:v>2.5750000000000002</c:v>
                </c:pt>
                <c:pt idx="147">
                  <c:v>2.5750000000000002</c:v>
                </c:pt>
                <c:pt idx="148">
                  <c:v>2.5750000000000002</c:v>
                </c:pt>
                <c:pt idx="149">
                  <c:v>2.5750000000000002</c:v>
                </c:pt>
                <c:pt idx="150">
                  <c:v>2.63</c:v>
                </c:pt>
                <c:pt idx="151">
                  <c:v>2.63</c:v>
                </c:pt>
                <c:pt idx="152">
                  <c:v>2.7</c:v>
                </c:pt>
                <c:pt idx="153">
                  <c:v>2.62</c:v>
                </c:pt>
                <c:pt idx="154">
                  <c:v>2.5249999999999999</c:v>
                </c:pt>
                <c:pt idx="155">
                  <c:v>2.5249999999999999</c:v>
                </c:pt>
                <c:pt idx="156">
                  <c:v>2.5249999999999999</c:v>
                </c:pt>
                <c:pt idx="157">
                  <c:v>2.5249999999999999</c:v>
                </c:pt>
                <c:pt idx="158">
                  <c:v>2.5249999999999999</c:v>
                </c:pt>
                <c:pt idx="159">
                  <c:v>2.5249999999999999</c:v>
                </c:pt>
                <c:pt idx="160">
                  <c:v>2.5249999999999999</c:v>
                </c:pt>
                <c:pt idx="161">
                  <c:v>2.5249999999999999</c:v>
                </c:pt>
                <c:pt idx="162">
                  <c:v>2.5249999999999999</c:v>
                </c:pt>
                <c:pt idx="163">
                  <c:v>2.5249999999999999</c:v>
                </c:pt>
                <c:pt idx="164">
                  <c:v>2.5249999999999999</c:v>
                </c:pt>
                <c:pt idx="165">
                  <c:v>2.5249999999999999</c:v>
                </c:pt>
                <c:pt idx="166">
                  <c:v>2.5249999999999999</c:v>
                </c:pt>
                <c:pt idx="167">
                  <c:v>2.5249999999999999</c:v>
                </c:pt>
                <c:pt idx="168">
                  <c:v>2.5249999999999999</c:v>
                </c:pt>
                <c:pt idx="169">
                  <c:v>2.5249999999999999</c:v>
                </c:pt>
                <c:pt idx="170">
                  <c:v>2.5249999999999999</c:v>
                </c:pt>
                <c:pt idx="171">
                  <c:v>2.5249999999999999</c:v>
                </c:pt>
                <c:pt idx="172">
                  <c:v>2.5249999999999999</c:v>
                </c:pt>
                <c:pt idx="173">
                  <c:v>2.5249999999999999</c:v>
                </c:pt>
                <c:pt idx="174">
                  <c:v>2.5249999999999999</c:v>
                </c:pt>
                <c:pt idx="175">
                  <c:v>2.5249999999999999</c:v>
                </c:pt>
                <c:pt idx="176">
                  <c:v>2.5249999999999999</c:v>
                </c:pt>
                <c:pt idx="177">
                  <c:v>2.63</c:v>
                </c:pt>
                <c:pt idx="178">
                  <c:v>2.63</c:v>
                </c:pt>
                <c:pt idx="179">
                  <c:v>2.63</c:v>
                </c:pt>
                <c:pt idx="180">
                  <c:v>2.63</c:v>
                </c:pt>
                <c:pt idx="181">
                  <c:v>2.63</c:v>
                </c:pt>
                <c:pt idx="182">
                  <c:v>2.63</c:v>
                </c:pt>
                <c:pt idx="183">
                  <c:v>2.63</c:v>
                </c:pt>
                <c:pt idx="184">
                  <c:v>2.63</c:v>
                </c:pt>
                <c:pt idx="185">
                  <c:v>2.63</c:v>
                </c:pt>
                <c:pt idx="186">
                  <c:v>2.63</c:v>
                </c:pt>
                <c:pt idx="187">
                  <c:v>2.63</c:v>
                </c:pt>
                <c:pt idx="188">
                  <c:v>2.63</c:v>
                </c:pt>
                <c:pt idx="189">
                  <c:v>2.63</c:v>
                </c:pt>
                <c:pt idx="190">
                  <c:v>2.63</c:v>
                </c:pt>
                <c:pt idx="191">
                  <c:v>2.63</c:v>
                </c:pt>
                <c:pt idx="192">
                  <c:v>2.63</c:v>
                </c:pt>
                <c:pt idx="193">
                  <c:v>2.63</c:v>
                </c:pt>
                <c:pt idx="194">
                  <c:v>2.63</c:v>
                </c:pt>
                <c:pt idx="195">
                  <c:v>2.63</c:v>
                </c:pt>
                <c:pt idx="196">
                  <c:v>2.63</c:v>
                </c:pt>
                <c:pt idx="197">
                  <c:v>2.63</c:v>
                </c:pt>
                <c:pt idx="198">
                  <c:v>2.63</c:v>
                </c:pt>
                <c:pt idx="199">
                  <c:v>2.63</c:v>
                </c:pt>
                <c:pt idx="200">
                  <c:v>2.63</c:v>
                </c:pt>
                <c:pt idx="201">
                  <c:v>2.63</c:v>
                </c:pt>
                <c:pt idx="202">
                  <c:v>2.63</c:v>
                </c:pt>
                <c:pt idx="203">
                  <c:v>2.63</c:v>
                </c:pt>
                <c:pt idx="204">
                  <c:v>2.63</c:v>
                </c:pt>
                <c:pt idx="205">
                  <c:v>2.63</c:v>
                </c:pt>
                <c:pt idx="206">
                  <c:v>2.625</c:v>
                </c:pt>
                <c:pt idx="207">
                  <c:v>2.6349999999999998</c:v>
                </c:pt>
                <c:pt idx="208">
                  <c:v>2.63</c:v>
                </c:pt>
                <c:pt idx="209">
                  <c:v>2.75</c:v>
                </c:pt>
                <c:pt idx="210">
                  <c:v>2.75</c:v>
                </c:pt>
                <c:pt idx="211">
                  <c:v>2.75</c:v>
                </c:pt>
                <c:pt idx="212">
                  <c:v>2.75</c:v>
                </c:pt>
                <c:pt idx="213">
                  <c:v>2.75</c:v>
                </c:pt>
                <c:pt idx="214">
                  <c:v>2.75</c:v>
                </c:pt>
                <c:pt idx="215">
                  <c:v>2.75</c:v>
                </c:pt>
                <c:pt idx="216">
                  <c:v>2.75</c:v>
                </c:pt>
                <c:pt idx="217">
                  <c:v>2.75</c:v>
                </c:pt>
                <c:pt idx="218">
                  <c:v>2.75</c:v>
                </c:pt>
                <c:pt idx="219">
                  <c:v>2.75</c:v>
                </c:pt>
                <c:pt idx="220">
                  <c:v>2.75</c:v>
                </c:pt>
                <c:pt idx="221">
                  <c:v>2.75</c:v>
                </c:pt>
                <c:pt idx="222">
                  <c:v>2.75</c:v>
                </c:pt>
                <c:pt idx="223">
                  <c:v>2.75</c:v>
                </c:pt>
                <c:pt idx="224">
                  <c:v>2.75</c:v>
                </c:pt>
                <c:pt idx="225">
                  <c:v>2.75</c:v>
                </c:pt>
                <c:pt idx="226">
                  <c:v>2.75</c:v>
                </c:pt>
                <c:pt idx="227">
                  <c:v>2.75</c:v>
                </c:pt>
                <c:pt idx="228">
                  <c:v>2.75</c:v>
                </c:pt>
                <c:pt idx="229">
                  <c:v>2.75</c:v>
                </c:pt>
                <c:pt idx="230">
                  <c:v>2.75</c:v>
                </c:pt>
                <c:pt idx="231">
                  <c:v>2.75</c:v>
                </c:pt>
                <c:pt idx="232">
                  <c:v>2.7349999999999999</c:v>
                </c:pt>
                <c:pt idx="233">
                  <c:v>2.8450000000000002</c:v>
                </c:pt>
                <c:pt idx="234">
                  <c:v>2.8450000000000002</c:v>
                </c:pt>
                <c:pt idx="235">
                  <c:v>2.8450000000000002</c:v>
                </c:pt>
                <c:pt idx="236">
                  <c:v>2.8450000000000002</c:v>
                </c:pt>
                <c:pt idx="237">
                  <c:v>2.8450000000000002</c:v>
                </c:pt>
                <c:pt idx="238">
                  <c:v>2.8450000000000002</c:v>
                </c:pt>
                <c:pt idx="239">
                  <c:v>2.8450000000000002</c:v>
                </c:pt>
                <c:pt idx="240">
                  <c:v>2.8450000000000002</c:v>
                </c:pt>
                <c:pt idx="241">
                  <c:v>2.8450000000000002</c:v>
                </c:pt>
                <c:pt idx="242">
                  <c:v>2.8450000000000002</c:v>
                </c:pt>
                <c:pt idx="243">
                  <c:v>2.8450000000000002</c:v>
                </c:pt>
                <c:pt idx="244">
                  <c:v>2.8450000000000002</c:v>
                </c:pt>
                <c:pt idx="245">
                  <c:v>2.8450000000000002</c:v>
                </c:pt>
                <c:pt idx="246">
                  <c:v>2.8450000000000002</c:v>
                </c:pt>
                <c:pt idx="247">
                  <c:v>2.8450000000000002</c:v>
                </c:pt>
                <c:pt idx="248">
                  <c:v>2.8450000000000002</c:v>
                </c:pt>
                <c:pt idx="249">
                  <c:v>2.8450000000000002</c:v>
                </c:pt>
                <c:pt idx="250">
                  <c:v>2.8450000000000002</c:v>
                </c:pt>
                <c:pt idx="251">
                  <c:v>2.8450000000000002</c:v>
                </c:pt>
                <c:pt idx="252">
                  <c:v>2.8450000000000002</c:v>
                </c:pt>
                <c:pt idx="253">
                  <c:v>2.8450000000000002</c:v>
                </c:pt>
                <c:pt idx="254">
                  <c:v>2.8450000000000002</c:v>
                </c:pt>
                <c:pt idx="255">
                  <c:v>2.8450000000000002</c:v>
                </c:pt>
                <c:pt idx="256">
                  <c:v>2.8450000000000002</c:v>
                </c:pt>
                <c:pt idx="257">
                  <c:v>2.85</c:v>
                </c:pt>
                <c:pt idx="258">
                  <c:v>2.85</c:v>
                </c:pt>
                <c:pt idx="259">
                  <c:v>2.7749999999999999</c:v>
                </c:pt>
                <c:pt idx="260">
                  <c:v>2.7749999999999999</c:v>
                </c:pt>
                <c:pt idx="261">
                  <c:v>2.7749999999999999</c:v>
                </c:pt>
                <c:pt idx="262">
                  <c:v>2.7749999999999999</c:v>
                </c:pt>
                <c:pt idx="263">
                  <c:v>2.7749999999999999</c:v>
                </c:pt>
                <c:pt idx="264">
                  <c:v>2.7749999999999999</c:v>
                </c:pt>
                <c:pt idx="265">
                  <c:v>2.89</c:v>
                </c:pt>
                <c:pt idx="266">
                  <c:v>2.89</c:v>
                </c:pt>
                <c:pt idx="267">
                  <c:v>2.89</c:v>
                </c:pt>
                <c:pt idx="268">
                  <c:v>2.89</c:v>
                </c:pt>
                <c:pt idx="269">
                  <c:v>2.89</c:v>
                </c:pt>
                <c:pt idx="270">
                  <c:v>2.89</c:v>
                </c:pt>
                <c:pt idx="271">
                  <c:v>2.7949999999999999</c:v>
                </c:pt>
                <c:pt idx="272">
                  <c:v>2.7949999999999999</c:v>
                </c:pt>
                <c:pt idx="273">
                  <c:v>2.7949999999999999</c:v>
                </c:pt>
                <c:pt idx="274">
                  <c:v>2.7949999999999999</c:v>
                </c:pt>
                <c:pt idx="275">
                  <c:v>2.7949999999999999</c:v>
                </c:pt>
                <c:pt idx="276">
                  <c:v>2.7949999999999999</c:v>
                </c:pt>
                <c:pt idx="277">
                  <c:v>2.7949999999999999</c:v>
                </c:pt>
                <c:pt idx="278">
                  <c:v>2.855</c:v>
                </c:pt>
                <c:pt idx="279">
                  <c:v>2.855</c:v>
                </c:pt>
                <c:pt idx="280">
                  <c:v>2.855</c:v>
                </c:pt>
                <c:pt idx="281">
                  <c:v>2.855</c:v>
                </c:pt>
                <c:pt idx="282">
                  <c:v>2.855</c:v>
                </c:pt>
                <c:pt idx="283">
                  <c:v>2.9</c:v>
                </c:pt>
                <c:pt idx="284">
                  <c:v>2.9</c:v>
                </c:pt>
                <c:pt idx="285">
                  <c:v>2.9</c:v>
                </c:pt>
                <c:pt idx="286">
                  <c:v>2.9</c:v>
                </c:pt>
                <c:pt idx="287">
                  <c:v>2.91</c:v>
                </c:pt>
                <c:pt idx="288">
                  <c:v>2.85</c:v>
                </c:pt>
                <c:pt idx="289">
                  <c:v>2.85</c:v>
                </c:pt>
                <c:pt idx="290">
                  <c:v>2.85</c:v>
                </c:pt>
                <c:pt idx="291">
                  <c:v>2.81</c:v>
                </c:pt>
                <c:pt idx="292">
                  <c:v>2.75</c:v>
                </c:pt>
                <c:pt idx="293">
                  <c:v>2.67</c:v>
                </c:pt>
                <c:pt idx="294">
                  <c:v>2.68</c:v>
                </c:pt>
                <c:pt idx="295">
                  <c:v>2.6</c:v>
                </c:pt>
                <c:pt idx="296">
                  <c:v>2.585</c:v>
                </c:pt>
                <c:pt idx="297">
                  <c:v>2.5950000000000002</c:v>
                </c:pt>
                <c:pt idx="298">
                  <c:v>2.5950000000000002</c:v>
                </c:pt>
                <c:pt idx="299">
                  <c:v>2.5950000000000002</c:v>
                </c:pt>
                <c:pt idx="300">
                  <c:v>2.59</c:v>
                </c:pt>
                <c:pt idx="301">
                  <c:v>2.59</c:v>
                </c:pt>
                <c:pt idx="302">
                  <c:v>2.59</c:v>
                </c:pt>
                <c:pt idx="303">
                  <c:v>2.59</c:v>
                </c:pt>
                <c:pt idx="304">
                  <c:v>2.59</c:v>
                </c:pt>
                <c:pt idx="305">
                  <c:v>2.5950000000000002</c:v>
                </c:pt>
                <c:pt idx="306">
                  <c:v>2.59</c:v>
                </c:pt>
                <c:pt idx="307">
                  <c:v>2.5950000000000002</c:v>
                </c:pt>
                <c:pt idx="308">
                  <c:v>2.5950000000000002</c:v>
                </c:pt>
                <c:pt idx="309">
                  <c:v>2.5950000000000002</c:v>
                </c:pt>
                <c:pt idx="310">
                  <c:v>2.59</c:v>
                </c:pt>
                <c:pt idx="311">
                  <c:v>2.5950000000000002</c:v>
                </c:pt>
                <c:pt idx="312">
                  <c:v>2.585</c:v>
                </c:pt>
                <c:pt idx="313">
                  <c:v>2.585</c:v>
                </c:pt>
                <c:pt idx="314">
                  <c:v>2.585</c:v>
                </c:pt>
                <c:pt idx="315">
                  <c:v>2.5750000000000002</c:v>
                </c:pt>
                <c:pt idx="316">
                  <c:v>2.58</c:v>
                </c:pt>
                <c:pt idx="317">
                  <c:v>2.58</c:v>
                </c:pt>
                <c:pt idx="318">
                  <c:v>2.585</c:v>
                </c:pt>
                <c:pt idx="319">
                  <c:v>2.585</c:v>
                </c:pt>
                <c:pt idx="320">
                  <c:v>2.585</c:v>
                </c:pt>
                <c:pt idx="321">
                  <c:v>2.585</c:v>
                </c:pt>
                <c:pt idx="322">
                  <c:v>2.58</c:v>
                </c:pt>
                <c:pt idx="323">
                  <c:v>2.585</c:v>
                </c:pt>
                <c:pt idx="324">
                  <c:v>2.58</c:v>
                </c:pt>
                <c:pt idx="325">
                  <c:v>2.58</c:v>
                </c:pt>
                <c:pt idx="326">
                  <c:v>2.585</c:v>
                </c:pt>
                <c:pt idx="327">
                  <c:v>2.585</c:v>
                </c:pt>
                <c:pt idx="328">
                  <c:v>2.59</c:v>
                </c:pt>
                <c:pt idx="329">
                  <c:v>2.585</c:v>
                </c:pt>
                <c:pt idx="330">
                  <c:v>2.585</c:v>
                </c:pt>
                <c:pt idx="331">
                  <c:v>2.58</c:v>
                </c:pt>
                <c:pt idx="332">
                  <c:v>2.59</c:v>
                </c:pt>
                <c:pt idx="333">
                  <c:v>2.5750000000000002</c:v>
                </c:pt>
                <c:pt idx="334">
                  <c:v>2.59</c:v>
                </c:pt>
                <c:pt idx="335">
                  <c:v>2.59</c:v>
                </c:pt>
                <c:pt idx="336">
                  <c:v>2.58</c:v>
                </c:pt>
                <c:pt idx="337">
                  <c:v>2.585</c:v>
                </c:pt>
                <c:pt idx="338">
                  <c:v>2.585</c:v>
                </c:pt>
                <c:pt idx="339">
                  <c:v>2.5750000000000002</c:v>
                </c:pt>
                <c:pt idx="340">
                  <c:v>2.585</c:v>
                </c:pt>
                <c:pt idx="341">
                  <c:v>2.59</c:v>
                </c:pt>
                <c:pt idx="342">
                  <c:v>2.5499999999999998</c:v>
                </c:pt>
                <c:pt idx="343">
                  <c:v>2.48</c:v>
                </c:pt>
                <c:pt idx="344">
                  <c:v>2.4849999999999999</c:v>
                </c:pt>
                <c:pt idx="345">
                  <c:v>2.5550000000000002</c:v>
                </c:pt>
                <c:pt idx="346">
                  <c:v>2.5550000000000002</c:v>
                </c:pt>
                <c:pt idx="347">
                  <c:v>2.5550000000000002</c:v>
                </c:pt>
                <c:pt idx="348">
                  <c:v>2.5299999999999998</c:v>
                </c:pt>
                <c:pt idx="349">
                  <c:v>2.5499999999999998</c:v>
                </c:pt>
                <c:pt idx="350">
                  <c:v>2.5550000000000002</c:v>
                </c:pt>
                <c:pt idx="351">
                  <c:v>2.5550000000000002</c:v>
                </c:pt>
                <c:pt idx="352">
                  <c:v>2.54</c:v>
                </c:pt>
                <c:pt idx="353">
                  <c:v>2.59</c:v>
                </c:pt>
                <c:pt idx="354">
                  <c:v>2.57</c:v>
                </c:pt>
                <c:pt idx="355">
                  <c:v>2.59</c:v>
                </c:pt>
                <c:pt idx="356">
                  <c:v>2.59</c:v>
                </c:pt>
                <c:pt idx="357">
                  <c:v>2.58</c:v>
                </c:pt>
                <c:pt idx="358">
                  <c:v>2.5750000000000002</c:v>
                </c:pt>
                <c:pt idx="359">
                  <c:v>2.59</c:v>
                </c:pt>
                <c:pt idx="360">
                  <c:v>2.5950000000000002</c:v>
                </c:pt>
                <c:pt idx="361">
                  <c:v>2.58</c:v>
                </c:pt>
                <c:pt idx="362">
                  <c:v>2.5</c:v>
                </c:pt>
                <c:pt idx="363">
                  <c:v>2.4900000000000002</c:v>
                </c:pt>
                <c:pt idx="364">
                  <c:v>2.4900000000000002</c:v>
                </c:pt>
                <c:pt idx="365">
                  <c:v>2.4449999999999998</c:v>
                </c:pt>
                <c:pt idx="366">
                  <c:v>2.41</c:v>
                </c:pt>
                <c:pt idx="367">
                  <c:v>2.38</c:v>
                </c:pt>
                <c:pt idx="368">
                  <c:v>2.2999999999999998</c:v>
                </c:pt>
                <c:pt idx="369">
                  <c:v>2.2549999999999999</c:v>
                </c:pt>
                <c:pt idx="370">
                  <c:v>2.15</c:v>
                </c:pt>
                <c:pt idx="371">
                  <c:v>2.1</c:v>
                </c:pt>
                <c:pt idx="372">
                  <c:v>2.0449999999999999</c:v>
                </c:pt>
                <c:pt idx="373">
                  <c:v>2.0249999999999999</c:v>
                </c:pt>
                <c:pt idx="374">
                  <c:v>2.06</c:v>
                </c:pt>
                <c:pt idx="375">
                  <c:v>2.0750000000000002</c:v>
                </c:pt>
                <c:pt idx="376">
                  <c:v>2.0750000000000002</c:v>
                </c:pt>
                <c:pt idx="377">
                  <c:v>2.0750000000000002</c:v>
                </c:pt>
                <c:pt idx="378">
                  <c:v>2.09</c:v>
                </c:pt>
                <c:pt idx="379">
                  <c:v>2.12</c:v>
                </c:pt>
                <c:pt idx="380">
                  <c:v>2.17</c:v>
                </c:pt>
                <c:pt idx="381">
                  <c:v>2.17</c:v>
                </c:pt>
                <c:pt idx="382">
                  <c:v>2.1549999999999998</c:v>
                </c:pt>
                <c:pt idx="383">
                  <c:v>2.1549999999999998</c:v>
                </c:pt>
                <c:pt idx="384">
                  <c:v>2.1549999999999998</c:v>
                </c:pt>
                <c:pt idx="385">
                  <c:v>2.1549999999999998</c:v>
                </c:pt>
                <c:pt idx="386">
                  <c:v>2.1549999999999998</c:v>
                </c:pt>
                <c:pt idx="387">
                  <c:v>2.1850000000000001</c:v>
                </c:pt>
                <c:pt idx="388">
                  <c:v>2.1850000000000001</c:v>
                </c:pt>
                <c:pt idx="389">
                  <c:v>2.1850000000000001</c:v>
                </c:pt>
                <c:pt idx="390">
                  <c:v>2.1850000000000001</c:v>
                </c:pt>
                <c:pt idx="391">
                  <c:v>2.1850000000000001</c:v>
                </c:pt>
                <c:pt idx="392">
                  <c:v>2.1850000000000001</c:v>
                </c:pt>
                <c:pt idx="393">
                  <c:v>2.1850000000000001</c:v>
                </c:pt>
                <c:pt idx="394">
                  <c:v>2.1850000000000001</c:v>
                </c:pt>
                <c:pt idx="395">
                  <c:v>2.1949999999999998</c:v>
                </c:pt>
                <c:pt idx="396">
                  <c:v>2.1949999999999998</c:v>
                </c:pt>
                <c:pt idx="397">
                  <c:v>2.1949999999999998</c:v>
                </c:pt>
                <c:pt idx="398">
                  <c:v>2.1949999999999998</c:v>
                </c:pt>
                <c:pt idx="399">
                  <c:v>2.1949999999999998</c:v>
                </c:pt>
                <c:pt idx="400">
                  <c:v>2.1949999999999998</c:v>
                </c:pt>
                <c:pt idx="401">
                  <c:v>2.2000000000000002</c:v>
                </c:pt>
                <c:pt idx="402">
                  <c:v>2.2000000000000002</c:v>
                </c:pt>
                <c:pt idx="403">
                  <c:v>2.2000000000000002</c:v>
                </c:pt>
                <c:pt idx="404">
                  <c:v>2.2000000000000002</c:v>
                </c:pt>
                <c:pt idx="405">
                  <c:v>2.2000000000000002</c:v>
                </c:pt>
                <c:pt idx="406">
                  <c:v>2.17</c:v>
                </c:pt>
                <c:pt idx="407">
                  <c:v>2.17</c:v>
                </c:pt>
                <c:pt idx="408">
                  <c:v>2.2000000000000002</c:v>
                </c:pt>
                <c:pt idx="409">
                  <c:v>2.19</c:v>
                </c:pt>
                <c:pt idx="410">
                  <c:v>2.19</c:v>
                </c:pt>
                <c:pt idx="411">
                  <c:v>2.19</c:v>
                </c:pt>
                <c:pt idx="412">
                  <c:v>2.19</c:v>
                </c:pt>
                <c:pt idx="413">
                  <c:v>2.19</c:v>
                </c:pt>
                <c:pt idx="414">
                  <c:v>2.19</c:v>
                </c:pt>
                <c:pt idx="415">
                  <c:v>2.19</c:v>
                </c:pt>
                <c:pt idx="416">
                  <c:v>2.19</c:v>
                </c:pt>
                <c:pt idx="417">
                  <c:v>2.19</c:v>
                </c:pt>
                <c:pt idx="418">
                  <c:v>2.2400000000000002</c:v>
                </c:pt>
                <c:pt idx="419">
                  <c:v>2.2400000000000002</c:v>
                </c:pt>
                <c:pt idx="420">
                  <c:v>2.2400000000000002</c:v>
                </c:pt>
                <c:pt idx="421">
                  <c:v>2.2400000000000002</c:v>
                </c:pt>
                <c:pt idx="422">
                  <c:v>2.2400000000000002</c:v>
                </c:pt>
                <c:pt idx="423">
                  <c:v>2.2149999999999999</c:v>
                </c:pt>
                <c:pt idx="424">
                  <c:v>2.2149999999999999</c:v>
                </c:pt>
                <c:pt idx="425">
                  <c:v>2.2149999999999999</c:v>
                </c:pt>
                <c:pt idx="426">
                  <c:v>2.2149999999999999</c:v>
                </c:pt>
                <c:pt idx="427">
                  <c:v>2.2450000000000001</c:v>
                </c:pt>
                <c:pt idx="428">
                  <c:v>2.2450000000000001</c:v>
                </c:pt>
                <c:pt idx="429">
                  <c:v>2.2450000000000001</c:v>
                </c:pt>
                <c:pt idx="430">
                  <c:v>2.2450000000000001</c:v>
                </c:pt>
                <c:pt idx="431">
                  <c:v>2.2349999999999999</c:v>
                </c:pt>
                <c:pt idx="432">
                  <c:v>2.2349999999999999</c:v>
                </c:pt>
                <c:pt idx="433">
                  <c:v>2.25</c:v>
                </c:pt>
                <c:pt idx="434">
                  <c:v>2.25</c:v>
                </c:pt>
                <c:pt idx="435">
                  <c:v>2.2749999999999999</c:v>
                </c:pt>
                <c:pt idx="436">
                  <c:v>2.2749999999999999</c:v>
                </c:pt>
                <c:pt idx="437">
                  <c:v>2.2450000000000001</c:v>
                </c:pt>
                <c:pt idx="438">
                  <c:v>2.2450000000000001</c:v>
                </c:pt>
                <c:pt idx="439">
                  <c:v>2.2450000000000001</c:v>
                </c:pt>
                <c:pt idx="440">
                  <c:v>2.25</c:v>
                </c:pt>
                <c:pt idx="441">
                  <c:v>2.25</c:v>
                </c:pt>
                <c:pt idx="442">
                  <c:v>2.25</c:v>
                </c:pt>
                <c:pt idx="443">
                  <c:v>2.27</c:v>
                </c:pt>
                <c:pt idx="444">
                  <c:v>2.2200000000000002</c:v>
                </c:pt>
                <c:pt idx="445">
                  <c:v>2.2799999999999998</c:v>
                </c:pt>
                <c:pt idx="446">
                  <c:v>2.2799999999999998</c:v>
                </c:pt>
                <c:pt idx="447">
                  <c:v>2.2650000000000001</c:v>
                </c:pt>
                <c:pt idx="448">
                  <c:v>2.2650000000000001</c:v>
                </c:pt>
                <c:pt idx="449">
                  <c:v>2.2949999999999999</c:v>
                </c:pt>
                <c:pt idx="450">
                  <c:v>2.335</c:v>
                </c:pt>
                <c:pt idx="451">
                  <c:v>2.335</c:v>
                </c:pt>
                <c:pt idx="452">
                  <c:v>2.335</c:v>
                </c:pt>
                <c:pt idx="453">
                  <c:v>2.31</c:v>
                </c:pt>
                <c:pt idx="454">
                  <c:v>2.23</c:v>
                </c:pt>
                <c:pt idx="455">
                  <c:v>2.27</c:v>
                </c:pt>
                <c:pt idx="456">
                  <c:v>2.2749999999999999</c:v>
                </c:pt>
                <c:pt idx="457">
                  <c:v>2.29</c:v>
                </c:pt>
                <c:pt idx="458">
                  <c:v>2.29</c:v>
                </c:pt>
                <c:pt idx="459">
                  <c:v>2.29</c:v>
                </c:pt>
                <c:pt idx="460">
                  <c:v>2.2250000000000001</c:v>
                </c:pt>
                <c:pt idx="461">
                  <c:v>2.2949999999999999</c:v>
                </c:pt>
                <c:pt idx="462">
                  <c:v>2.2999999999999998</c:v>
                </c:pt>
                <c:pt idx="463">
                  <c:v>2.2999999999999998</c:v>
                </c:pt>
                <c:pt idx="464">
                  <c:v>2.34</c:v>
                </c:pt>
                <c:pt idx="465">
                  <c:v>2.34</c:v>
                </c:pt>
                <c:pt idx="466">
                  <c:v>2.3199999999999998</c:v>
                </c:pt>
                <c:pt idx="467">
                  <c:v>2.2850000000000001</c:v>
                </c:pt>
                <c:pt idx="468">
                  <c:v>2.2850000000000001</c:v>
                </c:pt>
                <c:pt idx="469">
                  <c:v>2.2850000000000001</c:v>
                </c:pt>
                <c:pt idx="470">
                  <c:v>2.31</c:v>
                </c:pt>
                <c:pt idx="471">
                  <c:v>2.31</c:v>
                </c:pt>
                <c:pt idx="472">
                  <c:v>2.31</c:v>
                </c:pt>
                <c:pt idx="473">
                  <c:v>2.31</c:v>
                </c:pt>
                <c:pt idx="474">
                  <c:v>2.31</c:v>
                </c:pt>
                <c:pt idx="475">
                  <c:v>2.31</c:v>
                </c:pt>
                <c:pt idx="476">
                  <c:v>2.31</c:v>
                </c:pt>
                <c:pt idx="477">
                  <c:v>2.37</c:v>
                </c:pt>
                <c:pt idx="478">
                  <c:v>2.37</c:v>
                </c:pt>
                <c:pt idx="479">
                  <c:v>2.37</c:v>
                </c:pt>
                <c:pt idx="480">
                  <c:v>2.335</c:v>
                </c:pt>
                <c:pt idx="481">
                  <c:v>2.34</c:v>
                </c:pt>
                <c:pt idx="482">
                  <c:v>2.335</c:v>
                </c:pt>
                <c:pt idx="483">
                  <c:v>2.375</c:v>
                </c:pt>
                <c:pt idx="484">
                  <c:v>2.375</c:v>
                </c:pt>
                <c:pt idx="485">
                  <c:v>2.375</c:v>
                </c:pt>
                <c:pt idx="486">
                  <c:v>2.375</c:v>
                </c:pt>
                <c:pt idx="487">
                  <c:v>2.375</c:v>
                </c:pt>
                <c:pt idx="488">
                  <c:v>2.2599999999999998</c:v>
                </c:pt>
                <c:pt idx="489">
                  <c:v>2.2599999999999998</c:v>
                </c:pt>
                <c:pt idx="490">
                  <c:v>2.21</c:v>
                </c:pt>
                <c:pt idx="491">
                  <c:v>2.2949999999999999</c:v>
                </c:pt>
                <c:pt idx="492">
                  <c:v>2.39</c:v>
                </c:pt>
                <c:pt idx="493">
                  <c:v>2.3450000000000002</c:v>
                </c:pt>
                <c:pt idx="494">
                  <c:v>2.2799999999999998</c:v>
                </c:pt>
                <c:pt idx="495">
                  <c:v>2.2799999999999998</c:v>
                </c:pt>
                <c:pt idx="496">
                  <c:v>2.23</c:v>
                </c:pt>
                <c:pt idx="497">
                  <c:v>2.2549999999999999</c:v>
                </c:pt>
                <c:pt idx="498">
                  <c:v>2.1749999999999998</c:v>
                </c:pt>
                <c:pt idx="499">
                  <c:v>2.1</c:v>
                </c:pt>
                <c:pt idx="500">
                  <c:v>2.08</c:v>
                </c:pt>
                <c:pt idx="501">
                  <c:v>2.13</c:v>
                </c:pt>
                <c:pt idx="502">
                  <c:v>2.2000000000000002</c:v>
                </c:pt>
                <c:pt idx="503">
                  <c:v>2.2650000000000001</c:v>
                </c:pt>
                <c:pt idx="504">
                  <c:v>2.2999999999999998</c:v>
                </c:pt>
                <c:pt idx="505">
                  <c:v>2.2999999999999998</c:v>
                </c:pt>
                <c:pt idx="506">
                  <c:v>2.2799999999999998</c:v>
                </c:pt>
                <c:pt idx="507">
                  <c:v>2.2999999999999998</c:v>
                </c:pt>
                <c:pt idx="508">
                  <c:v>2.3199999999999998</c:v>
                </c:pt>
                <c:pt idx="509">
                  <c:v>2.35</c:v>
                </c:pt>
                <c:pt idx="510">
                  <c:v>2.35</c:v>
                </c:pt>
                <c:pt idx="511">
                  <c:v>2.35</c:v>
                </c:pt>
                <c:pt idx="512">
                  <c:v>2.35</c:v>
                </c:pt>
                <c:pt idx="513">
                  <c:v>2.36</c:v>
                </c:pt>
                <c:pt idx="514">
                  <c:v>2.395</c:v>
                </c:pt>
                <c:pt idx="515">
                  <c:v>2.38</c:v>
                </c:pt>
                <c:pt idx="516">
                  <c:v>2.35</c:v>
                </c:pt>
                <c:pt idx="517">
                  <c:v>2.38</c:v>
                </c:pt>
                <c:pt idx="518">
                  <c:v>2.2999999999999998</c:v>
                </c:pt>
                <c:pt idx="519">
                  <c:v>2.35</c:v>
                </c:pt>
                <c:pt idx="520">
                  <c:v>2.35</c:v>
                </c:pt>
                <c:pt idx="521">
                  <c:v>2.46</c:v>
                </c:pt>
                <c:pt idx="522">
                  <c:v>2.46</c:v>
                </c:pt>
                <c:pt idx="523">
                  <c:v>2.46</c:v>
                </c:pt>
                <c:pt idx="524">
                  <c:v>2.44</c:v>
                </c:pt>
                <c:pt idx="525">
                  <c:v>2.4449999999999998</c:v>
                </c:pt>
                <c:pt idx="526">
                  <c:v>2.4449999999999998</c:v>
                </c:pt>
                <c:pt idx="527">
                  <c:v>2.4449999999999998</c:v>
                </c:pt>
                <c:pt idx="528">
                  <c:v>2.46</c:v>
                </c:pt>
                <c:pt idx="529">
                  <c:v>2.4</c:v>
                </c:pt>
                <c:pt idx="530">
                  <c:v>2.4</c:v>
                </c:pt>
                <c:pt idx="531">
                  <c:v>2.4249999999999998</c:v>
                </c:pt>
                <c:pt idx="532">
                  <c:v>2.5099999999999998</c:v>
                </c:pt>
                <c:pt idx="533">
                  <c:v>2.4750000000000001</c:v>
                </c:pt>
                <c:pt idx="534">
                  <c:v>2.42</c:v>
                </c:pt>
                <c:pt idx="535">
                  <c:v>2.4049999999999998</c:v>
                </c:pt>
                <c:pt idx="536">
                  <c:v>2.4300000000000002</c:v>
                </c:pt>
                <c:pt idx="537">
                  <c:v>2.44</c:v>
                </c:pt>
                <c:pt idx="538">
                  <c:v>2.4950000000000001</c:v>
                </c:pt>
                <c:pt idx="539">
                  <c:v>2.4950000000000001</c:v>
                </c:pt>
                <c:pt idx="540">
                  <c:v>2.4649999999999999</c:v>
                </c:pt>
                <c:pt idx="541">
                  <c:v>2.4750000000000001</c:v>
                </c:pt>
                <c:pt idx="542">
                  <c:v>2.5350000000000001</c:v>
                </c:pt>
                <c:pt idx="543">
                  <c:v>2.63</c:v>
                </c:pt>
                <c:pt idx="544">
                  <c:v>2.61</c:v>
                </c:pt>
                <c:pt idx="545">
                  <c:v>2.62</c:v>
                </c:pt>
                <c:pt idx="546">
                  <c:v>2.62</c:v>
                </c:pt>
                <c:pt idx="547">
                  <c:v>2.665</c:v>
                </c:pt>
                <c:pt idx="548">
                  <c:v>2.645</c:v>
                </c:pt>
                <c:pt idx="549">
                  <c:v>2.645</c:v>
                </c:pt>
                <c:pt idx="550">
                  <c:v>2.62</c:v>
                </c:pt>
                <c:pt idx="551">
                  <c:v>2.62</c:v>
                </c:pt>
                <c:pt idx="552">
                  <c:v>2.6150000000000002</c:v>
                </c:pt>
                <c:pt idx="553">
                  <c:v>2.63</c:v>
                </c:pt>
                <c:pt idx="554">
                  <c:v>2.605</c:v>
                </c:pt>
                <c:pt idx="555">
                  <c:v>2.54</c:v>
                </c:pt>
                <c:pt idx="556">
                  <c:v>2.64</c:v>
                </c:pt>
                <c:pt idx="557">
                  <c:v>2.665</c:v>
                </c:pt>
                <c:pt idx="558">
                  <c:v>2.5950000000000002</c:v>
                </c:pt>
                <c:pt idx="559">
                  <c:v>2.6</c:v>
                </c:pt>
                <c:pt idx="560">
                  <c:v>2.63</c:v>
                </c:pt>
                <c:pt idx="561">
                  <c:v>2.63</c:v>
                </c:pt>
                <c:pt idx="562">
                  <c:v>2.63</c:v>
                </c:pt>
                <c:pt idx="563">
                  <c:v>2.6</c:v>
                </c:pt>
                <c:pt idx="564">
                  <c:v>2.64</c:v>
                </c:pt>
                <c:pt idx="565">
                  <c:v>2.6</c:v>
                </c:pt>
                <c:pt idx="566">
                  <c:v>2.6</c:v>
                </c:pt>
                <c:pt idx="567">
                  <c:v>2.6</c:v>
                </c:pt>
                <c:pt idx="568">
                  <c:v>2.6949999999999998</c:v>
                </c:pt>
                <c:pt idx="569">
                  <c:v>2.6949999999999998</c:v>
                </c:pt>
                <c:pt idx="570">
                  <c:v>2.6749999999999998</c:v>
                </c:pt>
                <c:pt idx="571">
                  <c:v>2.6749999999999998</c:v>
                </c:pt>
                <c:pt idx="572">
                  <c:v>2.65</c:v>
                </c:pt>
                <c:pt idx="573">
                  <c:v>2.65</c:v>
                </c:pt>
                <c:pt idx="574">
                  <c:v>2.6</c:v>
                </c:pt>
                <c:pt idx="575">
                  <c:v>2.5950000000000002</c:v>
                </c:pt>
                <c:pt idx="576">
                  <c:v>2.35</c:v>
                </c:pt>
                <c:pt idx="577">
                  <c:v>2.36</c:v>
                </c:pt>
                <c:pt idx="578">
                  <c:v>2.4350000000000001</c:v>
                </c:pt>
                <c:pt idx="579">
                  <c:v>2.54</c:v>
                </c:pt>
                <c:pt idx="580">
                  <c:v>2.5950000000000002</c:v>
                </c:pt>
                <c:pt idx="581">
                  <c:v>2.65</c:v>
                </c:pt>
                <c:pt idx="582">
                  <c:v>2.65</c:v>
                </c:pt>
                <c:pt idx="583">
                  <c:v>2.665</c:v>
                </c:pt>
                <c:pt idx="584">
                  <c:v>2.64</c:v>
                </c:pt>
                <c:pt idx="585">
                  <c:v>2.65</c:v>
                </c:pt>
                <c:pt idx="586">
                  <c:v>2.5950000000000002</c:v>
                </c:pt>
                <c:pt idx="587">
                  <c:v>2.6949999999999998</c:v>
                </c:pt>
                <c:pt idx="588">
                  <c:v>2.6150000000000002</c:v>
                </c:pt>
                <c:pt idx="589">
                  <c:v>2.7149999999999999</c:v>
                </c:pt>
                <c:pt idx="590">
                  <c:v>2.7149999999999999</c:v>
                </c:pt>
                <c:pt idx="591">
                  <c:v>2.76</c:v>
                </c:pt>
                <c:pt idx="592">
                  <c:v>2.71</c:v>
                </c:pt>
                <c:pt idx="593">
                  <c:v>2.7</c:v>
                </c:pt>
                <c:pt idx="594">
                  <c:v>2.6850000000000001</c:v>
                </c:pt>
                <c:pt idx="595">
                  <c:v>2.6749999999999998</c:v>
                </c:pt>
                <c:pt idx="596">
                  <c:v>2.6549999999999998</c:v>
                </c:pt>
                <c:pt idx="597">
                  <c:v>2.5950000000000002</c:v>
                </c:pt>
                <c:pt idx="598">
                  <c:v>2.6150000000000002</c:v>
                </c:pt>
                <c:pt idx="599">
                  <c:v>2.66</c:v>
                </c:pt>
                <c:pt idx="600">
                  <c:v>2.6349999999999998</c:v>
                </c:pt>
                <c:pt idx="601">
                  <c:v>2.6749999999999998</c:v>
                </c:pt>
                <c:pt idx="602">
                  <c:v>2.7450000000000001</c:v>
                </c:pt>
                <c:pt idx="603">
                  <c:v>2.77</c:v>
                </c:pt>
                <c:pt idx="604">
                  <c:v>2.7349999999999999</c:v>
                </c:pt>
                <c:pt idx="605">
                  <c:v>2.6850000000000001</c:v>
                </c:pt>
                <c:pt idx="606">
                  <c:v>2.6850000000000001</c:v>
                </c:pt>
                <c:pt idx="607">
                  <c:v>2.6549999999999998</c:v>
                </c:pt>
                <c:pt idx="608">
                  <c:v>2.69</c:v>
                </c:pt>
                <c:pt idx="609">
                  <c:v>2.67</c:v>
                </c:pt>
                <c:pt idx="610">
                  <c:v>2.64</c:v>
                </c:pt>
                <c:pt idx="611">
                  <c:v>2.6349999999999998</c:v>
                </c:pt>
                <c:pt idx="612">
                  <c:v>2.645</c:v>
                </c:pt>
                <c:pt idx="613">
                  <c:v>2.665</c:v>
                </c:pt>
                <c:pt idx="614">
                  <c:v>2.6749999999999998</c:v>
                </c:pt>
                <c:pt idx="615">
                  <c:v>2.66</c:v>
                </c:pt>
                <c:pt idx="616">
                  <c:v>2.6749999999999998</c:v>
                </c:pt>
                <c:pt idx="617">
                  <c:v>2.6850000000000001</c:v>
                </c:pt>
                <c:pt idx="618">
                  <c:v>2.7149999999999999</c:v>
                </c:pt>
                <c:pt idx="619">
                  <c:v>2.72</c:v>
                </c:pt>
                <c:pt idx="620">
                  <c:v>2.6749999999999998</c:v>
                </c:pt>
                <c:pt idx="621">
                  <c:v>2.7250000000000001</c:v>
                </c:pt>
                <c:pt idx="622">
                  <c:v>2.68</c:v>
                </c:pt>
                <c:pt idx="623">
                  <c:v>2.6949999999999998</c:v>
                </c:pt>
                <c:pt idx="624">
                  <c:v>2.7050000000000001</c:v>
                </c:pt>
                <c:pt idx="625">
                  <c:v>2.63</c:v>
                </c:pt>
                <c:pt idx="626">
                  <c:v>2.59</c:v>
                </c:pt>
                <c:pt idx="627">
                  <c:v>2.585</c:v>
                </c:pt>
                <c:pt idx="628">
                  <c:v>2.59</c:v>
                </c:pt>
                <c:pt idx="629">
                  <c:v>2.54</c:v>
                </c:pt>
                <c:pt idx="630">
                  <c:v>2.56</c:v>
                </c:pt>
                <c:pt idx="631">
                  <c:v>2.57</c:v>
                </c:pt>
                <c:pt idx="632">
                  <c:v>2.58</c:v>
                </c:pt>
                <c:pt idx="633">
                  <c:v>2.5649999999999999</c:v>
                </c:pt>
                <c:pt idx="634">
                  <c:v>2.5750000000000002</c:v>
                </c:pt>
                <c:pt idx="635">
                  <c:v>2.5750000000000002</c:v>
                </c:pt>
                <c:pt idx="636">
                  <c:v>2.59</c:v>
                </c:pt>
                <c:pt idx="637">
                  <c:v>2.6</c:v>
                </c:pt>
                <c:pt idx="638">
                  <c:v>2.605</c:v>
                </c:pt>
                <c:pt idx="639">
                  <c:v>2.63</c:v>
                </c:pt>
                <c:pt idx="640">
                  <c:v>2.63</c:v>
                </c:pt>
                <c:pt idx="641">
                  <c:v>2.64</c:v>
                </c:pt>
                <c:pt idx="642">
                  <c:v>2.64</c:v>
                </c:pt>
                <c:pt idx="643">
                  <c:v>2.67</c:v>
                </c:pt>
                <c:pt idx="644">
                  <c:v>2.6749999999999998</c:v>
                </c:pt>
                <c:pt idx="645">
                  <c:v>2.6949999999999998</c:v>
                </c:pt>
                <c:pt idx="646">
                  <c:v>2.62</c:v>
                </c:pt>
                <c:pt idx="647">
                  <c:v>2.5499999999999998</c:v>
                </c:pt>
                <c:pt idx="648">
                  <c:v>2.4950000000000001</c:v>
                </c:pt>
                <c:pt idx="649">
                  <c:v>2.4</c:v>
                </c:pt>
                <c:pt idx="650">
                  <c:v>2.3149999999999999</c:v>
                </c:pt>
                <c:pt idx="651">
                  <c:v>2.2400000000000002</c:v>
                </c:pt>
                <c:pt idx="652">
                  <c:v>2.17</c:v>
                </c:pt>
                <c:pt idx="653">
                  <c:v>2.13</c:v>
                </c:pt>
                <c:pt idx="654">
                  <c:v>2.15</c:v>
                </c:pt>
                <c:pt idx="655">
                  <c:v>2.16</c:v>
                </c:pt>
                <c:pt idx="656">
                  <c:v>2.17</c:v>
                </c:pt>
                <c:pt idx="657">
                  <c:v>2.2599999999999998</c:v>
                </c:pt>
                <c:pt idx="658">
                  <c:v>2.2749999999999999</c:v>
                </c:pt>
                <c:pt idx="659">
                  <c:v>2.1949999999999998</c:v>
                </c:pt>
                <c:pt idx="660">
                  <c:v>2.1949999999999998</c:v>
                </c:pt>
                <c:pt idx="661">
                  <c:v>2.2000000000000002</c:v>
                </c:pt>
                <c:pt idx="662">
                  <c:v>2.1949999999999998</c:v>
                </c:pt>
                <c:pt idx="663">
                  <c:v>2.2850000000000001</c:v>
                </c:pt>
                <c:pt idx="664">
                  <c:v>2.2999999999999998</c:v>
                </c:pt>
                <c:pt idx="665">
                  <c:v>2.33</c:v>
                </c:pt>
                <c:pt idx="666">
                  <c:v>2.335</c:v>
                </c:pt>
                <c:pt idx="667">
                  <c:v>2.34</c:v>
                </c:pt>
                <c:pt idx="668">
                  <c:v>2.34</c:v>
                </c:pt>
                <c:pt idx="669">
                  <c:v>2.3650000000000002</c:v>
                </c:pt>
                <c:pt idx="670">
                  <c:v>2.46</c:v>
                </c:pt>
                <c:pt idx="671">
                  <c:v>2.4849999999999999</c:v>
                </c:pt>
                <c:pt idx="672">
                  <c:v>2.5299999999999998</c:v>
                </c:pt>
                <c:pt idx="673">
                  <c:v>2.5049999999999999</c:v>
                </c:pt>
                <c:pt idx="674">
                  <c:v>2.5150000000000001</c:v>
                </c:pt>
                <c:pt idx="675">
                  <c:v>2.5299999999999998</c:v>
                </c:pt>
                <c:pt idx="676">
                  <c:v>2.54</c:v>
                </c:pt>
                <c:pt idx="677">
                  <c:v>2.4849999999999999</c:v>
                </c:pt>
                <c:pt idx="678">
                  <c:v>2.4</c:v>
                </c:pt>
                <c:pt idx="679">
                  <c:v>2.41</c:v>
                </c:pt>
                <c:pt idx="680">
                  <c:v>2.4</c:v>
                </c:pt>
                <c:pt idx="681">
                  <c:v>2.41</c:v>
                </c:pt>
                <c:pt idx="682">
                  <c:v>2.41</c:v>
                </c:pt>
                <c:pt idx="683">
                  <c:v>2.37</c:v>
                </c:pt>
                <c:pt idx="684">
                  <c:v>2.42</c:v>
                </c:pt>
                <c:pt idx="685">
                  <c:v>2.46</c:v>
                </c:pt>
                <c:pt idx="686">
                  <c:v>2.4750000000000001</c:v>
                </c:pt>
                <c:pt idx="687">
                  <c:v>2.48</c:v>
                </c:pt>
                <c:pt idx="688">
                  <c:v>2.48</c:v>
                </c:pt>
                <c:pt idx="689">
                  <c:v>2.5</c:v>
                </c:pt>
                <c:pt idx="690">
                  <c:v>2.5499999999999998</c:v>
                </c:pt>
                <c:pt idx="691">
                  <c:v>2.5499999999999998</c:v>
                </c:pt>
                <c:pt idx="692">
                  <c:v>2.5499999999999998</c:v>
                </c:pt>
                <c:pt idx="693">
                  <c:v>2.5499999999999998</c:v>
                </c:pt>
                <c:pt idx="694">
                  <c:v>2.5499999999999998</c:v>
                </c:pt>
                <c:pt idx="695">
                  <c:v>2.57</c:v>
                </c:pt>
                <c:pt idx="696">
                  <c:v>2.4950000000000001</c:v>
                </c:pt>
                <c:pt idx="697">
                  <c:v>2.5049999999999999</c:v>
                </c:pt>
                <c:pt idx="698">
                  <c:v>2.5049999999999999</c:v>
                </c:pt>
                <c:pt idx="699">
                  <c:v>2.5249999999999999</c:v>
                </c:pt>
                <c:pt idx="700">
                  <c:v>2.5299999999999998</c:v>
                </c:pt>
                <c:pt idx="701">
                  <c:v>2.5299999999999998</c:v>
                </c:pt>
                <c:pt idx="702">
                  <c:v>2.54</c:v>
                </c:pt>
                <c:pt idx="703">
                  <c:v>2.5299999999999998</c:v>
                </c:pt>
                <c:pt idx="704">
                  <c:v>2.5499999999999998</c:v>
                </c:pt>
                <c:pt idx="705">
                  <c:v>2.54</c:v>
                </c:pt>
                <c:pt idx="706">
                  <c:v>2.6</c:v>
                </c:pt>
                <c:pt idx="707">
                  <c:v>2.585</c:v>
                </c:pt>
                <c:pt idx="708">
                  <c:v>2.6</c:v>
                </c:pt>
                <c:pt idx="709">
                  <c:v>2.58</c:v>
                </c:pt>
                <c:pt idx="710">
                  <c:v>2.605</c:v>
                </c:pt>
                <c:pt idx="711">
                  <c:v>2.6749999999999998</c:v>
                </c:pt>
                <c:pt idx="712">
                  <c:v>2.58</c:v>
                </c:pt>
                <c:pt idx="713">
                  <c:v>2.585</c:v>
                </c:pt>
                <c:pt idx="714">
                  <c:v>2.6349999999999998</c:v>
                </c:pt>
                <c:pt idx="715">
                  <c:v>2.6</c:v>
                </c:pt>
                <c:pt idx="716">
                  <c:v>2.6349999999999998</c:v>
                </c:pt>
                <c:pt idx="717">
                  <c:v>2.6349999999999998</c:v>
                </c:pt>
                <c:pt idx="718">
                  <c:v>2.67</c:v>
                </c:pt>
                <c:pt idx="719">
                  <c:v>2.64</c:v>
                </c:pt>
                <c:pt idx="720">
                  <c:v>2.63</c:v>
                </c:pt>
                <c:pt idx="721">
                  <c:v>2.625</c:v>
                </c:pt>
                <c:pt idx="722">
                  <c:v>2.62</c:v>
                </c:pt>
                <c:pt idx="723">
                  <c:v>2.62</c:v>
                </c:pt>
                <c:pt idx="724">
                  <c:v>2.625</c:v>
                </c:pt>
                <c:pt idx="725">
                  <c:v>2.54</c:v>
                </c:pt>
                <c:pt idx="726">
                  <c:v>2.6</c:v>
                </c:pt>
                <c:pt idx="727">
                  <c:v>2.4474999999999998</c:v>
                </c:pt>
                <c:pt idx="728">
                  <c:v>19.579999999999998</c:v>
                </c:pt>
                <c:pt idx="729">
                  <c:v>19.34</c:v>
                </c:pt>
                <c:pt idx="730">
                  <c:v>19.32</c:v>
                </c:pt>
                <c:pt idx="731">
                  <c:v>19.36</c:v>
                </c:pt>
                <c:pt idx="732">
                  <c:v>19.28</c:v>
                </c:pt>
                <c:pt idx="733">
                  <c:v>19.18</c:v>
                </c:pt>
                <c:pt idx="734">
                  <c:v>19.2</c:v>
                </c:pt>
                <c:pt idx="735">
                  <c:v>19.18</c:v>
                </c:pt>
                <c:pt idx="736">
                  <c:v>19.059999999999999</c:v>
                </c:pt>
                <c:pt idx="737">
                  <c:v>18.440000000000001</c:v>
                </c:pt>
                <c:pt idx="738">
                  <c:v>18.34</c:v>
                </c:pt>
                <c:pt idx="739">
                  <c:v>18.18</c:v>
                </c:pt>
                <c:pt idx="740">
                  <c:v>18.14</c:v>
                </c:pt>
                <c:pt idx="741">
                  <c:v>17.600000000000001</c:v>
                </c:pt>
                <c:pt idx="742">
                  <c:v>16.98</c:v>
                </c:pt>
                <c:pt idx="743">
                  <c:v>16.920000000000002</c:v>
                </c:pt>
                <c:pt idx="744">
                  <c:v>16.98</c:v>
                </c:pt>
                <c:pt idx="745">
                  <c:v>16.8</c:v>
                </c:pt>
                <c:pt idx="746">
                  <c:v>16.48</c:v>
                </c:pt>
                <c:pt idx="747">
                  <c:v>16.48</c:v>
                </c:pt>
                <c:pt idx="748">
                  <c:v>16.14</c:v>
                </c:pt>
                <c:pt idx="749">
                  <c:v>16.100000000000001</c:v>
                </c:pt>
                <c:pt idx="750">
                  <c:v>15.98</c:v>
                </c:pt>
                <c:pt idx="751">
                  <c:v>15.84</c:v>
                </c:pt>
                <c:pt idx="752">
                  <c:v>15.86</c:v>
                </c:pt>
                <c:pt idx="753">
                  <c:v>15.9</c:v>
                </c:pt>
                <c:pt idx="754">
                  <c:v>15.9</c:v>
                </c:pt>
                <c:pt idx="755">
                  <c:v>15.86</c:v>
                </c:pt>
                <c:pt idx="756">
                  <c:v>15.88</c:v>
                </c:pt>
                <c:pt idx="757">
                  <c:v>15.88</c:v>
                </c:pt>
                <c:pt idx="758">
                  <c:v>15.9</c:v>
                </c:pt>
                <c:pt idx="759">
                  <c:v>15.9</c:v>
                </c:pt>
                <c:pt idx="760">
                  <c:v>15.92</c:v>
                </c:pt>
                <c:pt idx="761">
                  <c:v>15.96</c:v>
                </c:pt>
                <c:pt idx="762">
                  <c:v>15.96</c:v>
                </c:pt>
                <c:pt idx="763">
                  <c:v>15.98</c:v>
                </c:pt>
                <c:pt idx="764">
                  <c:v>15.94</c:v>
                </c:pt>
                <c:pt idx="765">
                  <c:v>15.92</c:v>
                </c:pt>
                <c:pt idx="766">
                  <c:v>15.98</c:v>
                </c:pt>
                <c:pt idx="767">
                  <c:v>15.98</c:v>
                </c:pt>
                <c:pt idx="768">
                  <c:v>15.82</c:v>
                </c:pt>
                <c:pt idx="769">
                  <c:v>15.68</c:v>
                </c:pt>
                <c:pt idx="770">
                  <c:v>15.78</c:v>
                </c:pt>
                <c:pt idx="771">
                  <c:v>15.86</c:v>
                </c:pt>
                <c:pt idx="772">
                  <c:v>15.98</c:v>
                </c:pt>
                <c:pt idx="773">
                  <c:v>15.98</c:v>
                </c:pt>
                <c:pt idx="774">
                  <c:v>15.98</c:v>
                </c:pt>
                <c:pt idx="775">
                  <c:v>16.04</c:v>
                </c:pt>
                <c:pt idx="776">
                  <c:v>16.079999999999998</c:v>
                </c:pt>
                <c:pt idx="777">
                  <c:v>16.100000000000001</c:v>
                </c:pt>
                <c:pt idx="778">
                  <c:v>15.9</c:v>
                </c:pt>
                <c:pt idx="779">
                  <c:v>16.059999999999999</c:v>
                </c:pt>
                <c:pt idx="780">
                  <c:v>16.059999999999999</c:v>
                </c:pt>
                <c:pt idx="781">
                  <c:v>16.059999999999999</c:v>
                </c:pt>
                <c:pt idx="782">
                  <c:v>16.100000000000001</c:v>
                </c:pt>
                <c:pt idx="783">
                  <c:v>16.100000000000001</c:v>
                </c:pt>
                <c:pt idx="784">
                  <c:v>16.079999999999998</c:v>
                </c:pt>
                <c:pt idx="785">
                  <c:v>15.92</c:v>
                </c:pt>
                <c:pt idx="786">
                  <c:v>15.9</c:v>
                </c:pt>
                <c:pt idx="787">
                  <c:v>15.86</c:v>
                </c:pt>
                <c:pt idx="788">
                  <c:v>15.86</c:v>
                </c:pt>
                <c:pt idx="789">
                  <c:v>15.86</c:v>
                </c:pt>
                <c:pt idx="790">
                  <c:v>15.88</c:v>
                </c:pt>
                <c:pt idx="791">
                  <c:v>15.88</c:v>
                </c:pt>
                <c:pt idx="792">
                  <c:v>15.92</c:v>
                </c:pt>
                <c:pt idx="793">
                  <c:v>15.9</c:v>
                </c:pt>
                <c:pt idx="794">
                  <c:v>15.5</c:v>
                </c:pt>
                <c:pt idx="795">
                  <c:v>15.8</c:v>
                </c:pt>
                <c:pt idx="796">
                  <c:v>15.88</c:v>
                </c:pt>
                <c:pt idx="797">
                  <c:v>15.86</c:v>
                </c:pt>
                <c:pt idx="798">
                  <c:v>15.86</c:v>
                </c:pt>
                <c:pt idx="799">
                  <c:v>15.64</c:v>
                </c:pt>
                <c:pt idx="800">
                  <c:v>15.5</c:v>
                </c:pt>
                <c:pt idx="801">
                  <c:v>15.5</c:v>
                </c:pt>
                <c:pt idx="802">
                  <c:v>15.48</c:v>
                </c:pt>
                <c:pt idx="803">
                  <c:v>15.48</c:v>
                </c:pt>
                <c:pt idx="804">
                  <c:v>15.3</c:v>
                </c:pt>
                <c:pt idx="805">
                  <c:v>15.2</c:v>
                </c:pt>
                <c:pt idx="806">
                  <c:v>14.94</c:v>
                </c:pt>
                <c:pt idx="807">
                  <c:v>14.94</c:v>
                </c:pt>
                <c:pt idx="808">
                  <c:v>14.84</c:v>
                </c:pt>
                <c:pt idx="809">
                  <c:v>14.5</c:v>
                </c:pt>
                <c:pt idx="810">
                  <c:v>14.64</c:v>
                </c:pt>
                <c:pt idx="811">
                  <c:v>14.62</c:v>
                </c:pt>
                <c:pt idx="812">
                  <c:v>14.64</c:v>
                </c:pt>
                <c:pt idx="813">
                  <c:v>14.64</c:v>
                </c:pt>
                <c:pt idx="814">
                  <c:v>14.62</c:v>
                </c:pt>
                <c:pt idx="815">
                  <c:v>14.62</c:v>
                </c:pt>
                <c:pt idx="816">
                  <c:v>14.64</c:v>
                </c:pt>
                <c:pt idx="817">
                  <c:v>14.6</c:v>
                </c:pt>
                <c:pt idx="818">
                  <c:v>14.66</c:v>
                </c:pt>
                <c:pt idx="819">
                  <c:v>14.8</c:v>
                </c:pt>
                <c:pt idx="820">
                  <c:v>14.68</c:v>
                </c:pt>
                <c:pt idx="821">
                  <c:v>14.9</c:v>
                </c:pt>
                <c:pt idx="822">
                  <c:v>14.88</c:v>
                </c:pt>
                <c:pt idx="823">
                  <c:v>14.92</c:v>
                </c:pt>
                <c:pt idx="824">
                  <c:v>14.9</c:v>
                </c:pt>
                <c:pt idx="825">
                  <c:v>14.8</c:v>
                </c:pt>
                <c:pt idx="826">
                  <c:v>14.86</c:v>
                </c:pt>
                <c:pt idx="827">
                  <c:v>14.78</c:v>
                </c:pt>
                <c:pt idx="828">
                  <c:v>14.96</c:v>
                </c:pt>
                <c:pt idx="829">
                  <c:v>14.96</c:v>
                </c:pt>
                <c:pt idx="830">
                  <c:v>14.98</c:v>
                </c:pt>
                <c:pt idx="831">
                  <c:v>15</c:v>
                </c:pt>
                <c:pt idx="832">
                  <c:v>15.5</c:v>
                </c:pt>
                <c:pt idx="833">
                  <c:v>15.14</c:v>
                </c:pt>
                <c:pt idx="834">
                  <c:v>15.38</c:v>
                </c:pt>
                <c:pt idx="835">
                  <c:v>15.64</c:v>
                </c:pt>
                <c:pt idx="836">
                  <c:v>15.74</c:v>
                </c:pt>
                <c:pt idx="837">
                  <c:v>15.72</c:v>
                </c:pt>
                <c:pt idx="838">
                  <c:v>15.74</c:v>
                </c:pt>
                <c:pt idx="839">
                  <c:v>15.74</c:v>
                </c:pt>
                <c:pt idx="840">
                  <c:v>15.82</c:v>
                </c:pt>
                <c:pt idx="841">
                  <c:v>15.82</c:v>
                </c:pt>
                <c:pt idx="842">
                  <c:v>15.8</c:v>
                </c:pt>
                <c:pt idx="843">
                  <c:v>15.74</c:v>
                </c:pt>
                <c:pt idx="844">
                  <c:v>15.58</c:v>
                </c:pt>
                <c:pt idx="845">
                  <c:v>15.56</c:v>
                </c:pt>
                <c:pt idx="846">
                  <c:v>15.28</c:v>
                </c:pt>
                <c:pt idx="847">
                  <c:v>15.46</c:v>
                </c:pt>
                <c:pt idx="848">
                  <c:v>15.56</c:v>
                </c:pt>
                <c:pt idx="849">
                  <c:v>15.8</c:v>
                </c:pt>
                <c:pt idx="850">
                  <c:v>15.86</c:v>
                </c:pt>
                <c:pt idx="851">
                  <c:v>15.88</c:v>
                </c:pt>
                <c:pt idx="852">
                  <c:v>15.9</c:v>
                </c:pt>
                <c:pt idx="853">
                  <c:v>15.9</c:v>
                </c:pt>
                <c:pt idx="854">
                  <c:v>15.96</c:v>
                </c:pt>
                <c:pt idx="855">
                  <c:v>15.92</c:v>
                </c:pt>
                <c:pt idx="856">
                  <c:v>15.96</c:v>
                </c:pt>
                <c:pt idx="857">
                  <c:v>15.98</c:v>
                </c:pt>
                <c:pt idx="858">
                  <c:v>15.98</c:v>
                </c:pt>
                <c:pt idx="859">
                  <c:v>16</c:v>
                </c:pt>
                <c:pt idx="860">
                  <c:v>16</c:v>
                </c:pt>
                <c:pt idx="861">
                  <c:v>16</c:v>
                </c:pt>
                <c:pt idx="862">
                  <c:v>16</c:v>
                </c:pt>
                <c:pt idx="863">
                  <c:v>16</c:v>
                </c:pt>
                <c:pt idx="864">
                  <c:v>16</c:v>
                </c:pt>
                <c:pt idx="865">
                  <c:v>16.260000000000002</c:v>
                </c:pt>
                <c:pt idx="866">
                  <c:v>16</c:v>
                </c:pt>
                <c:pt idx="867">
                  <c:v>16</c:v>
                </c:pt>
                <c:pt idx="868">
                  <c:v>16</c:v>
                </c:pt>
                <c:pt idx="869">
                  <c:v>16</c:v>
                </c:pt>
                <c:pt idx="870">
                  <c:v>16.02</c:v>
                </c:pt>
                <c:pt idx="871">
                  <c:v>16.04</c:v>
                </c:pt>
                <c:pt idx="872">
                  <c:v>16</c:v>
                </c:pt>
                <c:pt idx="873">
                  <c:v>16.420000000000002</c:v>
                </c:pt>
                <c:pt idx="874">
                  <c:v>17</c:v>
                </c:pt>
                <c:pt idx="875">
                  <c:v>15.8</c:v>
                </c:pt>
                <c:pt idx="876">
                  <c:v>15.72</c:v>
                </c:pt>
                <c:pt idx="877">
                  <c:v>14.4</c:v>
                </c:pt>
                <c:pt idx="878">
                  <c:v>13.54</c:v>
                </c:pt>
                <c:pt idx="879">
                  <c:v>12.3</c:v>
                </c:pt>
                <c:pt idx="880">
                  <c:v>12.02</c:v>
                </c:pt>
                <c:pt idx="881">
                  <c:v>11.08</c:v>
                </c:pt>
                <c:pt idx="882">
                  <c:v>10.76</c:v>
                </c:pt>
                <c:pt idx="883">
                  <c:v>9.9</c:v>
                </c:pt>
                <c:pt idx="884">
                  <c:v>9.65</c:v>
                </c:pt>
                <c:pt idx="885">
                  <c:v>9.52</c:v>
                </c:pt>
                <c:pt idx="886">
                  <c:v>9.5</c:v>
                </c:pt>
                <c:pt idx="887">
                  <c:v>9.26</c:v>
                </c:pt>
                <c:pt idx="888">
                  <c:v>9.4</c:v>
                </c:pt>
                <c:pt idx="889">
                  <c:v>9.1999999999999993</c:v>
                </c:pt>
                <c:pt idx="890">
                  <c:v>9.31</c:v>
                </c:pt>
                <c:pt idx="891">
                  <c:v>9.3000000000000007</c:v>
                </c:pt>
                <c:pt idx="892">
                  <c:v>9.3000000000000007</c:v>
                </c:pt>
                <c:pt idx="893">
                  <c:v>9.3000000000000007</c:v>
                </c:pt>
                <c:pt idx="894">
                  <c:v>9.1999999999999993</c:v>
                </c:pt>
                <c:pt idx="895">
                  <c:v>9.1999999999999993</c:v>
                </c:pt>
                <c:pt idx="896">
                  <c:v>9.1999999999999993</c:v>
                </c:pt>
                <c:pt idx="897">
                  <c:v>9.3000000000000007</c:v>
                </c:pt>
                <c:pt idx="898">
                  <c:v>9.1999999999999993</c:v>
                </c:pt>
                <c:pt idx="899">
                  <c:v>9.1999999999999993</c:v>
                </c:pt>
                <c:pt idx="900">
                  <c:v>9</c:v>
                </c:pt>
                <c:pt idx="901">
                  <c:v>9.5</c:v>
                </c:pt>
                <c:pt idx="902">
                  <c:v>9.5</c:v>
                </c:pt>
                <c:pt idx="903">
                  <c:v>9.5</c:v>
                </c:pt>
                <c:pt idx="904">
                  <c:v>9.1999999999999993</c:v>
                </c:pt>
                <c:pt idx="905">
                  <c:v>8.94</c:v>
                </c:pt>
                <c:pt idx="906">
                  <c:v>9.1999999999999993</c:v>
                </c:pt>
                <c:pt idx="907">
                  <c:v>9.17</c:v>
                </c:pt>
                <c:pt idx="908">
                  <c:v>9.41</c:v>
                </c:pt>
                <c:pt idx="909">
                  <c:v>9.15</c:v>
                </c:pt>
                <c:pt idx="910">
                  <c:v>9.15</c:v>
                </c:pt>
                <c:pt idx="911">
                  <c:v>8.9499999999999993</c:v>
                </c:pt>
                <c:pt idx="912">
                  <c:v>9</c:v>
                </c:pt>
                <c:pt idx="913">
                  <c:v>8.83</c:v>
                </c:pt>
                <c:pt idx="914">
                  <c:v>8.83</c:v>
                </c:pt>
                <c:pt idx="915">
                  <c:v>8.9</c:v>
                </c:pt>
                <c:pt idx="916">
                  <c:v>8.84</c:v>
                </c:pt>
                <c:pt idx="917">
                  <c:v>8.8000000000000007</c:v>
                </c:pt>
                <c:pt idx="918">
                  <c:v>8.8000000000000007</c:v>
                </c:pt>
                <c:pt idx="919">
                  <c:v>8.6</c:v>
                </c:pt>
                <c:pt idx="920">
                  <c:v>8.6</c:v>
                </c:pt>
                <c:pt idx="921">
                  <c:v>8.6</c:v>
                </c:pt>
                <c:pt idx="922">
                  <c:v>8.58</c:v>
                </c:pt>
                <c:pt idx="923">
                  <c:v>8.58</c:v>
                </c:pt>
                <c:pt idx="924">
                  <c:v>8.61</c:v>
                </c:pt>
                <c:pt idx="925">
                  <c:v>8.65</c:v>
                </c:pt>
                <c:pt idx="926">
                  <c:v>8.6</c:v>
                </c:pt>
                <c:pt idx="927">
                  <c:v>8.58</c:v>
                </c:pt>
                <c:pt idx="928">
                  <c:v>8.56</c:v>
                </c:pt>
                <c:pt idx="929">
                  <c:v>8.52</c:v>
                </c:pt>
                <c:pt idx="930">
                  <c:v>8.66</c:v>
                </c:pt>
                <c:pt idx="931">
                  <c:v>8.76</c:v>
                </c:pt>
                <c:pt idx="932">
                  <c:v>8.6</c:v>
                </c:pt>
                <c:pt idx="933">
                  <c:v>8.6</c:v>
                </c:pt>
                <c:pt idx="934">
                  <c:v>8.75</c:v>
                </c:pt>
                <c:pt idx="935">
                  <c:v>8.75</c:v>
                </c:pt>
                <c:pt idx="936">
                  <c:v>8.6300000000000008</c:v>
                </c:pt>
                <c:pt idx="937">
                  <c:v>8.64</c:v>
                </c:pt>
                <c:pt idx="938">
                  <c:v>8.66</c:v>
                </c:pt>
                <c:pt idx="939">
                  <c:v>8.51</c:v>
                </c:pt>
                <c:pt idx="940">
                  <c:v>8.43</c:v>
                </c:pt>
                <c:pt idx="941">
                  <c:v>8.4</c:v>
                </c:pt>
                <c:pt idx="942">
                  <c:v>8.6999999999999993</c:v>
                </c:pt>
                <c:pt idx="943">
                  <c:v>8.6</c:v>
                </c:pt>
                <c:pt idx="944">
                  <c:v>8.1999999999999993</c:v>
                </c:pt>
                <c:pt idx="945">
                  <c:v>8.1999999999999993</c:v>
                </c:pt>
                <c:pt idx="946">
                  <c:v>8.5</c:v>
                </c:pt>
                <c:pt idx="947">
                  <c:v>8.94</c:v>
                </c:pt>
                <c:pt idx="948">
                  <c:v>8.6</c:v>
                </c:pt>
                <c:pt idx="949">
                  <c:v>8.9</c:v>
                </c:pt>
                <c:pt idx="950">
                  <c:v>8.6</c:v>
                </c:pt>
                <c:pt idx="951">
                  <c:v>7.82</c:v>
                </c:pt>
                <c:pt idx="952">
                  <c:v>8.5</c:v>
                </c:pt>
                <c:pt idx="953">
                  <c:v>8.5</c:v>
                </c:pt>
                <c:pt idx="954">
                  <c:v>8.5</c:v>
                </c:pt>
                <c:pt idx="955">
                  <c:v>9.3800000000000008</c:v>
                </c:pt>
                <c:pt idx="956">
                  <c:v>9.4</c:v>
                </c:pt>
                <c:pt idx="957">
                  <c:v>9.4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81920"/>
        <c:axId val="75413120"/>
      </c:lineChart>
      <c:dateAx>
        <c:axId val="128081920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crossAx val="75413120"/>
        <c:crosses val="autoZero"/>
        <c:auto val="1"/>
        <c:lblOffset val="100"/>
        <c:baseTimeUnit val="days"/>
      </c:dateAx>
      <c:valAx>
        <c:axId val="75413120"/>
        <c:scaling>
          <c:orientation val="minMax"/>
        </c:scaling>
        <c:delete val="0"/>
        <c:axPos val="l"/>
        <c:numFmt formatCode="_(* #,##0.000_);_(* \(#,##0.000\);_(* &quot;-&quot;??_);_(@_)" sourceLinked="1"/>
        <c:majorTickMark val="none"/>
        <c:minorTickMark val="none"/>
        <c:tickLblPos val="nextTo"/>
        <c:crossAx val="1280819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600"/>
              <a:t>Evolución</a:t>
            </a:r>
            <a:r>
              <a:rPr lang="es-CO" sz="1600" baseline="0"/>
              <a:t> de Ingresos Operacionales</a:t>
            </a:r>
            <a:r>
              <a:rPr lang="es-CO" sz="1600" b="1" i="0" u="none" strike="noStrike" baseline="0">
                <a:effectLst/>
              </a:rPr>
              <a:t> </a:t>
            </a:r>
          </a:p>
          <a:p>
            <a:pPr>
              <a:defRPr/>
            </a:pPr>
            <a:r>
              <a:rPr lang="es-CO" sz="1400" b="0" i="1" u="none" strike="noStrike" baseline="0">
                <a:effectLst/>
              </a:rPr>
              <a:t>Cifras en miles de millones $COP</a:t>
            </a:r>
            <a:r>
              <a:rPr lang="es-CO" b="0" baseline="0"/>
              <a:t> </a:t>
            </a:r>
            <a:endParaRPr lang="es-CO" b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(EEFFHist!$D$158,EEFFHist!$F$158,EEFFHist!$H$158,EEFFHist!$J$158,EEFFHist!$L$158,EEFFHist!$N$158,EEFFHist!$P$158,EEFFHist!$R$158,EEFFHist!$T$158,EEFFHist!$V$158)</c:f>
              <c:numCache>
                <c:formatCode>General</c:formatCode>
                <c:ptCount val="1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</c:numCache>
            </c:numRef>
          </c:cat>
          <c:val>
            <c:numRef>
              <c:f>(EEFFHist!$D$164,EEFFHist!$F$164,EEFFHist!$H$164,EEFFHist!$J$164,EEFFHist!$L$164,EEFFHist!$N$164,EEFFHist!$P$164,EEFFHist!$R$164,EEFFHist!$T$164,EEFFHist!$V$164)</c:f>
              <c:numCache>
                <c:formatCode>_(* #,##0.00_);_(* \(#,##0.00\);_(* "-"??_);_(@_)</c:formatCode>
                <c:ptCount val="10"/>
                <c:pt idx="0">
                  <c:v>7693.78</c:v>
                </c:pt>
                <c:pt idx="1">
                  <c:v>9924.77</c:v>
                </c:pt>
                <c:pt idx="2">
                  <c:v>9533.4599999999991</c:v>
                </c:pt>
                <c:pt idx="3">
                  <c:v>7852.71</c:v>
                </c:pt>
                <c:pt idx="4">
                  <c:v>12975.3</c:v>
                </c:pt>
                <c:pt idx="5">
                  <c:v>21998.79</c:v>
                </c:pt>
                <c:pt idx="6">
                  <c:v>19691.41</c:v>
                </c:pt>
                <c:pt idx="7">
                  <c:v>17033.48</c:v>
                </c:pt>
                <c:pt idx="8">
                  <c:v>18059.2</c:v>
                </c:pt>
                <c:pt idx="9">
                  <c:v>19331.52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28083456"/>
        <c:axId val="139070272"/>
      </c:barChart>
      <c:catAx>
        <c:axId val="12808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9070272"/>
        <c:crosses val="autoZero"/>
        <c:auto val="1"/>
        <c:lblAlgn val="ctr"/>
        <c:lblOffset val="100"/>
        <c:noMultiLvlLbl val="0"/>
      </c:catAx>
      <c:valAx>
        <c:axId val="13907027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128083456"/>
        <c:crosses val="autoZero"/>
        <c:crossBetween val="between"/>
      </c:valAx>
    </c:plotArea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600"/>
              <a:t>Evolución gastos operacionales de administración</a:t>
            </a:r>
          </a:p>
          <a:p>
            <a:pPr>
              <a:defRPr/>
            </a:pPr>
            <a:r>
              <a:rPr lang="es-CO" sz="1400" b="0" i="1" u="none" strike="noStrike" baseline="0">
                <a:effectLst/>
              </a:rPr>
              <a:t>Cifras en miles de millones $COP</a:t>
            </a:r>
            <a:endParaRPr lang="es-CO" sz="1100" b="0" i="1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(EEFFHist!$D$158,EEFFHist!$F$158,EEFFHist!$H$158,EEFFHist!$J$158,EEFFHist!$L$158,EEFFHist!$N$158,EEFFHist!$P$158,EEFFHist!$R$158,EEFFHist!$T$158,EEFFHist!$V$158)</c:f>
              <c:numCache>
                <c:formatCode>General</c:formatCode>
                <c:ptCount val="1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</c:numCache>
            </c:numRef>
          </c:cat>
          <c:val>
            <c:numRef>
              <c:f>(EEFFHist!$D$182,EEFFHist!$F$182,EEFFHist!$H$182,EEFFHist!$J$182,EEFFHist!$L$182,EEFFHist!$N$182,EEFFHist!$P$182,EEFFHist!$R$182,EEFFHist!$T$182,EEFFHist!$V$182)</c:f>
              <c:numCache>
                <c:formatCode>_(* #,##0.00_);_(* \(#,##0.00\);_(* "-"??_);_(@_)</c:formatCode>
                <c:ptCount val="10"/>
                <c:pt idx="0">
                  <c:v>5731.99</c:v>
                </c:pt>
                <c:pt idx="1">
                  <c:v>6979.2000000000007</c:v>
                </c:pt>
                <c:pt idx="2">
                  <c:v>6945.8399999999992</c:v>
                </c:pt>
                <c:pt idx="3">
                  <c:v>9427.4740000000002</c:v>
                </c:pt>
                <c:pt idx="4">
                  <c:v>10491.66</c:v>
                </c:pt>
                <c:pt idx="5">
                  <c:v>17264.440000000002</c:v>
                </c:pt>
                <c:pt idx="6">
                  <c:v>18012.010000000002</c:v>
                </c:pt>
                <c:pt idx="7">
                  <c:v>17817.46</c:v>
                </c:pt>
                <c:pt idx="8">
                  <c:v>17216.48</c:v>
                </c:pt>
                <c:pt idx="9">
                  <c:v>16167.29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9099776"/>
        <c:axId val="139072000"/>
      </c:barChart>
      <c:catAx>
        <c:axId val="8909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9072000"/>
        <c:crosses val="autoZero"/>
        <c:auto val="1"/>
        <c:lblAlgn val="ctr"/>
        <c:lblOffset val="100"/>
        <c:noMultiLvlLbl val="0"/>
      </c:catAx>
      <c:valAx>
        <c:axId val="13907200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89099776"/>
        <c:crosses val="autoZero"/>
        <c:crossBetween val="between"/>
      </c:valAx>
    </c:plotArea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Ingresos Operacionales VS Gastos Operacionales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EEFFHist!$B$242</c:f>
              <c:strCache>
                <c:ptCount val="1"/>
                <c:pt idx="0">
                  <c:v>Ingresos Operacionales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EEFFHist!$D$241:$M$241</c:f>
              <c:numCache>
                <c:formatCode>General</c:formatCode>
                <c:ptCount val="1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</c:numCache>
            </c:numRef>
          </c:cat>
          <c:val>
            <c:numRef>
              <c:f>EEFFHist!$D$242:$M$242</c:f>
              <c:numCache>
                <c:formatCode>_(* #,##0.00_);_(* \(#,##0.00\);_(* "-"??_);_(@_)</c:formatCode>
                <c:ptCount val="10"/>
                <c:pt idx="0">
                  <c:v>7693.78</c:v>
                </c:pt>
                <c:pt idx="1">
                  <c:v>9924.77</c:v>
                </c:pt>
                <c:pt idx="2">
                  <c:v>9533.4599999999991</c:v>
                </c:pt>
                <c:pt idx="3">
                  <c:v>7852.71</c:v>
                </c:pt>
                <c:pt idx="4">
                  <c:v>12975.3</c:v>
                </c:pt>
                <c:pt idx="5">
                  <c:v>21998.79</c:v>
                </c:pt>
                <c:pt idx="6">
                  <c:v>19691.41</c:v>
                </c:pt>
                <c:pt idx="7">
                  <c:v>17033.48</c:v>
                </c:pt>
                <c:pt idx="8">
                  <c:v>18059.2</c:v>
                </c:pt>
                <c:pt idx="9">
                  <c:v>19331.52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EEFFHist!$B$243</c:f>
              <c:strCache>
                <c:ptCount val="1"/>
                <c:pt idx="0">
                  <c:v>Gastos Operacionales de Administración</c:v>
                </c:pt>
              </c:strCache>
            </c:strRef>
          </c:tx>
          <c:spPr>
            <a:ln w="3810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EEFFHist!$D$241:$M$241</c:f>
              <c:numCache>
                <c:formatCode>General</c:formatCode>
                <c:ptCount val="1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</c:numCache>
            </c:numRef>
          </c:cat>
          <c:val>
            <c:numRef>
              <c:f>EEFFHist!$D$243:$M$243</c:f>
              <c:numCache>
                <c:formatCode>_(* #,##0.00_);_(* \(#,##0.00\);_(* "-"??_);_(@_)</c:formatCode>
                <c:ptCount val="10"/>
                <c:pt idx="0">
                  <c:v>5731.99</c:v>
                </c:pt>
                <c:pt idx="1">
                  <c:v>6979.2000000000007</c:v>
                </c:pt>
                <c:pt idx="2">
                  <c:v>6945.8399999999992</c:v>
                </c:pt>
                <c:pt idx="3">
                  <c:v>9427.4740000000002</c:v>
                </c:pt>
                <c:pt idx="4">
                  <c:v>10491.66</c:v>
                </c:pt>
                <c:pt idx="5">
                  <c:v>17264.440000000002</c:v>
                </c:pt>
                <c:pt idx="6">
                  <c:v>18012.010000000002</c:v>
                </c:pt>
                <c:pt idx="7">
                  <c:v>17817.46</c:v>
                </c:pt>
                <c:pt idx="8">
                  <c:v>17216.48</c:v>
                </c:pt>
                <c:pt idx="9">
                  <c:v>16167.29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48640"/>
        <c:axId val="139073152"/>
      </c:lineChart>
      <c:catAx>
        <c:axId val="12804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9073152"/>
        <c:crosses val="autoZero"/>
        <c:auto val="1"/>
        <c:lblAlgn val="ctr"/>
        <c:lblOffset val="100"/>
        <c:noMultiLvlLbl val="0"/>
      </c:catAx>
      <c:valAx>
        <c:axId val="1390731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Cifras en miles de millones  $COP</a:t>
                </a:r>
              </a:p>
            </c:rich>
          </c:tx>
          <c:overlay val="0"/>
        </c:title>
        <c:numFmt formatCode="_(* #,##0_);_(* \(#,##0\);_(* &quot;-&quot;_);_(@_)" sourceLinked="0"/>
        <c:majorTickMark val="none"/>
        <c:minorTickMark val="none"/>
        <c:tickLblPos val="nextTo"/>
        <c:crossAx val="1280486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Proyección Ingresos Operacionales</a:t>
            </a:r>
            <a:endParaRPr lang="es-CO">
              <a:effectLst/>
            </a:endParaRPr>
          </a:p>
          <a:p>
            <a:pPr>
              <a:defRPr/>
            </a:pPr>
            <a:r>
              <a:rPr lang="es-CO" sz="1800" b="0" i="1" baseline="0">
                <a:effectLst/>
              </a:rPr>
              <a:t>Cifras en miles de millones $COP</a:t>
            </a:r>
            <a:r>
              <a:rPr lang="es-CO" sz="1800" b="0" i="0" baseline="0">
                <a:effectLst/>
              </a:rPr>
              <a:t> </a:t>
            </a:r>
            <a:endParaRPr lang="es-CO">
              <a:effectLst/>
            </a:endParaRPr>
          </a:p>
          <a:p>
            <a:pPr>
              <a:defRPr/>
            </a:pPr>
            <a:r>
              <a:rPr lang="en-US"/>
              <a:t>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'EEFFPry+Valor'!$B$153</c:f>
              <c:strCache>
                <c:ptCount val="1"/>
                <c:pt idx="0">
                  <c:v>Operacionales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numFmt formatCode="#,##0" sourceLinked="0"/>
            <c:txPr>
              <a:bodyPr rot="0" vert="horz"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'EEFFPry+Valor'!$N$151:$U$151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'EEFFPry+Valor'!$N$153:$U$153</c:f>
              <c:numCache>
                <c:formatCode>_(* #,##0.00_);_(* \(#,##0.00\);_(* "-"??_);_(@_)</c:formatCode>
                <c:ptCount val="8"/>
                <c:pt idx="0">
                  <c:v>18992.528722286264</c:v>
                </c:pt>
                <c:pt idx="1">
                  <c:v>22443.941215441304</c:v>
                </c:pt>
                <c:pt idx="2">
                  <c:v>25443.907045826229</c:v>
                </c:pt>
                <c:pt idx="3">
                  <c:v>28264.132777810912</c:v>
                </c:pt>
                <c:pt idx="4">
                  <c:v>31345.547983138051</c:v>
                </c:pt>
                <c:pt idx="5">
                  <c:v>34699.558177818122</c:v>
                </c:pt>
                <c:pt idx="6">
                  <c:v>38589.249160576997</c:v>
                </c:pt>
                <c:pt idx="7">
                  <c:v>42588.097986874542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39456512"/>
        <c:axId val="139125312"/>
      </c:barChart>
      <c:catAx>
        <c:axId val="13945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9125312"/>
        <c:crosses val="autoZero"/>
        <c:auto val="1"/>
        <c:lblAlgn val="ctr"/>
        <c:lblOffset val="100"/>
        <c:noMultiLvlLbl val="0"/>
      </c:catAx>
      <c:valAx>
        <c:axId val="13912531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out"/>
        <c:minorTickMark val="none"/>
        <c:tickLblPos val="nextTo"/>
        <c:crossAx val="139456512"/>
        <c:crosses val="autoZero"/>
        <c:crossBetween val="between"/>
      </c:valAx>
    </c:plotArea>
    <c:plotVisOnly val="1"/>
    <c:dispBlanksAs val="gap"/>
    <c:showDLblsOverMax val="0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800" b="1" i="0" baseline="0">
                <a:effectLst/>
              </a:rPr>
              <a:t>Distribución de Ingresos Operacionales Proyectados</a:t>
            </a:r>
            <a:endParaRPr lang="es-CO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PryIngresos!$B$29</c:f>
              <c:strCache>
                <c:ptCount val="1"/>
                <c:pt idx="0">
                  <c:v>OR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PryIngresos!$C$40:$C$47</c:f>
              <c:numCache>
                <c:formatCode>0%</c:formatCode>
                <c:ptCount val="8"/>
                <c:pt idx="0">
                  <c:v>0.70767531586475674</c:v>
                </c:pt>
                <c:pt idx="1">
                  <c:v>0.63486162357529652</c:v>
                </c:pt>
                <c:pt idx="2">
                  <c:v>0.60286946269746866</c:v>
                </c:pt>
                <c:pt idx="3">
                  <c:v>0.58338235833655072</c:v>
                </c:pt>
                <c:pt idx="4">
                  <c:v>0.5646705724751907</c:v>
                </c:pt>
                <c:pt idx="5">
                  <c:v>0.54685421599311523</c:v>
                </c:pt>
                <c:pt idx="6">
                  <c:v>0.52654320247818365</c:v>
                </c:pt>
                <c:pt idx="7">
                  <c:v>0.5103069027299163</c:v>
                </c:pt>
              </c:numCache>
            </c:numRef>
          </c:val>
        </c:ser>
        <c:ser>
          <c:idx val="6"/>
          <c:order val="1"/>
          <c:tx>
            <c:strRef>
              <c:f>PryIngresos!$N$29</c:f>
              <c:strCache>
                <c:ptCount val="1"/>
                <c:pt idx="0">
                  <c:v>MCP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PryIngresos!$O$40:$O$47</c:f>
              <c:numCache>
                <c:formatCode>0.0%</c:formatCode>
                <c:ptCount val="8"/>
                <c:pt idx="0">
                  <c:v>0.183229945358276</c:v>
                </c:pt>
                <c:pt idx="1">
                  <c:v>0.25842163567999515</c:v>
                </c:pt>
                <c:pt idx="2">
                  <c:v>0.25197859701549652</c:v>
                </c:pt>
                <c:pt idx="3">
                  <c:v>0.2507444040018022</c:v>
                </c:pt>
                <c:pt idx="4">
                  <c:v>0.24992546437233862</c:v>
                </c:pt>
                <c:pt idx="5">
                  <c:v>0.24956397220725565</c:v>
                </c:pt>
                <c:pt idx="6">
                  <c:v>0.24806127198334346</c:v>
                </c:pt>
                <c:pt idx="7">
                  <c:v>0.24846001689327557</c:v>
                </c:pt>
              </c:numCache>
            </c:numRef>
          </c:val>
        </c:ser>
        <c:ser>
          <c:idx val="7"/>
          <c:order val="2"/>
          <c:tx>
            <c:strRef>
              <c:f>PryIngresos!$P$29</c:f>
              <c:strCache>
                <c:ptCount val="1"/>
                <c:pt idx="0">
                  <c:v>Convenios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PryIngresos!$Q$40:$Q$47</c:f>
              <c:numCache>
                <c:formatCode>0.00%</c:formatCode>
                <c:ptCount val="8"/>
                <c:pt idx="0">
                  <c:v>9.2160445857116843E-2</c:v>
                </c:pt>
                <c:pt idx="1">
                  <c:v>8.0717664274517598E-2</c:v>
                </c:pt>
                <c:pt idx="2">
                  <c:v>7.369266428181874E-2</c:v>
                </c:pt>
                <c:pt idx="3">
                  <c:v>6.8661414121558129E-2</c:v>
                </c:pt>
                <c:pt idx="4">
                  <c:v>6.4078581842467994E-2</c:v>
                </c:pt>
                <c:pt idx="5">
                  <c:v>5.9910806078437663E-2</c:v>
                </c:pt>
                <c:pt idx="6">
                  <c:v>5.5757478969863182E-2</c:v>
                </c:pt>
                <c:pt idx="7">
                  <c:v>5.2290351706213684E-2</c:v>
                </c:pt>
              </c:numCache>
            </c:numRef>
          </c:val>
        </c:ser>
        <c:ser>
          <c:idx val="8"/>
          <c:order val="3"/>
          <c:tx>
            <c:strRef>
              <c:f>PryIngresos!$Z$29</c:f>
              <c:strCache>
                <c:ptCount val="1"/>
                <c:pt idx="0">
                  <c:v>Nuevos Proyectos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PryIngresos!$AA$40:$AA$47</c:f>
              <c:numCache>
                <c:formatCode>0.00%</c:formatCode>
                <c:ptCount val="8"/>
                <c:pt idx="0">
                  <c:v>0</c:v>
                </c:pt>
                <c:pt idx="1">
                  <c:v>3.0595301780717999E-3</c:v>
                </c:pt>
                <c:pt idx="2">
                  <c:v>3.8978192614990179E-2</c:v>
                </c:pt>
                <c:pt idx="3">
                  <c:v>5.383523108881981E-2</c:v>
                </c:pt>
                <c:pt idx="4">
                  <c:v>7.0437306683642203E-2</c:v>
                </c:pt>
                <c:pt idx="5">
                  <c:v>8.0764693501716459E-2</c:v>
                </c:pt>
                <c:pt idx="6">
                  <c:v>9.5741613783185256E-2</c:v>
                </c:pt>
                <c:pt idx="7">
                  <c:v>0.10419231156936011</c:v>
                </c:pt>
              </c:numCache>
            </c:numRef>
          </c:val>
        </c:ser>
        <c:ser>
          <c:idx val="0"/>
          <c:order val="4"/>
          <c:tx>
            <c:strRef>
              <c:f>PryIngresos!$H$29</c:f>
              <c:strCache>
                <c:ptCount val="1"/>
                <c:pt idx="0">
                  <c:v>DIS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PryIngresos!$I$40:$I$47</c:f>
              <c:numCache>
                <c:formatCode>0.00%</c:formatCode>
                <c:ptCount val="8"/>
                <c:pt idx="0">
                  <c:v>2.6022639060804782E-5</c:v>
                </c:pt>
                <c:pt idx="1">
                  <c:v>2.2791628487817086E-5</c:v>
                </c:pt>
                <c:pt idx="2">
                  <c:v>1.4668356756629411E-3</c:v>
                </c:pt>
                <c:pt idx="3">
                  <c:v>7.0971089821964817E-3</c:v>
                </c:pt>
                <c:pt idx="4">
                  <c:v>1.3738943369226054E-2</c:v>
                </c:pt>
                <c:pt idx="5">
                  <c:v>2.6610910753922887E-2</c:v>
                </c:pt>
                <c:pt idx="6">
                  <c:v>3.8433810399867423E-2</c:v>
                </c:pt>
                <c:pt idx="7">
                  <c:v>4.9664905375174352E-2</c:v>
                </c:pt>
              </c:numCache>
            </c:numRef>
          </c:val>
        </c:ser>
        <c:ser>
          <c:idx val="4"/>
          <c:order val="5"/>
          <c:tx>
            <c:strRef>
              <c:f>PryIngresos!$J$29</c:f>
              <c:strCache>
                <c:ptCount val="1"/>
                <c:pt idx="0">
                  <c:v>VF</c:v>
                </c:pt>
              </c:strCache>
            </c:strRef>
          </c:tx>
          <c:invertIfNegative val="0"/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PryIngresos!$K$40:$K$47</c:f>
              <c:numCache>
                <c:formatCode>0.00%</c:formatCode>
                <c:ptCount val="8"/>
                <c:pt idx="0">
                  <c:v>0</c:v>
                </c:pt>
                <c:pt idx="1">
                  <c:v>4.5378126338136305E-3</c:v>
                </c:pt>
                <c:pt idx="2">
                  <c:v>1.118417174404354E-2</c:v>
                </c:pt>
                <c:pt idx="3">
                  <c:v>1.6485675581427287E-2</c:v>
                </c:pt>
                <c:pt idx="4">
                  <c:v>1.7250897393419395E-2</c:v>
                </c:pt>
                <c:pt idx="5">
                  <c:v>1.6146012608047607E-2</c:v>
                </c:pt>
                <c:pt idx="6">
                  <c:v>1.5042657852854037E-2</c:v>
                </c:pt>
                <c:pt idx="7">
                  <c:v>1.4122264299824033E-2</c:v>
                </c:pt>
              </c:numCache>
            </c:numRef>
          </c:val>
        </c:ser>
        <c:ser>
          <c:idx val="5"/>
          <c:order val="6"/>
          <c:tx>
            <c:strRef>
              <c:f>PryIngresos!$L$29</c:f>
              <c:strCache>
                <c:ptCount val="1"/>
                <c:pt idx="0">
                  <c:v>CDM</c:v>
                </c:pt>
              </c:strCache>
            </c:strRef>
          </c:tx>
          <c:invertIfNegative val="0"/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PryIngresos!$M$40:$M$47</c:f>
              <c:numCache>
                <c:formatCode>0.00%</c:formatCode>
                <c:ptCount val="8"/>
                <c:pt idx="0">
                  <c:v>8.2525575058765774E-3</c:v>
                </c:pt>
                <c:pt idx="1">
                  <c:v>8.3801824621521932E-3</c:v>
                </c:pt>
                <c:pt idx="2">
                  <c:v>8.8705396800796265E-3</c:v>
                </c:pt>
                <c:pt idx="3">
                  <c:v>9.5825131663738218E-3</c:v>
                </c:pt>
                <c:pt idx="4">
                  <c:v>1.0368608312422808E-2</c:v>
                </c:pt>
                <c:pt idx="5">
                  <c:v>1.1239671965039971E-2</c:v>
                </c:pt>
                <c:pt idx="6">
                  <c:v>1.2128092452721799E-2</c:v>
                </c:pt>
                <c:pt idx="7">
                  <c:v>1.3187176801692379E-2</c:v>
                </c:pt>
              </c:numCache>
            </c:numRef>
          </c:val>
        </c:ser>
        <c:ser>
          <c:idx val="3"/>
          <c:order val="7"/>
          <c:tx>
            <c:strRef>
              <c:f>PryIngresos!$F$29</c:f>
              <c:strCache>
                <c:ptCount val="1"/>
                <c:pt idx="0">
                  <c:v>FWD</c:v>
                </c:pt>
              </c:strCache>
            </c:strRef>
          </c:tx>
          <c:invertIfNegative val="0"/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PryIngresos!$G$40:$G$47</c:f>
              <c:numCache>
                <c:formatCode>0.00%</c:formatCode>
                <c:ptCount val="8"/>
                <c:pt idx="0">
                  <c:v>3.7350065241602425E-3</c:v>
                </c:pt>
                <c:pt idx="1">
                  <c:v>5.6891520260543213E-3</c:v>
                </c:pt>
                <c:pt idx="2">
                  <c:v>7.0257209622680387E-3</c:v>
                </c:pt>
                <c:pt idx="3">
                  <c:v>6.5460509698495621E-3</c:v>
                </c:pt>
                <c:pt idx="4">
                  <c:v>6.1091323006231338E-3</c:v>
                </c:pt>
                <c:pt idx="5">
                  <c:v>5.7117843442593842E-3</c:v>
                </c:pt>
                <c:pt idx="6">
                  <c:v>5.3158138957181845E-3</c:v>
                </c:pt>
                <c:pt idx="7">
                  <c:v>4.9852644586409981E-3</c:v>
                </c:pt>
              </c:numCache>
            </c:numRef>
          </c:val>
        </c:ser>
        <c:ser>
          <c:idx val="2"/>
          <c:order val="8"/>
          <c:tx>
            <c:strRef>
              <c:f>PryIngresos!$D$29</c:f>
              <c:strCache>
                <c:ptCount val="1"/>
                <c:pt idx="0">
                  <c:v>SAG</c:v>
                </c:pt>
              </c:strCache>
            </c:strRef>
          </c:tx>
          <c:invertIfNegative val="0"/>
          <c:cat>
            <c:numRef>
              <c:f>PryIngresos!$A$40:$A$47</c:f>
              <c:numCache>
                <c:formatCode>0_);\(0\)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PryIngresos!$E$40:$E$47</c:f>
              <c:numCache>
                <c:formatCode>0.00%</c:formatCode>
                <c:ptCount val="8"/>
                <c:pt idx="0">
                  <c:v>4.9207062507527349E-3</c:v>
                </c:pt>
                <c:pt idx="1">
                  <c:v>4.3097438542948167E-3</c:v>
                </c:pt>
                <c:pt idx="2">
                  <c:v>3.9346592824471005E-3</c:v>
                </c:pt>
                <c:pt idx="3">
                  <c:v>3.6660266398589971E-3</c:v>
                </c:pt>
                <c:pt idx="4">
                  <c:v>3.4213362932342391E-3</c:v>
                </c:pt>
                <c:pt idx="5">
                  <c:v>3.1988069851013822E-3</c:v>
                </c:pt>
                <c:pt idx="6">
                  <c:v>2.9770491314526633E-3</c:v>
                </c:pt>
                <c:pt idx="7">
                  <c:v>2.7919294237545716E-3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9459584"/>
        <c:axId val="139126464"/>
      </c:barChart>
      <c:catAx>
        <c:axId val="139459584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crossAx val="139126464"/>
        <c:crosses val="autoZero"/>
        <c:auto val="1"/>
        <c:lblAlgn val="ctr"/>
        <c:lblOffset val="100"/>
        <c:noMultiLvlLbl val="0"/>
      </c:catAx>
      <c:valAx>
        <c:axId val="139126464"/>
        <c:scaling>
          <c:orientation val="minMax"/>
          <c:max val="1"/>
        </c:scaling>
        <c:delete val="0"/>
        <c:axPos val="l"/>
        <c:numFmt formatCode="0%" sourceLinked="1"/>
        <c:majorTickMark val="none"/>
        <c:minorTickMark val="none"/>
        <c:tickLblPos val="nextTo"/>
        <c:crossAx val="1394595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Operaciones de Registro (OR)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Comportamiento Historico y Proyectado de Ingresos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1" baseline="0">
                <a:effectLst/>
              </a:rPr>
              <a:t>Cifras en miles de millones $COP</a:t>
            </a:r>
            <a:r>
              <a:rPr lang="es-CO" sz="1800" b="0" i="0" baseline="0">
                <a:effectLst/>
              </a:rPr>
              <a:t> </a:t>
            </a:r>
            <a:endParaRPr lang="es-CO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PryIngresos!$B$29</c:f>
              <c:strCache>
                <c:ptCount val="1"/>
                <c:pt idx="0">
                  <c:v>OR</c:v>
                </c:pt>
              </c:strCache>
            </c:strRef>
          </c:tx>
          <c:invertIfNegative val="0"/>
          <c:dPt>
            <c:idx val="1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3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FFC000"/>
              </a:solidFill>
            </c:spPr>
          </c:dPt>
          <c:dLbls>
            <c:numFmt formatCode="_(* #,##0_);_(* \(#,##0\);_(* &quot;-&quot;_);_(@_)" sourceLinked="0"/>
            <c:txPr>
              <a:bodyPr rot="-5400000" vert="horz"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PryIngresos!$A$30:$A$47</c:f>
              <c:numCache>
                <c:formatCode>0_);\(0\)</c:formatCode>
                <c:ptCount val="1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</c:numCache>
            </c:numRef>
          </c:cat>
          <c:val>
            <c:numRef>
              <c:f>PryIngresos!$B$30:$B$47</c:f>
              <c:numCache>
                <c:formatCode>_(* #,##0.00_);_(* \(#,##0.00\);_(* "-"??_);_(@_)</c:formatCode>
                <c:ptCount val="18"/>
                <c:pt idx="0">
                  <c:v>4865.5599210717828</c:v>
                </c:pt>
                <c:pt idx="1">
                  <c:v>5302.4912910018165</c:v>
                </c:pt>
                <c:pt idx="2">
                  <c:v>4926.4598713289661</c:v>
                </c:pt>
                <c:pt idx="3">
                  <c:v>6283.5762881549499</c:v>
                </c:pt>
                <c:pt idx="4">
                  <c:v>8263.993548749364</c:v>
                </c:pt>
                <c:pt idx="5">
                  <c:v>11305.621548741741</c:v>
                </c:pt>
                <c:pt idx="6">
                  <c:v>10507.744859818216</c:v>
                </c:pt>
                <c:pt idx="7">
                  <c:v>9856.9076940090818</c:v>
                </c:pt>
                <c:pt idx="8">
                  <c:v>12234.982590629961</c:v>
                </c:pt>
                <c:pt idx="9">
                  <c:v>12862.114756847943</c:v>
                </c:pt>
                <c:pt idx="10">
                  <c:v>13440.543762614398</c:v>
                </c:pt>
                <c:pt idx="11">
                  <c:v>14248.79695946358</c:v>
                </c:pt>
                <c:pt idx="12">
                  <c:v>15339.354569641595</c:v>
                </c:pt>
                <c:pt idx="13">
                  <c:v>16488.796436256733</c:v>
                </c:pt>
                <c:pt idx="14">
                  <c:v>17699.908524187122</c:v>
                </c:pt>
                <c:pt idx="15">
                  <c:v>18975.599682638218</c:v>
                </c:pt>
                <c:pt idx="16">
                  <c:v>20318.906834238773</c:v>
                </c:pt>
                <c:pt idx="17">
                  <c:v>21733.000376840129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38987520"/>
        <c:axId val="139129344"/>
      </c:barChart>
      <c:catAx>
        <c:axId val="138987520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139129344"/>
        <c:crosses val="autoZero"/>
        <c:auto val="1"/>
        <c:lblAlgn val="ctr"/>
        <c:lblOffset val="100"/>
        <c:noMultiLvlLbl val="0"/>
      </c:catAx>
      <c:valAx>
        <c:axId val="139129344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extTo"/>
        <c:crossAx val="138987520"/>
        <c:crosses val="autoZero"/>
        <c:crossBetween val="between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chart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chart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chart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17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3" workbookViewId="0" zoomToFit="1"/>
  </sheetViews>
  <pageMargins left="0.7" right="0.7" top="0.75" bottom="0.75" header="0.3" footer="0.3"/>
  <drawing r:id="rId1"/>
</chartsheet>
</file>

<file path=xl/chartsheets/sheet19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8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3" workbookViewId="0" zoomToFit="1"/>
  </sheetViews>
  <pageMargins left="0.7" right="0.7" top="0.75" bottom="0.75" header="0.3" footer="0.3"/>
  <drawing r:id="rId1"/>
</chartsheet>
</file>

<file path=xl/chartsheets/sheet21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3" workbookViewId="0" zoomToFit="1"/>
  </sheetViews>
  <pageMargins left="0.7" right="0.7" top="0.75" bottom="0.75" header="0.3" footer="0.3"/>
  <drawing r:id="rId1"/>
</chartsheet>
</file>

<file path=xl/chartsheets/sheet22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9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15</xdr:row>
      <xdr:rowOff>140516</xdr:rowOff>
    </xdr:from>
    <xdr:to>
      <xdr:col>12</xdr:col>
      <xdr:colOff>733424</xdr:colOff>
      <xdr:row>28</xdr:row>
      <xdr:rowOff>142873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350" t="33228" r="9641" b="28435"/>
        <a:stretch/>
      </xdr:blipFill>
      <xdr:spPr>
        <a:xfrm>
          <a:off x="247649" y="2750366"/>
          <a:ext cx="8277225" cy="247885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64677" cy="6288548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8664677" cy="6288548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214312</xdr:colOff>
      <xdr:row>0</xdr:row>
      <xdr:rowOff>130968</xdr:rowOff>
    </xdr:from>
    <xdr:to>
      <xdr:col>25</xdr:col>
      <xdr:colOff>130969</xdr:colOff>
      <xdr:row>28</xdr:row>
      <xdr:rowOff>119063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214310</xdr:colOff>
      <xdr:row>30</xdr:row>
      <xdr:rowOff>0</xdr:rowOff>
    </xdr:from>
    <xdr:to>
      <xdr:col>25</xdr:col>
      <xdr:colOff>130968</xdr:colOff>
      <xdr:row>56</xdr:row>
      <xdr:rowOff>107157</xdr:rowOff>
    </xdr:to>
    <xdr:grpSp>
      <xdr:nvGrpSpPr>
        <xdr:cNvPr id="5" name="4 Grupo"/>
        <xdr:cNvGrpSpPr/>
      </xdr:nvGrpSpPr>
      <xdr:grpSpPr>
        <a:xfrm>
          <a:off x="9322591" y="5715000"/>
          <a:ext cx="7572377" cy="5060157"/>
          <a:chOff x="9322591" y="5715000"/>
          <a:chExt cx="7572377" cy="5060157"/>
        </a:xfrm>
      </xdr:grpSpPr>
      <xdr:graphicFrame macro="">
        <xdr:nvGraphicFramePr>
          <xdr:cNvPr id="3" name="2 Gráfico"/>
          <xdr:cNvGraphicFramePr/>
        </xdr:nvGraphicFramePr>
        <xdr:xfrm>
          <a:off x="9322591" y="5715000"/>
          <a:ext cx="7572377" cy="50601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11620501" y="6393655"/>
            <a:ext cx="964406" cy="44053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CO" sz="1050" b="1" i="1">
                <a:solidFill>
                  <a:schemeClr val="tx2"/>
                </a:solidFill>
              </a:rPr>
              <a:t>Precio Acción</a:t>
            </a:r>
          </a:p>
          <a:p>
            <a:pPr algn="ctr"/>
            <a:r>
              <a:rPr lang="es-CO" sz="1050" b="1" i="1">
                <a:solidFill>
                  <a:schemeClr val="tx2"/>
                </a:solidFill>
              </a:rPr>
              <a:t>$1,287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8664677" cy="6288548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8681983" cy="6295259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8664677" cy="6288548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8664677" cy="6288548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0.87107</cdr:x>
      <cdr:y>0.19075</cdr:y>
    </cdr:from>
    <cdr:to>
      <cdr:x>0.99686</cdr:x>
      <cdr:y>0.27353</cdr:y>
    </cdr:to>
    <cdr:sp macro="" textlink="">
      <cdr:nvSpPr>
        <cdr:cNvPr id="2" name="3 CuadroTexto"/>
        <cdr:cNvSpPr txBox="1"/>
      </cdr:nvSpPr>
      <cdr:spPr>
        <a:xfrm xmlns:a="http://schemas.openxmlformats.org/drawingml/2006/main">
          <a:off x="6596063" y="1015206"/>
          <a:ext cx="952500" cy="44053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Precio Acción</a:t>
          </a:r>
        </a:p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$1,220</a:t>
          </a:r>
        </a:p>
      </cdr:txBody>
    </cdr:sp>
  </cdr:relSizeAnchor>
  <cdr:relSizeAnchor xmlns:cdr="http://schemas.openxmlformats.org/drawingml/2006/chartDrawing">
    <cdr:from>
      <cdr:x>0.71426</cdr:x>
      <cdr:y>0.37196</cdr:y>
    </cdr:from>
    <cdr:to>
      <cdr:x>0.84004</cdr:x>
      <cdr:y>0.45474</cdr:y>
    </cdr:to>
    <cdr:sp macro="" textlink="">
      <cdr:nvSpPr>
        <cdr:cNvPr id="3" name="3 CuadroTexto"/>
        <cdr:cNvSpPr txBox="1"/>
      </cdr:nvSpPr>
      <cdr:spPr>
        <a:xfrm xmlns:a="http://schemas.openxmlformats.org/drawingml/2006/main">
          <a:off x="5408612" y="1979612"/>
          <a:ext cx="952500" cy="44053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Precio Acción</a:t>
          </a:r>
        </a:p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$1,179</a:t>
          </a:r>
        </a:p>
      </cdr:txBody>
    </cdr:sp>
  </cdr:relSizeAnchor>
  <cdr:relSizeAnchor xmlns:cdr="http://schemas.openxmlformats.org/drawingml/2006/chartDrawing">
    <cdr:from>
      <cdr:x>0.5413</cdr:x>
      <cdr:y>0.55093</cdr:y>
    </cdr:from>
    <cdr:to>
      <cdr:x>0.66709</cdr:x>
      <cdr:y>0.63371</cdr:y>
    </cdr:to>
    <cdr:sp macro="" textlink="">
      <cdr:nvSpPr>
        <cdr:cNvPr id="5" name="3 CuadroTexto"/>
        <cdr:cNvSpPr txBox="1"/>
      </cdr:nvSpPr>
      <cdr:spPr>
        <a:xfrm xmlns:a="http://schemas.openxmlformats.org/drawingml/2006/main">
          <a:off x="4098925" y="2932113"/>
          <a:ext cx="952500" cy="44053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Precio Acción</a:t>
          </a:r>
        </a:p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$1,142</a:t>
          </a:r>
        </a:p>
      </cdr:txBody>
    </cdr:sp>
  </cdr:relSizeAnchor>
  <cdr:relSizeAnchor xmlns:cdr="http://schemas.openxmlformats.org/drawingml/2006/chartDrawing">
    <cdr:from>
      <cdr:x>0.36992</cdr:x>
      <cdr:y>0.70753</cdr:y>
    </cdr:from>
    <cdr:to>
      <cdr:x>0.4957</cdr:x>
      <cdr:y>0.79031</cdr:y>
    </cdr:to>
    <cdr:sp macro="" textlink="">
      <cdr:nvSpPr>
        <cdr:cNvPr id="7" name="3 CuadroTexto"/>
        <cdr:cNvSpPr txBox="1"/>
      </cdr:nvSpPr>
      <cdr:spPr>
        <a:xfrm xmlns:a="http://schemas.openxmlformats.org/drawingml/2006/main">
          <a:off x="2801144" y="3765549"/>
          <a:ext cx="952500" cy="44053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Precio Acción</a:t>
          </a:r>
        </a:p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$1,109</a:t>
          </a:r>
        </a:p>
      </cdr:txBody>
    </cdr:sp>
  </cdr:relSizeAnchor>
  <cdr:relSizeAnchor xmlns:cdr="http://schemas.openxmlformats.org/drawingml/2006/chartDrawing">
    <cdr:from>
      <cdr:x>0.14822</cdr:x>
      <cdr:y>0.68292</cdr:y>
    </cdr:from>
    <cdr:to>
      <cdr:x>0.274</cdr:x>
      <cdr:y>0.7657</cdr:y>
    </cdr:to>
    <cdr:sp macro="" textlink="">
      <cdr:nvSpPr>
        <cdr:cNvPr id="9" name="3 CuadroTexto"/>
        <cdr:cNvSpPr txBox="1"/>
      </cdr:nvSpPr>
      <cdr:spPr>
        <a:xfrm xmlns:a="http://schemas.openxmlformats.org/drawingml/2006/main">
          <a:off x="1122362" y="3634580"/>
          <a:ext cx="952500" cy="44053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Precio Acción</a:t>
          </a:r>
        </a:p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$1,078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0.65566</cdr:x>
      <cdr:y>0.76769</cdr:y>
    </cdr:from>
    <cdr:to>
      <cdr:x>0.7783</cdr:x>
      <cdr:y>0.85475</cdr:y>
    </cdr:to>
    <cdr:sp macro="" textlink="">
      <cdr:nvSpPr>
        <cdr:cNvPr id="3" name="3 CuadroTexto"/>
        <cdr:cNvSpPr txBox="1"/>
      </cdr:nvSpPr>
      <cdr:spPr>
        <a:xfrm xmlns:a="http://schemas.openxmlformats.org/drawingml/2006/main">
          <a:off x="4964909" y="3884613"/>
          <a:ext cx="928687" cy="44053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Precio Acción</a:t>
          </a:r>
        </a:p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$1,080</a:t>
          </a:r>
        </a:p>
      </cdr:txBody>
    </cdr:sp>
  </cdr:relSizeAnchor>
  <cdr:relSizeAnchor xmlns:cdr="http://schemas.openxmlformats.org/drawingml/2006/chartDrawing">
    <cdr:from>
      <cdr:x>0.64308</cdr:x>
      <cdr:y>0.51357</cdr:y>
    </cdr:from>
    <cdr:to>
      <cdr:x>0.77044</cdr:x>
      <cdr:y>0.60063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4869659" y="2598737"/>
          <a:ext cx="964406" cy="44053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Precio Acción</a:t>
          </a:r>
        </a:p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$1,142</a:t>
          </a:r>
        </a:p>
      </cdr:txBody>
    </cdr:sp>
  </cdr:relSizeAnchor>
  <cdr:relSizeAnchor xmlns:cdr="http://schemas.openxmlformats.org/drawingml/2006/chartDrawing">
    <cdr:from>
      <cdr:x>0.47524</cdr:x>
      <cdr:y>0.32769</cdr:y>
    </cdr:from>
    <cdr:to>
      <cdr:x>0.59748</cdr:x>
      <cdr:y>0.41475</cdr:y>
    </cdr:to>
    <cdr:sp macro="" textlink="">
      <cdr:nvSpPr>
        <cdr:cNvPr id="5" name="3 CuadroTexto"/>
        <cdr:cNvSpPr txBox="1"/>
      </cdr:nvSpPr>
      <cdr:spPr>
        <a:xfrm xmlns:a="http://schemas.openxmlformats.org/drawingml/2006/main">
          <a:off x="3598693" y="1658144"/>
          <a:ext cx="925685" cy="44053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Precio Acción</a:t>
          </a:r>
        </a:p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$1,211</a:t>
          </a:r>
        </a:p>
      </cdr:txBody>
    </cdr:sp>
  </cdr:relSizeAnchor>
  <cdr:relSizeAnchor xmlns:cdr="http://schemas.openxmlformats.org/drawingml/2006/chartDrawing">
    <cdr:from>
      <cdr:x>0.86006</cdr:x>
      <cdr:y>0.71592</cdr:y>
    </cdr:from>
    <cdr:to>
      <cdr:x>0.99089</cdr:x>
      <cdr:y>0.80298</cdr:y>
    </cdr:to>
    <cdr:sp macro="" textlink="">
      <cdr:nvSpPr>
        <cdr:cNvPr id="6" name="3 CuadroTexto"/>
        <cdr:cNvSpPr txBox="1"/>
      </cdr:nvSpPr>
      <cdr:spPr>
        <a:xfrm xmlns:a="http://schemas.openxmlformats.org/drawingml/2006/main">
          <a:off x="6512720" y="3622675"/>
          <a:ext cx="990673" cy="44053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Precio Acción</a:t>
          </a:r>
        </a:p>
        <a:p xmlns:a="http://schemas.openxmlformats.org/drawingml/2006/main">
          <a:pPr algn="ctr"/>
          <a:r>
            <a:rPr lang="es-CO" sz="1050" b="1" i="1">
              <a:solidFill>
                <a:schemeClr val="tx2"/>
              </a:solidFill>
            </a:rPr>
            <a:t>$1,024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</xdr:row>
      <xdr:rowOff>9525</xdr:rowOff>
    </xdr:from>
    <xdr:to>
      <xdr:col>14</xdr:col>
      <xdr:colOff>400050</xdr:colOff>
      <xdr:row>24</xdr:row>
      <xdr:rowOff>123825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rtiz/AppData/Local/Microsoft/Windows/Temporary%20Internet%20Files/Content.IE5/66LKL6TU/Archivos/(DE-MN-03-FT-03)%20Modelo%20Financi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OPEX"/>
      <sheetName val="CAPEX"/>
      <sheetName val="Ingresos"/>
      <sheetName val="P&amp;G"/>
      <sheetName val="FCL"/>
      <sheetName val="Balance"/>
    </sheetNames>
    <sheetDataSet>
      <sheetData sheetId="0">
        <row r="10">
          <cell r="B10">
            <v>0</v>
          </cell>
          <cell r="C10">
            <v>0</v>
          </cell>
          <cell r="D10">
            <v>0</v>
          </cell>
          <cell r="E10">
            <v>2.5999999999999999E-2</v>
          </cell>
          <cell r="F10">
            <v>3.56E-2</v>
          </cell>
          <cell r="G10">
            <v>3.0599999999999999E-2</v>
          </cell>
          <cell r="H10">
            <v>3.1399999999999997E-2</v>
          </cell>
          <cell r="I10">
            <v>3.1E-2</v>
          </cell>
          <cell r="J10">
            <v>3.0599999999999999E-2</v>
          </cell>
          <cell r="K10">
            <v>3.0599999999999999E-2</v>
          </cell>
        </row>
        <row r="11"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1.026</v>
          </cell>
          <cell r="G11">
            <v>1.0625256000000001</v>
          </cell>
          <cell r="H11">
            <v>1.09503888336</v>
          </cell>
          <cell r="I11">
            <v>1.129423104297504</v>
          </cell>
          <cell r="J11">
            <v>1.1644352205307265</v>
          </cell>
          <cell r="K11">
            <v>1.2000669382789666</v>
          </cell>
          <cell r="L11">
            <v>1.236788986590303</v>
          </cell>
        </row>
      </sheetData>
      <sheetData sheetId="1"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5</v>
          </cell>
          <cell r="F32">
            <v>5</v>
          </cell>
          <cell r="G32">
            <v>9</v>
          </cell>
          <cell r="H32">
            <v>4</v>
          </cell>
          <cell r="I32">
            <v>4</v>
          </cell>
          <cell r="J32">
            <v>4</v>
          </cell>
          <cell r="K32">
            <v>4</v>
          </cell>
          <cell r="L32">
            <v>4</v>
          </cell>
        </row>
      </sheetData>
      <sheetData sheetId="2"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investigaciones.bancolombia.com/inveconomicas/informes/PDF.aspx?IdDoc=3003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0"/>
  <sheetViews>
    <sheetView workbookViewId="0">
      <selection activeCell="E14" sqref="E14"/>
    </sheetView>
  </sheetViews>
  <sheetFormatPr baseColWidth="10" defaultRowHeight="15" x14ac:dyDescent="0.25"/>
  <cols>
    <col min="1" max="1" width="4" style="73" customWidth="1"/>
    <col min="2" max="2" width="37.7109375" style="73" bestFit="1" customWidth="1"/>
    <col min="3" max="3" width="6.140625" style="73" bestFit="1" customWidth="1"/>
    <col min="4" max="4" width="6.85546875" style="73" bestFit="1" customWidth="1"/>
    <col min="5" max="5" width="6.140625" style="73" bestFit="1" customWidth="1"/>
    <col min="6" max="6" width="7.140625" style="73" bestFit="1" customWidth="1"/>
    <col min="7" max="12" width="8.140625" style="73" bestFit="1" customWidth="1"/>
    <col min="13" max="16384" width="11.42578125" style="73"/>
  </cols>
  <sheetData>
    <row r="1" spans="2:13" ht="13.5" customHeight="1" x14ac:dyDescent="0.25"/>
    <row r="2" spans="2:13" s="74" customFormat="1" ht="13.5" customHeight="1" x14ac:dyDescent="0.25"/>
    <row r="3" spans="2:13" s="74" customFormat="1" ht="13.5" customHeight="1" x14ac:dyDescent="0.25">
      <c r="B3" s="74" t="s">
        <v>279</v>
      </c>
      <c r="C3" s="159">
        <v>2011</v>
      </c>
      <c r="D3" s="159">
        <v>2012</v>
      </c>
      <c r="E3" s="159">
        <v>2013</v>
      </c>
      <c r="F3" s="159">
        <v>2014</v>
      </c>
      <c r="G3" s="159">
        <v>2015</v>
      </c>
      <c r="H3" s="159">
        <v>2016</v>
      </c>
      <c r="I3" s="159">
        <v>2017</v>
      </c>
      <c r="J3" s="159">
        <v>2018</v>
      </c>
      <c r="K3" s="160">
        <v>2019</v>
      </c>
      <c r="L3" s="160">
        <v>2020</v>
      </c>
      <c r="M3" s="158" t="s">
        <v>385</v>
      </c>
    </row>
    <row r="4" spans="2:13" ht="13.5" customHeight="1" x14ac:dyDescent="0.25">
      <c r="B4" s="157" t="s">
        <v>239</v>
      </c>
      <c r="C4" s="285">
        <v>6.6000000000000003E-2</v>
      </c>
      <c r="D4" s="285">
        <v>0.04</v>
      </c>
      <c r="E4" s="285">
        <v>3.7999999999999999E-2</v>
      </c>
      <c r="F4" s="285">
        <v>4.3999999999999997E-2</v>
      </c>
      <c r="G4" s="285">
        <v>4.58E-2</v>
      </c>
      <c r="H4" s="285">
        <v>4.4400000000000002E-2</v>
      </c>
      <c r="I4" s="285">
        <v>4.6600000000000003E-2</v>
      </c>
      <c r="J4" s="285">
        <v>4.7E-2</v>
      </c>
      <c r="K4" s="286">
        <f t="shared" ref="K4:L6" si="0">+J4</f>
        <v>4.7E-2</v>
      </c>
      <c r="L4" s="286">
        <f t="shared" si="0"/>
        <v>4.7E-2</v>
      </c>
      <c r="M4" s="302">
        <f>+AVERAGE(E4:L4)</f>
        <v>4.4974999999999994E-2</v>
      </c>
    </row>
    <row r="5" spans="2:13" ht="13.5" customHeight="1" x14ac:dyDescent="0.25">
      <c r="B5" s="157" t="s">
        <v>240</v>
      </c>
      <c r="C5" s="285">
        <v>3.73E-2</v>
      </c>
      <c r="D5" s="285">
        <v>2.4400000000000002E-2</v>
      </c>
      <c r="E5" s="285">
        <v>2.5999999999999999E-2</v>
      </c>
      <c r="F5" s="285">
        <v>3.56E-2</v>
      </c>
      <c r="G5" s="285">
        <v>3.0599999999999999E-2</v>
      </c>
      <c r="H5" s="285">
        <v>3.1399999999999997E-2</v>
      </c>
      <c r="I5" s="285">
        <v>3.1E-2</v>
      </c>
      <c r="J5" s="285">
        <v>3.0599999999999999E-2</v>
      </c>
      <c r="K5" s="286">
        <f t="shared" si="0"/>
        <v>3.0599999999999999E-2</v>
      </c>
      <c r="L5" s="286">
        <f t="shared" si="0"/>
        <v>3.0599999999999999E-2</v>
      </c>
      <c r="M5" s="302">
        <f>+AVERAGE(E5:L5)</f>
        <v>3.0799999999999998E-2</v>
      </c>
    </row>
    <row r="6" spans="2:13" s="74" customFormat="1" ht="13.5" customHeight="1" x14ac:dyDescent="0.25">
      <c r="B6" s="157" t="s">
        <v>238</v>
      </c>
      <c r="C6" s="285">
        <v>5.5100000000000003E-2</v>
      </c>
      <c r="D6" s="285">
        <v>-2.9499999999999998E-2</v>
      </c>
      <c r="E6" s="285">
        <v>1.8700000000000001E-2</v>
      </c>
      <c r="F6" s="285">
        <v>2.7099999999999999E-2</v>
      </c>
      <c r="G6" s="285">
        <v>3.5099999999999999E-2</v>
      </c>
      <c r="H6" s="285">
        <v>3.7199999999999997E-2</v>
      </c>
      <c r="I6" s="285">
        <v>3.7999999999999999E-2</v>
      </c>
      <c r="J6" s="285">
        <v>3.5000000000000003E-2</v>
      </c>
      <c r="K6" s="286">
        <f t="shared" si="0"/>
        <v>3.5000000000000003E-2</v>
      </c>
      <c r="L6" s="286">
        <f t="shared" si="0"/>
        <v>3.5000000000000003E-2</v>
      </c>
      <c r="M6" s="302">
        <f>+AVERAGE(E6:L6)</f>
        <v>3.26375E-2</v>
      </c>
    </row>
    <row r="7" spans="2:13" s="74" customFormat="1" ht="13.5" customHeight="1" x14ac:dyDescent="0.25"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8" spans="2:13" s="74" customFormat="1" ht="13.5" customHeight="1" x14ac:dyDescent="0.25">
      <c r="B8" s="157" t="s">
        <v>379</v>
      </c>
      <c r="C8" s="281"/>
      <c r="D8" s="158"/>
      <c r="E8" s="282">
        <v>1</v>
      </c>
      <c r="F8" s="284">
        <f t="shared" ref="F8:L8" si="1">+E8*(1+E5)</f>
        <v>1.026</v>
      </c>
      <c r="G8" s="285">
        <f t="shared" si="1"/>
        <v>1.0625256000000001</v>
      </c>
      <c r="H8" s="285">
        <f t="shared" si="1"/>
        <v>1.09503888336</v>
      </c>
      <c r="I8" s="285">
        <f t="shared" si="1"/>
        <v>1.129423104297504</v>
      </c>
      <c r="J8" s="285">
        <f t="shared" si="1"/>
        <v>1.1644352205307265</v>
      </c>
      <c r="K8" s="285">
        <f t="shared" si="1"/>
        <v>1.2000669382789666</v>
      </c>
      <c r="L8" s="285">
        <f t="shared" si="1"/>
        <v>1.236788986590303</v>
      </c>
    </row>
    <row r="9" spans="2:13" s="74" customFormat="1" ht="13.5" customHeight="1" x14ac:dyDescent="0.25">
      <c r="B9" s="157" t="s">
        <v>241</v>
      </c>
      <c r="C9" s="282">
        <v>0.33</v>
      </c>
      <c r="D9" s="282">
        <v>0.33</v>
      </c>
      <c r="E9" s="282">
        <v>0.33</v>
      </c>
      <c r="F9" s="282">
        <v>0.33</v>
      </c>
      <c r="G9" s="282">
        <v>0.33</v>
      </c>
      <c r="H9" s="282">
        <v>0.33</v>
      </c>
      <c r="I9" s="282">
        <v>0.33</v>
      </c>
      <c r="J9" s="282">
        <v>0.33</v>
      </c>
      <c r="K9" s="282">
        <f>+J9</f>
        <v>0.33</v>
      </c>
      <c r="L9" s="282">
        <f>+K9</f>
        <v>0.33</v>
      </c>
    </row>
    <row r="10" spans="2:13" ht="13.5" customHeight="1" x14ac:dyDescent="0.25">
      <c r="B10" s="157" t="s">
        <v>242</v>
      </c>
      <c r="C10" s="287">
        <v>0.151</v>
      </c>
      <c r="D10" s="287">
        <v>0.151</v>
      </c>
      <c r="E10" s="287">
        <v>0.151</v>
      </c>
      <c r="F10" s="287">
        <v>0.151</v>
      </c>
      <c r="G10" s="287">
        <v>0.151</v>
      </c>
      <c r="H10" s="287">
        <v>0.151</v>
      </c>
      <c r="I10" s="287">
        <v>0.151</v>
      </c>
      <c r="J10" s="287">
        <v>0.151</v>
      </c>
      <c r="K10" s="287">
        <f>+J10</f>
        <v>0.151</v>
      </c>
      <c r="L10" s="287">
        <f>+K10</f>
        <v>0.151</v>
      </c>
    </row>
    <row r="11" spans="2:13" ht="13.5" customHeight="1" x14ac:dyDescent="0.25">
      <c r="B11" s="157" t="s">
        <v>454</v>
      </c>
      <c r="C11" s="157"/>
      <c r="D11" s="157"/>
      <c r="E11" s="284">
        <f>+M4</f>
        <v>4.4974999999999994E-2</v>
      </c>
      <c r="F11" s="157"/>
      <c r="G11" s="157"/>
      <c r="H11" s="157"/>
      <c r="I11" s="157"/>
      <c r="J11" s="157"/>
      <c r="K11" s="157"/>
      <c r="L11" s="157"/>
    </row>
    <row r="12" spans="2:13" ht="13.5" customHeight="1" x14ac:dyDescent="0.25">
      <c r="B12" s="157" t="s">
        <v>263</v>
      </c>
      <c r="C12" s="282">
        <v>0.1</v>
      </c>
      <c r="D12" s="282">
        <v>0.1</v>
      </c>
      <c r="E12" s="282">
        <v>0.1</v>
      </c>
      <c r="F12" s="282">
        <v>0.1</v>
      </c>
      <c r="G12" s="282">
        <v>0.1</v>
      </c>
      <c r="H12" s="282">
        <v>0.1</v>
      </c>
      <c r="I12" s="282">
        <v>0.1</v>
      </c>
      <c r="J12" s="282">
        <v>0.1</v>
      </c>
      <c r="K12" s="282">
        <v>0.1</v>
      </c>
      <c r="L12" s="282">
        <v>0.1</v>
      </c>
    </row>
    <row r="13" spans="2:13" ht="13.5" customHeight="1" x14ac:dyDescent="0.25">
      <c r="B13" s="157" t="s">
        <v>264</v>
      </c>
      <c r="C13" s="283" t="s">
        <v>265</v>
      </c>
      <c r="D13" s="283" t="s">
        <v>265</v>
      </c>
      <c r="E13" s="282">
        <v>0</v>
      </c>
      <c r="F13" s="282">
        <v>0</v>
      </c>
      <c r="G13" s="282">
        <v>0</v>
      </c>
      <c r="H13" s="285">
        <v>0.6</v>
      </c>
      <c r="I13" s="285">
        <v>0.7</v>
      </c>
      <c r="J13" s="285">
        <v>0.8</v>
      </c>
      <c r="K13" s="285">
        <v>0.9</v>
      </c>
      <c r="L13" s="285">
        <v>1</v>
      </c>
    </row>
    <row r="16" spans="2:13" s="74" customFormat="1" x14ac:dyDescent="0.25"/>
    <row r="20" spans="2:19" x14ac:dyDescent="0.25">
      <c r="R20" s="373"/>
      <c r="S20" s="373"/>
    </row>
    <row r="30" spans="2:19" x14ac:dyDescent="0.25">
      <c r="B30" s="288" t="s">
        <v>380</v>
      </c>
    </row>
  </sheetData>
  <hyperlinks>
    <hyperlink ref="B30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N244"/>
  <sheetViews>
    <sheetView showGridLines="0" zoomScale="80" zoomScaleNormal="80" workbookViewId="0">
      <pane xSplit="3" ySplit="5" topLeftCell="D234" activePane="bottomRight" state="frozen"/>
      <selection pane="topRight" activeCell="D1" sqref="D1"/>
      <selection pane="bottomLeft" activeCell="A6" sqref="A6"/>
      <selection pane="bottomRight" activeCell="G247" sqref="G247"/>
    </sheetView>
  </sheetViews>
  <sheetFormatPr baseColWidth="10" defaultColWidth="19.42578125" defaultRowHeight="15" x14ac:dyDescent="0.25"/>
  <cols>
    <col min="1" max="1" width="3.7109375" style="1" customWidth="1"/>
    <col min="2" max="2" width="62" style="1" customWidth="1"/>
    <col min="3" max="3" width="7.28515625" style="1" bestFit="1" customWidth="1"/>
    <col min="4" max="4" width="13" style="1" bestFit="1" customWidth="1"/>
    <col min="5" max="5" width="12.28515625" style="1" bestFit="1" customWidth="1"/>
    <col min="6" max="6" width="11.5703125" style="3" bestFit="1" customWidth="1"/>
    <col min="7" max="7" width="12.28515625" style="3" customWidth="1"/>
    <col min="8" max="8" width="11.5703125" style="1" bestFit="1" customWidth="1"/>
    <col min="9" max="9" width="12.28515625" style="1" customWidth="1"/>
    <col min="10" max="10" width="11.5703125" style="1" bestFit="1" customWidth="1"/>
    <col min="11" max="11" width="12.28515625" style="1" customWidth="1"/>
    <col min="12" max="12" width="11.5703125" style="1" bestFit="1" customWidth="1"/>
    <col min="13" max="13" width="12.28515625" style="1" customWidth="1"/>
    <col min="14" max="14" width="10.85546875" style="1" customWidth="1"/>
    <col min="15" max="15" width="8.28515625" style="1" customWidth="1"/>
    <col min="16" max="16" width="10.85546875" style="1" customWidth="1"/>
    <col min="17" max="17" width="8.28515625" style="1" customWidth="1"/>
    <col min="18" max="18" width="11.5703125" style="1" customWidth="1"/>
    <col min="19" max="19" width="8.28515625" style="1" customWidth="1"/>
    <col min="20" max="20" width="11.7109375" style="1" customWidth="1"/>
    <col min="21" max="21" width="8.28515625" style="1" customWidth="1"/>
    <col min="22" max="22" width="11.7109375" style="1" customWidth="1"/>
    <col min="23" max="23" width="8.28515625" style="1" customWidth="1"/>
    <col min="24" max="24" width="8" style="1" bestFit="1" customWidth="1"/>
    <col min="25" max="25" width="9.5703125" style="1" customWidth="1"/>
    <col min="26" max="26" width="1.85546875" style="1" customWidth="1"/>
    <col min="27" max="27" width="6.140625" style="1" customWidth="1"/>
    <col min="28" max="35" width="9.42578125" style="1" customWidth="1"/>
    <col min="36" max="36" width="7.7109375" style="1" customWidth="1"/>
    <col min="37" max="37" width="9.140625" style="1" customWidth="1"/>
    <col min="38" max="38" width="9.42578125" style="1" bestFit="1" customWidth="1"/>
    <col min="39" max="39" width="3" style="1" customWidth="1"/>
    <col min="40" max="40" width="14.140625" style="1" bestFit="1" customWidth="1"/>
    <col min="41" max="5020" width="10.42578125" style="1" customWidth="1"/>
    <col min="5021" max="16384" width="19.42578125" style="1"/>
  </cols>
  <sheetData>
    <row r="2" spans="2:40" ht="18.75" x14ac:dyDescent="0.25">
      <c r="B2" s="31" t="s">
        <v>180</v>
      </c>
    </row>
    <row r="3" spans="2:40" x14ac:dyDescent="0.25">
      <c r="B3" s="54" t="s">
        <v>206</v>
      </c>
    </row>
    <row r="4" spans="2:40" x14ac:dyDescent="0.25">
      <c r="B4" s="28" t="s">
        <v>175</v>
      </c>
      <c r="C4" s="29"/>
      <c r="D4" s="384" t="s">
        <v>1</v>
      </c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86"/>
      <c r="X4" s="147"/>
      <c r="Y4" s="147"/>
      <c r="AA4" s="386" t="s">
        <v>176</v>
      </c>
      <c r="AB4" s="387"/>
      <c r="AC4" s="387"/>
      <c r="AD4" s="387"/>
      <c r="AE4" s="387"/>
      <c r="AF4" s="387"/>
      <c r="AG4" s="387"/>
      <c r="AH4" s="387"/>
      <c r="AI4" s="387"/>
      <c r="AJ4" s="387"/>
      <c r="AK4" s="387"/>
      <c r="AL4" s="388"/>
      <c r="AN4" s="130" t="s">
        <v>225</v>
      </c>
    </row>
    <row r="5" spans="2:40" ht="33.75" x14ac:dyDescent="0.25">
      <c r="C5" s="4" t="s">
        <v>0</v>
      </c>
      <c r="D5" s="26">
        <v>2003</v>
      </c>
      <c r="E5" s="83" t="s">
        <v>209</v>
      </c>
      <c r="F5" s="26">
        <v>2004</v>
      </c>
      <c r="G5" s="83" t="s">
        <v>209</v>
      </c>
      <c r="H5" s="26">
        <v>2005</v>
      </c>
      <c r="I5" s="83" t="s">
        <v>209</v>
      </c>
      <c r="J5" s="26">
        <v>2006</v>
      </c>
      <c r="K5" s="83" t="s">
        <v>209</v>
      </c>
      <c r="L5" s="26">
        <v>2007</v>
      </c>
      <c r="M5" s="83" t="s">
        <v>209</v>
      </c>
      <c r="N5" s="95">
        <v>2008</v>
      </c>
      <c r="O5" s="83" t="s">
        <v>209</v>
      </c>
      <c r="P5" s="26">
        <v>2009</v>
      </c>
      <c r="Q5" s="83" t="s">
        <v>209</v>
      </c>
      <c r="R5" s="26">
        <v>2010</v>
      </c>
      <c r="S5" s="83" t="s">
        <v>209</v>
      </c>
      <c r="T5" s="26">
        <v>2011</v>
      </c>
      <c r="U5" s="83" t="s">
        <v>209</v>
      </c>
      <c r="V5" s="26">
        <v>2012</v>
      </c>
      <c r="W5" s="83" t="s">
        <v>209</v>
      </c>
      <c r="X5" s="175" t="s">
        <v>243</v>
      </c>
      <c r="Y5" s="175" t="s">
        <v>244</v>
      </c>
      <c r="AA5" s="26">
        <v>2003</v>
      </c>
      <c r="AB5" s="26">
        <v>2004</v>
      </c>
      <c r="AC5" s="26">
        <v>2005</v>
      </c>
      <c r="AD5" s="26">
        <v>2006</v>
      </c>
      <c r="AE5" s="26">
        <v>2007</v>
      </c>
      <c r="AF5" s="26">
        <v>2008</v>
      </c>
      <c r="AG5" s="26">
        <v>2009</v>
      </c>
      <c r="AH5" s="26">
        <v>2010</v>
      </c>
      <c r="AI5" s="26">
        <v>2011</v>
      </c>
      <c r="AJ5" s="26">
        <v>2012</v>
      </c>
      <c r="AK5" s="175" t="s">
        <v>243</v>
      </c>
      <c r="AL5" s="175" t="s">
        <v>244</v>
      </c>
      <c r="AN5" s="131">
        <v>2012</v>
      </c>
    </row>
    <row r="6" spans="2:40" x14ac:dyDescent="0.25">
      <c r="B6" s="9" t="s">
        <v>179</v>
      </c>
      <c r="C6" s="13">
        <v>100000</v>
      </c>
      <c r="D6" s="17">
        <f t="shared" ref="D6:R6" si="0">+D7+D12+D39+D55+D67+D70+D74+D63</f>
        <v>21498.610000000004</v>
      </c>
      <c r="E6" s="88">
        <f>+E7+E12+E39+E55+E63+E67+E70+E74</f>
        <v>0.99999999999999978</v>
      </c>
      <c r="F6" s="17">
        <f t="shared" si="0"/>
        <v>23105.050000000003</v>
      </c>
      <c r="G6" s="88">
        <f>+G7+G12+G39+G55+G63+G67+G70+G74</f>
        <v>0.99999999999999978</v>
      </c>
      <c r="H6" s="17">
        <f t="shared" si="0"/>
        <v>25209.08</v>
      </c>
      <c r="I6" s="88">
        <f>+I7+I12+I39+I55+I63+I67+I70+I74</f>
        <v>1</v>
      </c>
      <c r="J6" s="17">
        <f t="shared" si="0"/>
        <v>18677.21</v>
      </c>
      <c r="K6" s="88">
        <f>+K7+K12+K39+K55+K63+K67+K70+K74</f>
        <v>1</v>
      </c>
      <c r="L6" s="17">
        <f t="shared" si="0"/>
        <v>36354.79</v>
      </c>
      <c r="M6" s="88">
        <f>+M7+M12+M39+M55+M63+M67+M70+M74</f>
        <v>0.99999999999999978</v>
      </c>
      <c r="N6" s="17">
        <f t="shared" si="0"/>
        <v>64249.450000000004</v>
      </c>
      <c r="O6" s="88">
        <f>+O7+O12+O39+O55+O63+O67+O70+O74</f>
        <v>0.99999999999999978</v>
      </c>
      <c r="P6" s="17">
        <f t="shared" si="0"/>
        <v>71295.23</v>
      </c>
      <c r="Q6" s="88">
        <f>+Q7+Q12+Q39+Q55+Q63+Q67+Q70+Q74</f>
        <v>1</v>
      </c>
      <c r="R6" s="17">
        <f t="shared" si="0"/>
        <v>63727.45</v>
      </c>
      <c r="S6" s="88">
        <f>+S7+S12+S39+S55+S63+S67+S70+S74</f>
        <v>1</v>
      </c>
      <c r="T6" s="17">
        <f>+T7+T12+T39+T55+T67+T70+T74+T63</f>
        <v>51089.3</v>
      </c>
      <c r="U6" s="88">
        <f>+U7+U12+U39+U55+U63+U67+U70+U74</f>
        <v>1</v>
      </c>
      <c r="V6" s="17">
        <f>+V7+V12+V39+V55+V67+V70+V74+V63</f>
        <v>54035.829999999994</v>
      </c>
      <c r="W6" s="88">
        <f>+W7+W12+W39+W55+W63+W67+W70+W74</f>
        <v>1.0000000000000002</v>
      </c>
      <c r="X6" s="85">
        <f>+AVERAGE(E6,G6,I6,K6,M6,O6,Q6,S6,U6,W6)</f>
        <v>1</v>
      </c>
      <c r="Y6" s="85">
        <f>+AVERAGE(S6,U6,W6)</f>
        <v>1</v>
      </c>
      <c r="AA6" s="80"/>
      <c r="AB6" s="80">
        <f t="shared" ref="AB6:AB37" si="1">+(F6-D6)/D6</f>
        <v>7.4722970461811172E-2</v>
      </c>
      <c r="AC6" s="80">
        <f t="shared" ref="AC6:AC37" si="2">+(H6-F6)/F6</f>
        <v>9.1063641931092926E-2</v>
      </c>
      <c r="AD6" s="80">
        <f t="shared" ref="AD6:AD37" si="3">+(J6-H6)/H6</f>
        <v>-0.25910782940115235</v>
      </c>
      <c r="AE6" s="80">
        <f t="shared" ref="AE6:AE37" si="4">+(L6-J6)/J6</f>
        <v>0.94647862287782825</v>
      </c>
      <c r="AF6" s="80">
        <f t="shared" ref="AF6:AF37" si="5">+(N6-L6)/L6</f>
        <v>0.76728981242911876</v>
      </c>
      <c r="AG6" s="80">
        <f t="shared" ref="AG6:AG37" si="6">+(P6-N6)/N6</f>
        <v>0.10966288427371738</v>
      </c>
      <c r="AH6" s="80">
        <f t="shared" ref="AH6:AH37" si="7">+(R6-P6)/P6</f>
        <v>-0.10614707323337058</v>
      </c>
      <c r="AI6" s="80">
        <f t="shared" ref="AI6:AI37" si="8">+(T6-R6)/R6</f>
        <v>-0.19831563949287151</v>
      </c>
      <c r="AJ6" s="80">
        <f t="shared" ref="AJ6:AJ37" si="9">+(V6-T6)/T6</f>
        <v>5.7674111800318097E-2</v>
      </c>
      <c r="AK6" s="85">
        <f>+AVERAGE(AB6:AJ6)</f>
        <v>0.16481350018294352</v>
      </c>
      <c r="AL6" s="85">
        <f>+AVERAGE(AH6:AJ6)</f>
        <v>-8.2262866975308005E-2</v>
      </c>
      <c r="AM6" s="25"/>
      <c r="AN6" s="137">
        <v>3930089.4799999995</v>
      </c>
    </row>
    <row r="7" spans="2:40" x14ac:dyDescent="0.25">
      <c r="B7" s="6" t="s">
        <v>2</v>
      </c>
      <c r="C7" s="13">
        <v>110000</v>
      </c>
      <c r="D7" s="17">
        <f t="shared" ref="D7:V7" si="10">+SUM(D8:D11)</f>
        <v>382.5</v>
      </c>
      <c r="E7" s="80">
        <f>+D7/D$6</f>
        <v>1.7791847938075991E-2</v>
      </c>
      <c r="F7" s="17">
        <f t="shared" si="10"/>
        <v>4771.95</v>
      </c>
      <c r="G7" s="80">
        <f>+F7/F$6</f>
        <v>0.20653277097431078</v>
      </c>
      <c r="H7" s="17">
        <f t="shared" si="10"/>
        <v>813.68000000000006</v>
      </c>
      <c r="I7" s="80">
        <f>+H7/H$6</f>
        <v>3.2277258828961632E-2</v>
      </c>
      <c r="J7" s="17">
        <f t="shared" si="10"/>
        <v>848.63</v>
      </c>
      <c r="K7" s="80">
        <f>+J7/J$6</f>
        <v>4.543665783058605E-2</v>
      </c>
      <c r="L7" s="17">
        <f t="shared" si="10"/>
        <v>11062.33</v>
      </c>
      <c r="M7" s="80">
        <f>+L7/L$6</f>
        <v>0.3042881006876948</v>
      </c>
      <c r="N7" s="17">
        <f t="shared" si="10"/>
        <v>21263.360000000001</v>
      </c>
      <c r="O7" s="80">
        <f>+N7/N$6</f>
        <v>0.33095007038970758</v>
      </c>
      <c r="P7" s="17">
        <f t="shared" si="10"/>
        <v>18747.010000000002</v>
      </c>
      <c r="Q7" s="80">
        <f>+P7/P$6</f>
        <v>0.26294900794905918</v>
      </c>
      <c r="R7" s="17">
        <f t="shared" si="10"/>
        <v>6964.7</v>
      </c>
      <c r="S7" s="80">
        <f>+R7/R$6</f>
        <v>0.10928885433200293</v>
      </c>
      <c r="T7" s="17">
        <f t="shared" si="10"/>
        <v>3225.47</v>
      </c>
      <c r="U7" s="80">
        <f>+T7/T$6</f>
        <v>6.3133963471803292E-2</v>
      </c>
      <c r="V7" s="17">
        <f t="shared" si="10"/>
        <v>4655.41</v>
      </c>
      <c r="W7" s="80">
        <f>+V7/V$6</f>
        <v>8.6154131434642539E-2</v>
      </c>
      <c r="X7" s="80">
        <f>+AVERAGE(E7,G7,I7,K7,M7,O7,Q7,S7,U7,W7)</f>
        <v>0.14588026638368451</v>
      </c>
      <c r="Y7" s="80">
        <f>+AVERAGE(S7,U7,W7)</f>
        <v>8.6192316412816258E-2</v>
      </c>
      <c r="AA7" s="80"/>
      <c r="AB7" s="80">
        <f t="shared" si="1"/>
        <v>11.475686274509803</v>
      </c>
      <c r="AC7" s="80">
        <f t="shared" si="2"/>
        <v>-0.82948689738995585</v>
      </c>
      <c r="AD7" s="80">
        <f t="shared" si="3"/>
        <v>4.2953003637793641E-2</v>
      </c>
      <c r="AE7" s="80">
        <f t="shared" si="4"/>
        <v>12.035516067072813</v>
      </c>
      <c r="AF7" s="80">
        <f t="shared" si="5"/>
        <v>0.92214117640677873</v>
      </c>
      <c r="AG7" s="80">
        <f t="shared" si="6"/>
        <v>-0.11834206823380682</v>
      </c>
      <c r="AH7" s="80">
        <f t="shared" si="7"/>
        <v>-0.62849008988633392</v>
      </c>
      <c r="AI7" s="80">
        <f t="shared" si="8"/>
        <v>-0.53688313925940823</v>
      </c>
      <c r="AJ7" s="80">
        <f t="shared" si="9"/>
        <v>0.44332763907275535</v>
      </c>
      <c r="AK7" s="80">
        <f>+AVERAGE(AB7:AJ7)</f>
        <v>2.5340468851033817</v>
      </c>
      <c r="AL7" s="80">
        <f>+AVERAGE(AH7:AJ7)</f>
        <v>-0.24068186335766226</v>
      </c>
      <c r="AN7" s="139">
        <v>286782.61</v>
      </c>
    </row>
    <row r="8" spans="2:40" x14ac:dyDescent="0.25">
      <c r="B8" s="7" t="s">
        <v>3</v>
      </c>
      <c r="C8" s="14">
        <v>110500</v>
      </c>
      <c r="D8" s="19">
        <v>4.97</v>
      </c>
      <c r="E8" s="81">
        <f>+D8/D$7</f>
        <v>1.299346405228758E-2</v>
      </c>
      <c r="F8" s="19">
        <v>406.43</v>
      </c>
      <c r="G8" s="81">
        <f>+F8/F$7</f>
        <v>8.5170632550634437E-2</v>
      </c>
      <c r="H8" s="19">
        <v>6.81</v>
      </c>
      <c r="I8" s="81">
        <f>+H8/H$7</f>
        <v>8.3693835414413512E-3</v>
      </c>
      <c r="J8" s="19">
        <v>16.07</v>
      </c>
      <c r="K8" s="81">
        <f>+J8/J$7</f>
        <v>1.893640337956471E-2</v>
      </c>
      <c r="L8" s="19">
        <v>18.559999999999999</v>
      </c>
      <c r="M8" s="81">
        <f>+L8/L$7</f>
        <v>1.677765895611503E-3</v>
      </c>
      <c r="N8" s="19">
        <v>58.32</v>
      </c>
      <c r="O8" s="81">
        <f>+N8/N$7</f>
        <v>2.7427462075607992E-3</v>
      </c>
      <c r="P8" s="19">
        <v>35.08</v>
      </c>
      <c r="Q8" s="81">
        <f>+P8/P$7</f>
        <v>1.871231732420263E-3</v>
      </c>
      <c r="R8" s="19">
        <v>9.4</v>
      </c>
      <c r="S8" s="81">
        <f>+R8/R$7</f>
        <v>1.3496633020804918E-3</v>
      </c>
      <c r="T8" s="19">
        <v>216</v>
      </c>
      <c r="U8" s="81">
        <f>+T8/T$7</f>
        <v>6.6966984656499681E-2</v>
      </c>
      <c r="V8" s="19">
        <v>114.93</v>
      </c>
      <c r="W8" s="81">
        <f>+V8/V$7</f>
        <v>2.4687406694576849E-2</v>
      </c>
      <c r="X8" s="81">
        <f t="shared" ref="X8:X71" si="11">+AVERAGE(E8,G8,I8,K8,M8,O8,Q8,S8,U8,W8)</f>
        <v>2.2476568201267765E-2</v>
      </c>
      <c r="Y8" s="81">
        <f t="shared" ref="Y8:Y71" si="12">+AVERAGE(S8,U8,W8)</f>
        <v>3.1001351551052339E-2</v>
      </c>
      <c r="AA8" s="81"/>
      <c r="AB8" s="81">
        <f t="shared" si="1"/>
        <v>80.776659959758547</v>
      </c>
      <c r="AC8" s="81">
        <f t="shared" si="2"/>
        <v>-0.98324434712004527</v>
      </c>
      <c r="AD8" s="81">
        <f t="shared" si="3"/>
        <v>1.3597650513950077</v>
      </c>
      <c r="AE8" s="81">
        <f t="shared" si="4"/>
        <v>0.15494710640945852</v>
      </c>
      <c r="AF8" s="81">
        <f t="shared" si="5"/>
        <v>2.1422413793103452</v>
      </c>
      <c r="AG8" s="81">
        <f t="shared" si="6"/>
        <v>-0.3984910836762689</v>
      </c>
      <c r="AH8" s="81">
        <f t="shared" si="7"/>
        <v>-0.73204104903078682</v>
      </c>
      <c r="AI8" s="81">
        <f t="shared" si="8"/>
        <v>21.978723404255319</v>
      </c>
      <c r="AJ8" s="81">
        <f t="shared" si="9"/>
        <v>-0.46791666666666665</v>
      </c>
      <c r="AK8" s="81">
        <f>+AVERAGE(AB8:AJ8)</f>
        <v>11.536738194959433</v>
      </c>
      <c r="AL8" s="81">
        <f>+AVERAGE(AH8:AJ8)</f>
        <v>6.9262552295192883</v>
      </c>
      <c r="AN8" s="128">
        <v>6489.5200000000013</v>
      </c>
    </row>
    <row r="9" spans="2:40" x14ac:dyDescent="0.25">
      <c r="B9" s="7" t="s">
        <v>4</v>
      </c>
      <c r="C9" s="14">
        <v>111000</v>
      </c>
      <c r="D9" s="19">
        <v>122.89</v>
      </c>
      <c r="E9" s="81">
        <f>+D9/D$7</f>
        <v>0.32128104575163396</v>
      </c>
      <c r="F9" s="19">
        <v>207.43</v>
      </c>
      <c r="G9" s="81">
        <f>+F9/F$7</f>
        <v>4.3468602982009455E-2</v>
      </c>
      <c r="H9" s="19">
        <v>367.19</v>
      </c>
      <c r="I9" s="81">
        <f>+H9/H$7</f>
        <v>0.45127076983580766</v>
      </c>
      <c r="J9" s="19">
        <v>193.23</v>
      </c>
      <c r="K9" s="81">
        <f>+J9/J$7</f>
        <v>0.2276964047936085</v>
      </c>
      <c r="L9" s="19">
        <v>43.89</v>
      </c>
      <c r="M9" s="81">
        <f>+L9/L$7</f>
        <v>3.9675185968959525E-3</v>
      </c>
      <c r="N9" s="19">
        <v>93.4</v>
      </c>
      <c r="O9" s="81">
        <f>+N9/N$7</f>
        <v>4.3925325066217196E-3</v>
      </c>
      <c r="P9" s="19">
        <v>333.82</v>
      </c>
      <c r="Q9" s="81">
        <f>+P9/P$7</f>
        <v>1.7806572888156562E-2</v>
      </c>
      <c r="R9" s="19">
        <v>856.38</v>
      </c>
      <c r="S9" s="81">
        <f>+R9/R$7</f>
        <v>0.12296007006762674</v>
      </c>
      <c r="T9" s="19">
        <v>355.99</v>
      </c>
      <c r="U9" s="81">
        <f>+T9/T$7</f>
        <v>0.11036841142531167</v>
      </c>
      <c r="V9" s="19">
        <v>280.41000000000003</v>
      </c>
      <c r="W9" s="81">
        <f>+V9/V$7</f>
        <v>6.0233148100811748E-2</v>
      </c>
      <c r="X9" s="81">
        <f t="shared" si="11"/>
        <v>0.13634450769484838</v>
      </c>
      <c r="Y9" s="81">
        <f t="shared" si="12"/>
        <v>9.785387653125005E-2</v>
      </c>
      <c r="AA9" s="81"/>
      <c r="AB9" s="81">
        <f t="shared" si="1"/>
        <v>0.68793229717633664</v>
      </c>
      <c r="AC9" s="81">
        <f t="shared" si="2"/>
        <v>0.77018753314371102</v>
      </c>
      <c r="AD9" s="81">
        <f t="shared" si="3"/>
        <v>-0.4737601786541028</v>
      </c>
      <c r="AE9" s="81">
        <f t="shared" si="4"/>
        <v>-0.7728613569321533</v>
      </c>
      <c r="AF9" s="81">
        <f t="shared" si="5"/>
        <v>1.128047391205286</v>
      </c>
      <c r="AG9" s="81">
        <f t="shared" si="6"/>
        <v>2.574089935760171</v>
      </c>
      <c r="AH9" s="81">
        <f t="shared" si="7"/>
        <v>1.5653945239949671</v>
      </c>
      <c r="AI9" s="81">
        <f t="shared" si="8"/>
        <v>-0.58430836778065809</v>
      </c>
      <c r="AJ9" s="81">
        <f t="shared" si="9"/>
        <v>-0.21230933453186882</v>
      </c>
      <c r="AK9" s="81">
        <f>+AVERAGE(AB9:AJ9)</f>
        <v>0.52026804926463199</v>
      </c>
      <c r="AL9" s="81">
        <f>+AVERAGE(AH9:AJ9)</f>
        <v>0.25625894056081339</v>
      </c>
      <c r="AN9" s="128">
        <v>98578.37</v>
      </c>
    </row>
    <row r="10" spans="2:40" x14ac:dyDescent="0.25">
      <c r="B10" s="7" t="s">
        <v>5</v>
      </c>
      <c r="C10" s="14">
        <v>112000</v>
      </c>
      <c r="D10" s="19">
        <v>153.07</v>
      </c>
      <c r="E10" s="81">
        <f>+D10/D$7</f>
        <v>0.40018300653594768</v>
      </c>
      <c r="F10" s="19">
        <v>337.66</v>
      </c>
      <c r="G10" s="81">
        <f>+F10/F$7</f>
        <v>7.0759333186642778E-2</v>
      </c>
      <c r="H10" s="19">
        <v>314.98</v>
      </c>
      <c r="I10" s="81">
        <f>+H10/H$7</f>
        <v>0.38710549601809063</v>
      </c>
      <c r="J10" s="19">
        <v>636.72</v>
      </c>
      <c r="K10" s="81">
        <f>+J10/J$7</f>
        <v>0.75029164653618186</v>
      </c>
      <c r="L10" s="19">
        <v>10999.88</v>
      </c>
      <c r="M10" s="81">
        <f>+L10/L$7</f>
        <v>0.99435471550749244</v>
      </c>
      <c r="N10" s="19">
        <v>20107.87</v>
      </c>
      <c r="O10" s="81">
        <f>+N10/N$7</f>
        <v>0.94565816503130262</v>
      </c>
      <c r="P10" s="19">
        <v>5249.68</v>
      </c>
      <c r="Q10" s="81">
        <f>+P10/P$7</f>
        <v>0.28002758839943009</v>
      </c>
      <c r="R10" s="19">
        <v>1705.26</v>
      </c>
      <c r="S10" s="81">
        <f>+R10/R$7</f>
        <v>0.24484328111763609</v>
      </c>
      <c r="T10" s="19">
        <v>2433.88</v>
      </c>
      <c r="U10" s="81">
        <f>+T10/T$7</f>
        <v>0.75458150285074743</v>
      </c>
      <c r="V10" s="19">
        <v>4205.83</v>
      </c>
      <c r="W10" s="81">
        <f>+V10/V$7</f>
        <v>0.90342848427958011</v>
      </c>
      <c r="X10" s="81">
        <f t="shared" si="11"/>
        <v>0.57312332194630522</v>
      </c>
      <c r="Y10" s="81">
        <f t="shared" si="12"/>
        <v>0.63428442274932129</v>
      </c>
      <c r="AA10" s="81"/>
      <c r="AB10" s="81">
        <f t="shared" si="1"/>
        <v>1.2059188606519895</v>
      </c>
      <c r="AC10" s="81">
        <f t="shared" si="2"/>
        <v>-6.716815731801222E-2</v>
      </c>
      <c r="AD10" s="81">
        <f t="shared" si="3"/>
        <v>1.0214616801066734</v>
      </c>
      <c r="AE10" s="81">
        <f t="shared" si="4"/>
        <v>16.275851237592661</v>
      </c>
      <c r="AF10" s="81">
        <f t="shared" si="5"/>
        <v>0.82800812372498611</v>
      </c>
      <c r="AG10" s="81">
        <f t="shared" si="6"/>
        <v>-0.73892411279762593</v>
      </c>
      <c r="AH10" s="81">
        <f t="shared" si="7"/>
        <v>-0.6751687721918288</v>
      </c>
      <c r="AI10" s="81">
        <f t="shared" si="8"/>
        <v>0.42727795174929345</v>
      </c>
      <c r="AJ10" s="81">
        <f t="shared" si="9"/>
        <v>0.72803507157296155</v>
      </c>
      <c r="AK10" s="81">
        <f t="shared" ref="AK10:AK73" si="13">+AVERAGE(AB10:AJ10)</f>
        <v>2.1116990981212331</v>
      </c>
      <c r="AL10" s="81">
        <f t="shared" ref="AL10:AL73" si="14">+AVERAGE(AH10:AJ10)</f>
        <v>0.16004808371014206</v>
      </c>
      <c r="AN10" s="128">
        <v>147857.79999999999</v>
      </c>
    </row>
    <row r="11" spans="2:40" x14ac:dyDescent="0.25">
      <c r="B11" s="7" t="s">
        <v>6</v>
      </c>
      <c r="C11" s="14">
        <v>112500</v>
      </c>
      <c r="D11" s="19">
        <v>101.57</v>
      </c>
      <c r="E11" s="81">
        <f>+D11/D$7</f>
        <v>0.26554248366013072</v>
      </c>
      <c r="F11" s="19">
        <v>3820.43</v>
      </c>
      <c r="G11" s="81">
        <f>+F11/F$7</f>
        <v>0.80060143128071337</v>
      </c>
      <c r="H11" s="19">
        <v>124.7</v>
      </c>
      <c r="I11" s="81">
        <f>+H11/H$7</f>
        <v>0.15325435060466031</v>
      </c>
      <c r="J11" s="19">
        <v>2.61</v>
      </c>
      <c r="K11" s="81">
        <f>+J11/J$7</f>
        <v>3.0755452906449216E-3</v>
      </c>
      <c r="L11" s="19">
        <v>0</v>
      </c>
      <c r="M11" s="81">
        <f>+L11/L$7</f>
        <v>0</v>
      </c>
      <c r="N11" s="19">
        <v>1003.77</v>
      </c>
      <c r="O11" s="81">
        <f>+N11/N$7</f>
        <v>4.7206556254514809E-2</v>
      </c>
      <c r="P11" s="19">
        <v>13128.43</v>
      </c>
      <c r="Q11" s="81">
        <f>+P11/P$7</f>
        <v>0.70029460697999302</v>
      </c>
      <c r="R11" s="19">
        <v>4393.66</v>
      </c>
      <c r="S11" s="81">
        <f>+R11/R$7</f>
        <v>0.63084698551265672</v>
      </c>
      <c r="T11" s="19">
        <v>219.6</v>
      </c>
      <c r="U11" s="81">
        <f>+T11/T$7</f>
        <v>6.8083101067441337E-2</v>
      </c>
      <c r="V11" s="19">
        <v>54.24</v>
      </c>
      <c r="W11" s="81">
        <f>+V11/V$7</f>
        <v>1.1650960925031309E-2</v>
      </c>
      <c r="X11" s="81">
        <f t="shared" si="11"/>
        <v>0.26805560215757868</v>
      </c>
      <c r="Y11" s="81">
        <f t="shared" si="12"/>
        <v>0.23686034916837642</v>
      </c>
      <c r="AA11" s="81"/>
      <c r="AB11" s="81">
        <f t="shared" si="1"/>
        <v>36.613763906665355</v>
      </c>
      <c r="AC11" s="81">
        <f t="shared" si="2"/>
        <v>-0.9673596951128538</v>
      </c>
      <c r="AD11" s="81">
        <f t="shared" si="3"/>
        <v>-0.97906976744186047</v>
      </c>
      <c r="AE11" s="81">
        <f t="shared" si="4"/>
        <v>-1</v>
      </c>
      <c r="AF11" s="81" t="e">
        <f t="shared" si="5"/>
        <v>#DIV/0!</v>
      </c>
      <c r="AG11" s="81">
        <f t="shared" si="6"/>
        <v>12.079121711148968</v>
      </c>
      <c r="AH11" s="81">
        <f t="shared" si="7"/>
        <v>-0.66533241217723671</v>
      </c>
      <c r="AI11" s="81">
        <f t="shared" si="8"/>
        <v>-0.95001889085637026</v>
      </c>
      <c r="AJ11" s="81">
        <f t="shared" si="9"/>
        <v>-0.75300546448087424</v>
      </c>
      <c r="AK11" s="81" t="e">
        <f t="shared" si="13"/>
        <v>#DIV/0!</v>
      </c>
      <c r="AL11" s="81">
        <f t="shared" si="14"/>
        <v>-0.78945225583816037</v>
      </c>
      <c r="AN11" s="128">
        <v>33856.99</v>
      </c>
    </row>
    <row r="12" spans="2:40" x14ac:dyDescent="0.25">
      <c r="B12" s="6" t="s">
        <v>7</v>
      </c>
      <c r="C12" s="13">
        <v>120000</v>
      </c>
      <c r="D12" s="17">
        <f>+SUM(D13:D38)</f>
        <v>7315.6200000000008</v>
      </c>
      <c r="E12" s="80">
        <f>+D12/D$6</f>
        <v>0.34028339506600658</v>
      </c>
      <c r="F12" s="17">
        <f t="shared" ref="F12:R12" si="15">+SUM(F13:F38)</f>
        <v>5005.2000000000007</v>
      </c>
      <c r="G12" s="80">
        <f>+F12/F$6</f>
        <v>0.21662796661335942</v>
      </c>
      <c r="H12" s="17">
        <f t="shared" si="15"/>
        <v>2918.59</v>
      </c>
      <c r="I12" s="80">
        <f>+H12/H$6</f>
        <v>0.11577534761284426</v>
      </c>
      <c r="J12" s="17">
        <f t="shared" si="15"/>
        <v>2106.6999999999998</v>
      </c>
      <c r="K12" s="80">
        <f>+J12/J$6</f>
        <v>0.11279521941446287</v>
      </c>
      <c r="L12" s="17">
        <f t="shared" si="15"/>
        <v>9096.64</v>
      </c>
      <c r="M12" s="80">
        <f>+L12/L$6</f>
        <v>0.25021847189875113</v>
      </c>
      <c r="N12" s="17">
        <f t="shared" si="15"/>
        <v>26997.94</v>
      </c>
      <c r="O12" s="80">
        <f>+N12/N$6</f>
        <v>0.42020499786379489</v>
      </c>
      <c r="P12" s="17">
        <f t="shared" si="15"/>
        <v>36561.759999999995</v>
      </c>
      <c r="Q12" s="80">
        <f>+P12/P$6</f>
        <v>0.51282196578929606</v>
      </c>
      <c r="R12" s="17">
        <f t="shared" si="15"/>
        <v>40753.300000000003</v>
      </c>
      <c r="S12" s="80">
        <f>+R12/R$6</f>
        <v>0.63949365618740439</v>
      </c>
      <c r="T12" s="17">
        <f>+SUM(T13:T38)</f>
        <v>29637.68</v>
      </c>
      <c r="U12" s="80">
        <f>+T12/T$6</f>
        <v>0.58011521003419497</v>
      </c>
      <c r="V12" s="17">
        <f>+SUM(V13:V38)</f>
        <v>34895.79</v>
      </c>
      <c r="W12" s="80">
        <f>+V12/V$6</f>
        <v>0.64578983981554472</v>
      </c>
      <c r="X12" s="80">
        <f t="shared" si="11"/>
        <v>0.38341260702956592</v>
      </c>
      <c r="Y12" s="80">
        <f t="shared" si="12"/>
        <v>0.62179956867904806</v>
      </c>
      <c r="AA12" s="80"/>
      <c r="AB12" s="80">
        <f t="shared" si="1"/>
        <v>-0.31582012187620456</v>
      </c>
      <c r="AC12" s="80">
        <f t="shared" si="2"/>
        <v>-0.41688843602653247</v>
      </c>
      <c r="AD12" s="80">
        <f t="shared" si="3"/>
        <v>-0.27817884663484777</v>
      </c>
      <c r="AE12" s="80">
        <f t="shared" si="4"/>
        <v>3.3179569943513552</v>
      </c>
      <c r="AF12" s="80">
        <f t="shared" si="5"/>
        <v>1.9679024343054139</v>
      </c>
      <c r="AG12" s="80">
        <f t="shared" si="6"/>
        <v>0.35424258295262517</v>
      </c>
      <c r="AH12" s="80">
        <f t="shared" si="7"/>
        <v>0.11464273054688857</v>
      </c>
      <c r="AI12" s="80">
        <f t="shared" si="8"/>
        <v>-0.27275386287736214</v>
      </c>
      <c r="AJ12" s="80">
        <f t="shared" si="9"/>
        <v>0.17741300938535001</v>
      </c>
      <c r="AK12" s="80">
        <f t="shared" si="13"/>
        <v>0.51650183156963181</v>
      </c>
      <c r="AL12" s="80">
        <f t="shared" si="14"/>
        <v>6.4339590182921442E-3</v>
      </c>
      <c r="AN12" s="143">
        <v>3150168.78</v>
      </c>
    </row>
    <row r="13" spans="2:40" x14ac:dyDescent="0.25">
      <c r="B13" s="7" t="s">
        <v>172</v>
      </c>
      <c r="C13" s="14">
        <v>120200</v>
      </c>
      <c r="D13" s="17">
        <v>0</v>
      </c>
      <c r="E13" s="81">
        <f t="shared" ref="E13:E38" si="16">+D13/D$12</f>
        <v>0</v>
      </c>
      <c r="F13" s="17">
        <v>0</v>
      </c>
      <c r="G13" s="81">
        <f t="shared" ref="G13:G38" si="17">+F13/F$12</f>
        <v>0</v>
      </c>
      <c r="H13" s="17">
        <v>0</v>
      </c>
      <c r="I13" s="81">
        <f t="shared" ref="I13:I38" si="18">+H13/H$12</f>
        <v>0</v>
      </c>
      <c r="J13" s="17">
        <v>0</v>
      </c>
      <c r="K13" s="81">
        <f t="shared" ref="K13:K38" si="19">+J13/J$12</f>
        <v>0</v>
      </c>
      <c r="L13" s="17">
        <v>0</v>
      </c>
      <c r="M13" s="81">
        <f t="shared" ref="M13:M38" si="20">+L13/L$12</f>
        <v>0</v>
      </c>
      <c r="N13" s="17">
        <v>0</v>
      </c>
      <c r="O13" s="81">
        <f>+N13/N$12</f>
        <v>0</v>
      </c>
      <c r="P13" s="76">
        <v>1658.88</v>
      </c>
      <c r="Q13" s="81">
        <f t="shared" ref="Q13:Q38" si="21">+P13/P$12</f>
        <v>4.5371995221236625E-2</v>
      </c>
      <c r="R13" s="76">
        <v>11814.39</v>
      </c>
      <c r="S13" s="81">
        <f t="shared" ref="S13:S38" si="22">+R13/R$12</f>
        <v>0.28990020440062519</v>
      </c>
      <c r="T13" s="76">
        <v>4886.91</v>
      </c>
      <c r="U13" s="81">
        <f t="shared" ref="U13:U38" si="23">+T13/T$12</f>
        <v>0.16488841231837309</v>
      </c>
      <c r="V13" s="76">
        <v>1122.9000000000001</v>
      </c>
      <c r="W13" s="81">
        <f t="shared" ref="W13:W38" si="24">+V13/V$12</f>
        <v>3.2178666824851938E-2</v>
      </c>
      <c r="X13" s="81">
        <f t="shared" si="11"/>
        <v>5.3233927876508678E-2</v>
      </c>
      <c r="Y13" s="81">
        <f t="shared" si="12"/>
        <v>0.16232242784795006</v>
      </c>
      <c r="AA13" s="80"/>
      <c r="AB13" s="81" t="e">
        <f t="shared" si="1"/>
        <v>#DIV/0!</v>
      </c>
      <c r="AC13" s="81" t="e">
        <f t="shared" si="2"/>
        <v>#DIV/0!</v>
      </c>
      <c r="AD13" s="81" t="e">
        <f t="shared" si="3"/>
        <v>#DIV/0!</v>
      </c>
      <c r="AE13" s="81" t="e">
        <f t="shared" si="4"/>
        <v>#DIV/0!</v>
      </c>
      <c r="AF13" s="81" t="e">
        <f t="shared" si="5"/>
        <v>#DIV/0!</v>
      </c>
      <c r="AG13" s="81" t="e">
        <f t="shared" si="6"/>
        <v>#DIV/0!</v>
      </c>
      <c r="AH13" s="81">
        <f t="shared" si="7"/>
        <v>6.1219075520833321</v>
      </c>
      <c r="AI13" s="81">
        <f t="shared" si="8"/>
        <v>-0.58635951581080359</v>
      </c>
      <c r="AJ13" s="81">
        <f t="shared" si="9"/>
        <v>-0.77022290158812012</v>
      </c>
      <c r="AK13" s="81" t="e">
        <f t="shared" si="13"/>
        <v>#DIV/0!</v>
      </c>
      <c r="AL13" s="81">
        <f t="shared" si="14"/>
        <v>1.5884417115614695</v>
      </c>
      <c r="AN13" s="128">
        <v>13694.98</v>
      </c>
    </row>
    <row r="14" spans="2:40" ht="30" x14ac:dyDescent="0.25">
      <c r="B14" s="7" t="s">
        <v>8</v>
      </c>
      <c r="C14" s="14">
        <v>120400</v>
      </c>
      <c r="D14" s="19">
        <v>0</v>
      </c>
      <c r="E14" s="81">
        <f t="shared" si="16"/>
        <v>0</v>
      </c>
      <c r="F14" s="19">
        <v>0</v>
      </c>
      <c r="G14" s="81">
        <f t="shared" si="17"/>
        <v>0</v>
      </c>
      <c r="H14" s="19">
        <v>0</v>
      </c>
      <c r="I14" s="81">
        <f t="shared" si="18"/>
        <v>0</v>
      </c>
      <c r="J14" s="19">
        <v>0</v>
      </c>
      <c r="K14" s="81">
        <f t="shared" si="19"/>
        <v>0</v>
      </c>
      <c r="L14" s="19">
        <v>0</v>
      </c>
      <c r="M14" s="81">
        <f t="shared" si="20"/>
        <v>0</v>
      </c>
      <c r="N14" s="19">
        <v>0</v>
      </c>
      <c r="O14" s="81">
        <f>+N14/N$12</f>
        <v>0</v>
      </c>
      <c r="P14" s="19">
        <v>0</v>
      </c>
      <c r="Q14" s="81">
        <f t="shared" si="21"/>
        <v>0</v>
      </c>
      <c r="R14" s="19">
        <v>0</v>
      </c>
      <c r="S14" s="81">
        <f t="shared" si="22"/>
        <v>0</v>
      </c>
      <c r="T14" s="19">
        <v>0</v>
      </c>
      <c r="U14" s="81">
        <f t="shared" si="23"/>
        <v>0</v>
      </c>
      <c r="V14" s="19">
        <v>0</v>
      </c>
      <c r="W14" s="81">
        <f t="shared" si="24"/>
        <v>0</v>
      </c>
      <c r="X14" s="81">
        <f t="shared" si="11"/>
        <v>0</v>
      </c>
      <c r="Y14" s="81">
        <f t="shared" si="12"/>
        <v>0</v>
      </c>
      <c r="AA14" s="81"/>
      <c r="AB14" s="81" t="e">
        <f t="shared" si="1"/>
        <v>#DIV/0!</v>
      </c>
      <c r="AC14" s="81" t="e">
        <f t="shared" si="2"/>
        <v>#DIV/0!</v>
      </c>
      <c r="AD14" s="81" t="e">
        <f t="shared" si="3"/>
        <v>#DIV/0!</v>
      </c>
      <c r="AE14" s="81" t="e">
        <f t="shared" si="4"/>
        <v>#DIV/0!</v>
      </c>
      <c r="AF14" s="81" t="e">
        <f t="shared" si="5"/>
        <v>#DIV/0!</v>
      </c>
      <c r="AG14" s="81" t="e">
        <f t="shared" si="6"/>
        <v>#DIV/0!</v>
      </c>
      <c r="AH14" s="81" t="e">
        <f t="shared" si="7"/>
        <v>#DIV/0!</v>
      </c>
      <c r="AI14" s="81" t="e">
        <f t="shared" si="8"/>
        <v>#DIV/0!</v>
      </c>
      <c r="AJ14" s="81" t="e">
        <f t="shared" si="9"/>
        <v>#DIV/0!</v>
      </c>
      <c r="AK14" s="81" t="e">
        <f t="shared" si="13"/>
        <v>#DIV/0!</v>
      </c>
      <c r="AL14" s="81" t="e">
        <f t="shared" si="14"/>
        <v>#DIV/0!</v>
      </c>
      <c r="AN14" s="128">
        <v>77205.560000000012</v>
      </c>
    </row>
    <row r="15" spans="2:40" ht="30" x14ac:dyDescent="0.25">
      <c r="B15" s="7" t="s">
        <v>9</v>
      </c>
      <c r="C15" s="14">
        <v>120500</v>
      </c>
      <c r="D15" s="19">
        <v>2388.3200000000002</v>
      </c>
      <c r="E15" s="81">
        <f t="shared" si="16"/>
        <v>0.32646856999133361</v>
      </c>
      <c r="F15" s="19">
        <v>978.35</v>
      </c>
      <c r="G15" s="81">
        <f t="shared" si="17"/>
        <v>0.19546671461679851</v>
      </c>
      <c r="H15" s="19">
        <v>0</v>
      </c>
      <c r="I15" s="81">
        <f t="shared" si="18"/>
        <v>0</v>
      </c>
      <c r="J15" s="19">
        <v>0</v>
      </c>
      <c r="K15" s="81">
        <f t="shared" si="19"/>
        <v>0</v>
      </c>
      <c r="L15" s="19">
        <v>0</v>
      </c>
      <c r="M15" s="81">
        <f t="shared" si="20"/>
        <v>0</v>
      </c>
      <c r="N15" s="19">
        <v>0</v>
      </c>
      <c r="O15" s="81">
        <f>+N15/N$12</f>
        <v>0</v>
      </c>
      <c r="P15" s="19">
        <v>0</v>
      </c>
      <c r="Q15" s="81">
        <f t="shared" si="21"/>
        <v>0</v>
      </c>
      <c r="R15" s="19">
        <v>1107.8800000000001</v>
      </c>
      <c r="S15" s="81">
        <f t="shared" si="22"/>
        <v>2.7185037776081937E-2</v>
      </c>
      <c r="T15" s="19">
        <v>3213.52</v>
      </c>
      <c r="U15" s="81">
        <f t="shared" si="23"/>
        <v>0.10842684042745586</v>
      </c>
      <c r="V15" s="19">
        <v>4350.4399999999996</v>
      </c>
      <c r="W15" s="81">
        <f t="shared" si="24"/>
        <v>0.12466948018657836</v>
      </c>
      <c r="X15" s="81">
        <f t="shared" si="11"/>
        <v>7.8221664299824828E-2</v>
      </c>
      <c r="Y15" s="81">
        <f t="shared" si="12"/>
        <v>8.676045279670537E-2</v>
      </c>
      <c r="AA15" s="81"/>
      <c r="AB15" s="81">
        <f t="shared" si="1"/>
        <v>-0.59036058819588666</v>
      </c>
      <c r="AC15" s="81">
        <f t="shared" si="2"/>
        <v>-1</v>
      </c>
      <c r="AD15" s="81" t="e">
        <f t="shared" si="3"/>
        <v>#DIV/0!</v>
      </c>
      <c r="AE15" s="81" t="e">
        <f t="shared" si="4"/>
        <v>#DIV/0!</v>
      </c>
      <c r="AF15" s="81" t="e">
        <f t="shared" si="5"/>
        <v>#DIV/0!</v>
      </c>
      <c r="AG15" s="81" t="e">
        <f t="shared" si="6"/>
        <v>#DIV/0!</v>
      </c>
      <c r="AH15" s="81" t="e">
        <f t="shared" si="7"/>
        <v>#DIV/0!</v>
      </c>
      <c r="AI15" s="81">
        <f t="shared" si="8"/>
        <v>1.9006029533884534</v>
      </c>
      <c r="AJ15" s="81">
        <f t="shared" si="9"/>
        <v>0.35379272573377468</v>
      </c>
      <c r="AK15" s="81" t="e">
        <f t="shared" si="13"/>
        <v>#DIV/0!</v>
      </c>
      <c r="AL15" s="81" t="e">
        <f t="shared" si="14"/>
        <v>#DIV/0!</v>
      </c>
      <c r="AN15" s="128">
        <v>205275.89999999997</v>
      </c>
    </row>
    <row r="16" spans="2:40" ht="30" x14ac:dyDescent="0.25">
      <c r="B16" s="7" t="s">
        <v>10</v>
      </c>
      <c r="C16" s="14">
        <v>120600</v>
      </c>
      <c r="D16" s="19">
        <v>0</v>
      </c>
      <c r="E16" s="81">
        <f t="shared" si="16"/>
        <v>0</v>
      </c>
      <c r="F16" s="19">
        <v>145.91999999999999</v>
      </c>
      <c r="G16" s="81">
        <f t="shared" si="17"/>
        <v>2.9153680172620468E-2</v>
      </c>
      <c r="H16" s="19">
        <v>0</v>
      </c>
      <c r="I16" s="81">
        <f t="shared" si="18"/>
        <v>0</v>
      </c>
      <c r="J16" s="19">
        <v>0</v>
      </c>
      <c r="K16" s="81">
        <f t="shared" si="19"/>
        <v>0</v>
      </c>
      <c r="L16" s="19">
        <v>0</v>
      </c>
      <c r="M16" s="81">
        <f t="shared" si="20"/>
        <v>0</v>
      </c>
      <c r="N16" s="19">
        <v>0</v>
      </c>
      <c r="O16" s="81">
        <f t="shared" ref="O16:O38" si="25">+N16/N$12</f>
        <v>0</v>
      </c>
      <c r="P16" s="19">
        <v>0</v>
      </c>
      <c r="Q16" s="81">
        <f t="shared" si="21"/>
        <v>0</v>
      </c>
      <c r="R16" s="19">
        <v>0</v>
      </c>
      <c r="S16" s="81">
        <f t="shared" si="22"/>
        <v>0</v>
      </c>
      <c r="T16" s="19">
        <v>0</v>
      </c>
      <c r="U16" s="81">
        <f t="shared" si="23"/>
        <v>0</v>
      </c>
      <c r="V16" s="19">
        <v>0</v>
      </c>
      <c r="W16" s="81">
        <f t="shared" si="24"/>
        <v>0</v>
      </c>
      <c r="X16" s="81">
        <f t="shared" si="11"/>
        <v>2.9153680172620466E-3</v>
      </c>
      <c r="Y16" s="81">
        <f t="shared" si="12"/>
        <v>0</v>
      </c>
      <c r="AA16" s="81"/>
      <c r="AB16" s="81" t="e">
        <f t="shared" si="1"/>
        <v>#DIV/0!</v>
      </c>
      <c r="AC16" s="81">
        <f t="shared" si="2"/>
        <v>-1</v>
      </c>
      <c r="AD16" s="81" t="e">
        <f t="shared" si="3"/>
        <v>#DIV/0!</v>
      </c>
      <c r="AE16" s="81" t="e">
        <f t="shared" si="4"/>
        <v>#DIV/0!</v>
      </c>
      <c r="AF16" s="81" t="e">
        <f t="shared" si="5"/>
        <v>#DIV/0!</v>
      </c>
      <c r="AG16" s="81" t="e">
        <f t="shared" si="6"/>
        <v>#DIV/0!</v>
      </c>
      <c r="AH16" s="81" t="e">
        <f t="shared" si="7"/>
        <v>#DIV/0!</v>
      </c>
      <c r="AI16" s="81" t="e">
        <f t="shared" si="8"/>
        <v>#DIV/0!</v>
      </c>
      <c r="AJ16" s="81" t="e">
        <f t="shared" si="9"/>
        <v>#DIV/0!</v>
      </c>
      <c r="AK16" s="81" t="e">
        <f t="shared" si="13"/>
        <v>#DIV/0!</v>
      </c>
      <c r="AL16" s="81" t="e">
        <f t="shared" si="14"/>
        <v>#DIV/0!</v>
      </c>
      <c r="AN16" s="128">
        <v>0</v>
      </c>
    </row>
    <row r="17" spans="2:40" ht="30" x14ac:dyDescent="0.25">
      <c r="B17" s="7" t="s">
        <v>11</v>
      </c>
      <c r="C17" s="14">
        <v>120700</v>
      </c>
      <c r="D17" s="19">
        <v>218.35</v>
      </c>
      <c r="E17" s="81">
        <f t="shared" si="16"/>
        <v>2.9847094299594562E-2</v>
      </c>
      <c r="F17" s="19">
        <v>487.29</v>
      </c>
      <c r="G17" s="81">
        <f t="shared" si="17"/>
        <v>9.7356748981059685E-2</v>
      </c>
      <c r="H17" s="19">
        <v>0</v>
      </c>
      <c r="I17" s="81">
        <f t="shared" si="18"/>
        <v>0</v>
      </c>
      <c r="J17" s="19">
        <v>0</v>
      </c>
      <c r="K17" s="81">
        <f t="shared" si="19"/>
        <v>0</v>
      </c>
      <c r="L17" s="19">
        <v>0</v>
      </c>
      <c r="M17" s="81">
        <f t="shared" si="20"/>
        <v>0</v>
      </c>
      <c r="N17" s="19">
        <v>0</v>
      </c>
      <c r="O17" s="81">
        <f t="shared" si="25"/>
        <v>0</v>
      </c>
      <c r="P17" s="19">
        <v>7558.19</v>
      </c>
      <c r="Q17" s="81">
        <f t="shared" si="21"/>
        <v>0.20672391044632427</v>
      </c>
      <c r="R17" s="19">
        <v>10613.65</v>
      </c>
      <c r="S17" s="81">
        <f t="shared" si="22"/>
        <v>0.26043657814213816</v>
      </c>
      <c r="T17" s="19">
        <v>7169.68</v>
      </c>
      <c r="U17" s="81">
        <f t="shared" si="23"/>
        <v>0.24191097278869331</v>
      </c>
      <c r="V17" s="19">
        <v>12827.66</v>
      </c>
      <c r="W17" s="81">
        <f t="shared" si="24"/>
        <v>0.36759907140660808</v>
      </c>
      <c r="X17" s="81">
        <f t="shared" si="11"/>
        <v>0.12038743760644181</v>
      </c>
      <c r="Y17" s="81">
        <f t="shared" si="12"/>
        <v>0.28998220744581321</v>
      </c>
      <c r="AA17" s="81"/>
      <c r="AB17" s="81">
        <f t="shared" si="1"/>
        <v>1.2316922372337993</v>
      </c>
      <c r="AC17" s="81">
        <f t="shared" si="2"/>
        <v>-1</v>
      </c>
      <c r="AD17" s="81" t="e">
        <f t="shared" si="3"/>
        <v>#DIV/0!</v>
      </c>
      <c r="AE17" s="81" t="e">
        <f t="shared" si="4"/>
        <v>#DIV/0!</v>
      </c>
      <c r="AF17" s="81" t="e">
        <f t="shared" si="5"/>
        <v>#DIV/0!</v>
      </c>
      <c r="AG17" s="81" t="e">
        <f t="shared" si="6"/>
        <v>#DIV/0!</v>
      </c>
      <c r="AH17" s="81">
        <f t="shared" si="7"/>
        <v>0.40425816233780842</v>
      </c>
      <c r="AI17" s="81">
        <f t="shared" si="8"/>
        <v>-0.32448497924842062</v>
      </c>
      <c r="AJ17" s="81">
        <f t="shared" si="9"/>
        <v>0.78915376976378293</v>
      </c>
      <c r="AK17" s="81" t="e">
        <f t="shared" si="13"/>
        <v>#DIV/0!</v>
      </c>
      <c r="AL17" s="81">
        <f t="shared" si="14"/>
        <v>0.28964231761772358</v>
      </c>
      <c r="AN17" s="128">
        <v>157692.41999999998</v>
      </c>
    </row>
    <row r="18" spans="2:40" ht="30" x14ac:dyDescent="0.25">
      <c r="B18" s="7" t="s">
        <v>12</v>
      </c>
      <c r="C18" s="14">
        <v>120800</v>
      </c>
      <c r="D18" s="19">
        <v>0</v>
      </c>
      <c r="E18" s="81">
        <f t="shared" si="16"/>
        <v>0</v>
      </c>
      <c r="F18" s="19">
        <v>0</v>
      </c>
      <c r="G18" s="81">
        <f t="shared" si="17"/>
        <v>0</v>
      </c>
      <c r="H18" s="19">
        <v>0</v>
      </c>
      <c r="I18" s="81">
        <f t="shared" si="18"/>
        <v>0</v>
      </c>
      <c r="J18" s="19">
        <v>0</v>
      </c>
      <c r="K18" s="81">
        <f t="shared" si="19"/>
        <v>0</v>
      </c>
      <c r="L18" s="19">
        <v>0</v>
      </c>
      <c r="M18" s="81">
        <f t="shared" si="20"/>
        <v>0</v>
      </c>
      <c r="N18" s="19">
        <v>0</v>
      </c>
      <c r="O18" s="81">
        <f t="shared" si="25"/>
        <v>0</v>
      </c>
      <c r="P18" s="19">
        <v>0</v>
      </c>
      <c r="Q18" s="81">
        <f t="shared" si="21"/>
        <v>0</v>
      </c>
      <c r="R18" s="19">
        <v>0</v>
      </c>
      <c r="S18" s="81">
        <f t="shared" si="22"/>
        <v>0</v>
      </c>
      <c r="T18" s="19">
        <v>0</v>
      </c>
      <c r="U18" s="81">
        <f t="shared" si="23"/>
        <v>0</v>
      </c>
      <c r="V18" s="19">
        <v>0</v>
      </c>
      <c r="W18" s="81">
        <f t="shared" si="24"/>
        <v>0</v>
      </c>
      <c r="X18" s="81">
        <f t="shared" si="11"/>
        <v>0</v>
      </c>
      <c r="Y18" s="81">
        <f t="shared" si="12"/>
        <v>0</v>
      </c>
      <c r="AA18" s="81"/>
      <c r="AB18" s="81" t="e">
        <f t="shared" si="1"/>
        <v>#DIV/0!</v>
      </c>
      <c r="AC18" s="81" t="e">
        <f t="shared" si="2"/>
        <v>#DIV/0!</v>
      </c>
      <c r="AD18" s="81" t="e">
        <f t="shared" si="3"/>
        <v>#DIV/0!</v>
      </c>
      <c r="AE18" s="81" t="e">
        <f t="shared" si="4"/>
        <v>#DIV/0!</v>
      </c>
      <c r="AF18" s="81" t="e">
        <f t="shared" si="5"/>
        <v>#DIV/0!</v>
      </c>
      <c r="AG18" s="81" t="e">
        <f t="shared" si="6"/>
        <v>#DIV/0!</v>
      </c>
      <c r="AH18" s="81" t="e">
        <f t="shared" si="7"/>
        <v>#DIV/0!</v>
      </c>
      <c r="AI18" s="81" t="e">
        <f t="shared" si="8"/>
        <v>#DIV/0!</v>
      </c>
      <c r="AJ18" s="81" t="e">
        <f t="shared" si="9"/>
        <v>#DIV/0!</v>
      </c>
      <c r="AK18" s="81" t="e">
        <f t="shared" si="13"/>
        <v>#DIV/0!</v>
      </c>
      <c r="AL18" s="81" t="e">
        <f t="shared" si="14"/>
        <v>#DIV/0!</v>
      </c>
      <c r="AN18" s="128"/>
    </row>
    <row r="19" spans="2:40" ht="30" x14ac:dyDescent="0.25">
      <c r="B19" s="7" t="s">
        <v>13</v>
      </c>
      <c r="C19" s="14">
        <v>120900</v>
      </c>
      <c r="D19" s="19">
        <v>98.28</v>
      </c>
      <c r="E19" s="81">
        <f t="shared" si="16"/>
        <v>1.3434268045633862E-2</v>
      </c>
      <c r="F19" s="19">
        <v>97.95</v>
      </c>
      <c r="G19" s="81">
        <f t="shared" si="17"/>
        <v>1.9569647566530804E-2</v>
      </c>
      <c r="H19" s="19">
        <v>97.76</v>
      </c>
      <c r="I19" s="81">
        <f t="shared" si="18"/>
        <v>3.3495626312705792E-2</v>
      </c>
      <c r="J19" s="19">
        <v>83.45</v>
      </c>
      <c r="K19" s="81">
        <f t="shared" si="19"/>
        <v>3.9611715004509426E-2</v>
      </c>
      <c r="L19" s="19">
        <v>51.19</v>
      </c>
      <c r="M19" s="81">
        <f t="shared" si="20"/>
        <v>5.6273525169733005E-3</v>
      </c>
      <c r="N19" s="19">
        <v>0</v>
      </c>
      <c r="O19" s="81">
        <f t="shared" si="25"/>
        <v>0</v>
      </c>
      <c r="P19" s="19">
        <v>0</v>
      </c>
      <c r="Q19" s="81">
        <f t="shared" si="21"/>
        <v>0</v>
      </c>
      <c r="R19" s="19">
        <v>0</v>
      </c>
      <c r="S19" s="81">
        <f t="shared" si="22"/>
        <v>0</v>
      </c>
      <c r="T19" s="19">
        <v>0</v>
      </c>
      <c r="U19" s="81">
        <f t="shared" si="23"/>
        <v>0</v>
      </c>
      <c r="V19" s="19">
        <v>0</v>
      </c>
      <c r="W19" s="81">
        <f t="shared" si="24"/>
        <v>0</v>
      </c>
      <c r="X19" s="81">
        <f t="shared" si="11"/>
        <v>1.1173860944635319E-2</v>
      </c>
      <c r="Y19" s="81">
        <f t="shared" si="12"/>
        <v>0</v>
      </c>
      <c r="AA19" s="81"/>
      <c r="AB19" s="81">
        <f t="shared" si="1"/>
        <v>-3.3577533577533402E-3</v>
      </c>
      <c r="AC19" s="81">
        <f t="shared" si="2"/>
        <v>-1.9397651863195275E-3</v>
      </c>
      <c r="AD19" s="81">
        <f t="shared" si="3"/>
        <v>-0.14637888707037644</v>
      </c>
      <c r="AE19" s="81">
        <f t="shared" si="4"/>
        <v>-0.38657878969442783</v>
      </c>
      <c r="AF19" s="81">
        <f t="shared" si="5"/>
        <v>-1</v>
      </c>
      <c r="AG19" s="81" t="e">
        <f t="shared" si="6"/>
        <v>#DIV/0!</v>
      </c>
      <c r="AH19" s="81" t="e">
        <f t="shared" si="7"/>
        <v>#DIV/0!</v>
      </c>
      <c r="AI19" s="81" t="e">
        <f t="shared" si="8"/>
        <v>#DIV/0!</v>
      </c>
      <c r="AJ19" s="81" t="e">
        <f t="shared" si="9"/>
        <v>#DIV/0!</v>
      </c>
      <c r="AK19" s="81" t="e">
        <f t="shared" si="13"/>
        <v>#DIV/0!</v>
      </c>
      <c r="AL19" s="81" t="e">
        <f t="shared" si="14"/>
        <v>#DIV/0!</v>
      </c>
      <c r="AN19" s="128">
        <v>332.79</v>
      </c>
    </row>
    <row r="20" spans="2:40" ht="30" x14ac:dyDescent="0.25">
      <c r="B20" s="7" t="s">
        <v>14</v>
      </c>
      <c r="C20" s="14">
        <v>121000</v>
      </c>
      <c r="D20" s="19">
        <v>0</v>
      </c>
      <c r="E20" s="81">
        <f t="shared" si="16"/>
        <v>0</v>
      </c>
      <c r="F20" s="19">
        <v>0</v>
      </c>
      <c r="G20" s="81">
        <f t="shared" si="17"/>
        <v>0</v>
      </c>
      <c r="H20" s="19">
        <v>0</v>
      </c>
      <c r="I20" s="81">
        <f t="shared" si="18"/>
        <v>0</v>
      </c>
      <c r="J20" s="19">
        <v>0</v>
      </c>
      <c r="K20" s="81">
        <f t="shared" si="19"/>
        <v>0</v>
      </c>
      <c r="L20" s="19">
        <v>0</v>
      </c>
      <c r="M20" s="81">
        <f t="shared" si="20"/>
        <v>0</v>
      </c>
      <c r="N20" s="19">
        <v>0</v>
      </c>
      <c r="O20" s="81">
        <f t="shared" si="25"/>
        <v>0</v>
      </c>
      <c r="P20" s="19">
        <v>0</v>
      </c>
      <c r="Q20" s="81">
        <f t="shared" si="21"/>
        <v>0</v>
      </c>
      <c r="R20" s="19">
        <v>0</v>
      </c>
      <c r="S20" s="81">
        <f t="shared" si="22"/>
        <v>0</v>
      </c>
      <c r="T20" s="19">
        <v>0</v>
      </c>
      <c r="U20" s="81">
        <f t="shared" si="23"/>
        <v>0</v>
      </c>
      <c r="V20" s="19">
        <v>0</v>
      </c>
      <c r="W20" s="81">
        <f t="shared" si="24"/>
        <v>0</v>
      </c>
      <c r="X20" s="81">
        <f t="shared" si="11"/>
        <v>0</v>
      </c>
      <c r="Y20" s="81">
        <f t="shared" si="12"/>
        <v>0</v>
      </c>
      <c r="AA20" s="81"/>
      <c r="AB20" s="81" t="e">
        <f t="shared" si="1"/>
        <v>#DIV/0!</v>
      </c>
      <c r="AC20" s="81" t="e">
        <f t="shared" si="2"/>
        <v>#DIV/0!</v>
      </c>
      <c r="AD20" s="81" t="e">
        <f t="shared" si="3"/>
        <v>#DIV/0!</v>
      </c>
      <c r="AE20" s="81" t="e">
        <f t="shared" si="4"/>
        <v>#DIV/0!</v>
      </c>
      <c r="AF20" s="81" t="e">
        <f t="shared" si="5"/>
        <v>#DIV/0!</v>
      </c>
      <c r="AG20" s="81" t="e">
        <f t="shared" si="6"/>
        <v>#DIV/0!</v>
      </c>
      <c r="AH20" s="81" t="e">
        <f t="shared" si="7"/>
        <v>#DIV/0!</v>
      </c>
      <c r="AI20" s="81" t="e">
        <f t="shared" si="8"/>
        <v>#DIV/0!</v>
      </c>
      <c r="AJ20" s="81" t="e">
        <f t="shared" si="9"/>
        <v>#DIV/0!</v>
      </c>
      <c r="AK20" s="81" t="e">
        <f t="shared" si="13"/>
        <v>#DIV/0!</v>
      </c>
      <c r="AL20" s="81" t="e">
        <f t="shared" si="14"/>
        <v>#DIV/0!</v>
      </c>
      <c r="AN20" s="128"/>
    </row>
    <row r="21" spans="2:40" ht="30" x14ac:dyDescent="0.25">
      <c r="B21" s="7" t="s">
        <v>15</v>
      </c>
      <c r="C21" s="14">
        <v>121100</v>
      </c>
      <c r="D21" s="19">
        <v>0</v>
      </c>
      <c r="E21" s="81">
        <f t="shared" si="16"/>
        <v>0</v>
      </c>
      <c r="F21" s="19">
        <v>0</v>
      </c>
      <c r="G21" s="81">
        <f t="shared" si="17"/>
        <v>0</v>
      </c>
      <c r="H21" s="19">
        <v>0</v>
      </c>
      <c r="I21" s="81">
        <f t="shared" si="18"/>
        <v>0</v>
      </c>
      <c r="J21" s="19">
        <v>0</v>
      </c>
      <c r="K21" s="81">
        <f t="shared" si="19"/>
        <v>0</v>
      </c>
      <c r="L21" s="19">
        <v>0</v>
      </c>
      <c r="M21" s="81">
        <f t="shared" si="20"/>
        <v>0</v>
      </c>
      <c r="N21" s="19">
        <v>0</v>
      </c>
      <c r="O21" s="81">
        <f t="shared" si="25"/>
        <v>0</v>
      </c>
      <c r="P21" s="19">
        <v>0</v>
      </c>
      <c r="Q21" s="81">
        <f t="shared" si="21"/>
        <v>0</v>
      </c>
      <c r="R21" s="19">
        <v>0</v>
      </c>
      <c r="S21" s="81">
        <f t="shared" si="22"/>
        <v>0</v>
      </c>
      <c r="T21" s="19">
        <v>0</v>
      </c>
      <c r="U21" s="81">
        <f t="shared" si="23"/>
        <v>0</v>
      </c>
      <c r="V21" s="19">
        <v>505.57</v>
      </c>
      <c r="W21" s="81">
        <f t="shared" si="24"/>
        <v>1.4487994110464327E-2</v>
      </c>
      <c r="X21" s="81">
        <f t="shared" si="11"/>
        <v>1.4487994110464327E-3</v>
      </c>
      <c r="Y21" s="81">
        <f t="shared" si="12"/>
        <v>4.8293313701547758E-3</v>
      </c>
      <c r="AA21" s="81"/>
      <c r="AB21" s="81" t="e">
        <f t="shared" si="1"/>
        <v>#DIV/0!</v>
      </c>
      <c r="AC21" s="81" t="e">
        <f t="shared" si="2"/>
        <v>#DIV/0!</v>
      </c>
      <c r="AD21" s="81" t="e">
        <f t="shared" si="3"/>
        <v>#DIV/0!</v>
      </c>
      <c r="AE21" s="81" t="e">
        <f t="shared" si="4"/>
        <v>#DIV/0!</v>
      </c>
      <c r="AF21" s="81" t="e">
        <f t="shared" si="5"/>
        <v>#DIV/0!</v>
      </c>
      <c r="AG21" s="81" t="e">
        <f t="shared" si="6"/>
        <v>#DIV/0!</v>
      </c>
      <c r="AH21" s="81" t="e">
        <f t="shared" si="7"/>
        <v>#DIV/0!</v>
      </c>
      <c r="AI21" s="81" t="e">
        <f t="shared" si="8"/>
        <v>#DIV/0!</v>
      </c>
      <c r="AJ21" s="81" t="e">
        <f t="shared" si="9"/>
        <v>#DIV/0!</v>
      </c>
      <c r="AK21" s="81" t="e">
        <f t="shared" si="13"/>
        <v>#DIV/0!</v>
      </c>
      <c r="AL21" s="81" t="e">
        <f t="shared" si="14"/>
        <v>#DIV/0!</v>
      </c>
      <c r="AN21" s="128">
        <v>5163.6299999999992</v>
      </c>
    </row>
    <row r="22" spans="2:40" ht="30" x14ac:dyDescent="0.25">
      <c r="B22" s="7" t="s">
        <v>16</v>
      </c>
      <c r="C22" s="14">
        <v>121200</v>
      </c>
      <c r="D22" s="19">
        <v>0</v>
      </c>
      <c r="E22" s="81">
        <f t="shared" si="16"/>
        <v>0</v>
      </c>
      <c r="F22" s="19">
        <v>0</v>
      </c>
      <c r="G22" s="81">
        <f t="shared" si="17"/>
        <v>0</v>
      </c>
      <c r="H22" s="19">
        <v>0</v>
      </c>
      <c r="I22" s="81">
        <f t="shared" si="18"/>
        <v>0</v>
      </c>
      <c r="J22" s="19">
        <v>0</v>
      </c>
      <c r="K22" s="81">
        <f t="shared" si="19"/>
        <v>0</v>
      </c>
      <c r="L22" s="19">
        <v>0</v>
      </c>
      <c r="M22" s="81">
        <f t="shared" si="20"/>
        <v>0</v>
      </c>
      <c r="N22" s="19">
        <v>0</v>
      </c>
      <c r="O22" s="81">
        <f t="shared" si="25"/>
        <v>0</v>
      </c>
      <c r="P22" s="19">
        <v>0</v>
      </c>
      <c r="Q22" s="81">
        <f t="shared" si="21"/>
        <v>0</v>
      </c>
      <c r="R22" s="19">
        <v>0</v>
      </c>
      <c r="S22" s="81">
        <f t="shared" si="22"/>
        <v>0</v>
      </c>
      <c r="T22" s="19">
        <v>0</v>
      </c>
      <c r="U22" s="81">
        <f t="shared" si="23"/>
        <v>0</v>
      </c>
      <c r="V22" s="19">
        <v>0</v>
      </c>
      <c r="W22" s="81">
        <f t="shared" si="24"/>
        <v>0</v>
      </c>
      <c r="X22" s="81">
        <f t="shared" si="11"/>
        <v>0</v>
      </c>
      <c r="Y22" s="81">
        <f t="shared" si="12"/>
        <v>0</v>
      </c>
      <c r="AA22" s="81"/>
      <c r="AB22" s="81" t="e">
        <f t="shared" si="1"/>
        <v>#DIV/0!</v>
      </c>
      <c r="AC22" s="81" t="e">
        <f t="shared" si="2"/>
        <v>#DIV/0!</v>
      </c>
      <c r="AD22" s="81" t="e">
        <f t="shared" si="3"/>
        <v>#DIV/0!</v>
      </c>
      <c r="AE22" s="81" t="e">
        <f t="shared" si="4"/>
        <v>#DIV/0!</v>
      </c>
      <c r="AF22" s="81" t="e">
        <f t="shared" si="5"/>
        <v>#DIV/0!</v>
      </c>
      <c r="AG22" s="81" t="e">
        <f t="shared" si="6"/>
        <v>#DIV/0!</v>
      </c>
      <c r="AH22" s="81" t="e">
        <f t="shared" si="7"/>
        <v>#DIV/0!</v>
      </c>
      <c r="AI22" s="81" t="e">
        <f t="shared" si="8"/>
        <v>#DIV/0!</v>
      </c>
      <c r="AJ22" s="81" t="e">
        <f t="shared" si="9"/>
        <v>#DIV/0!</v>
      </c>
      <c r="AK22" s="81" t="e">
        <f t="shared" si="13"/>
        <v>#DIV/0!</v>
      </c>
      <c r="AL22" s="81" t="e">
        <f t="shared" si="14"/>
        <v>#DIV/0!</v>
      </c>
      <c r="AN22" s="128"/>
    </row>
    <row r="23" spans="2:40" ht="30" x14ac:dyDescent="0.25">
      <c r="B23" s="7" t="s">
        <v>17</v>
      </c>
      <c r="C23" s="14">
        <v>121400</v>
      </c>
      <c r="D23" s="19">
        <v>2186.94</v>
      </c>
      <c r="E23" s="81">
        <f t="shared" si="16"/>
        <v>0.29894116971630563</v>
      </c>
      <c r="F23" s="19">
        <v>2805.66</v>
      </c>
      <c r="G23" s="81">
        <f t="shared" si="17"/>
        <v>0.56054902900982961</v>
      </c>
      <c r="H23" s="19">
        <v>1278.48</v>
      </c>
      <c r="I23" s="81">
        <f t="shared" si="18"/>
        <v>0.43804713920077842</v>
      </c>
      <c r="J23" s="19">
        <v>2407.4499999999998</v>
      </c>
      <c r="K23" s="81">
        <f t="shared" si="19"/>
        <v>1.1427588171073242</v>
      </c>
      <c r="L23" s="19">
        <v>5161.22</v>
      </c>
      <c r="M23" s="81">
        <f t="shared" si="20"/>
        <v>0.56737652583811171</v>
      </c>
      <c r="N23" s="19">
        <v>21739.05</v>
      </c>
      <c r="O23" s="81">
        <f t="shared" si="25"/>
        <v>0.80521143465019929</v>
      </c>
      <c r="P23" s="19">
        <v>20583.98</v>
      </c>
      <c r="Q23" s="81">
        <f t="shared" si="21"/>
        <v>0.56299204414667137</v>
      </c>
      <c r="R23" s="19">
        <v>16742.5</v>
      </c>
      <c r="S23" s="81">
        <f t="shared" si="22"/>
        <v>0.41082562639099163</v>
      </c>
      <c r="T23" s="19">
        <v>14603.7</v>
      </c>
      <c r="U23" s="81">
        <f t="shared" si="23"/>
        <v>0.49274099727104148</v>
      </c>
      <c r="V23" s="19">
        <v>16396.28</v>
      </c>
      <c r="W23" s="81">
        <f t="shared" si="24"/>
        <v>0.46986412974172526</v>
      </c>
      <c r="X23" s="81">
        <f t="shared" si="11"/>
        <v>0.57493069130729779</v>
      </c>
      <c r="Y23" s="81">
        <f t="shared" si="12"/>
        <v>0.45781025113458612</v>
      </c>
      <c r="AA23" s="81"/>
      <c r="AB23" s="81">
        <f t="shared" si="1"/>
        <v>0.28291585503031624</v>
      </c>
      <c r="AC23" s="81">
        <f t="shared" si="2"/>
        <v>-0.54432112230277363</v>
      </c>
      <c r="AD23" s="81">
        <f t="shared" si="3"/>
        <v>0.88305644202490441</v>
      </c>
      <c r="AE23" s="81">
        <f t="shared" si="4"/>
        <v>1.1438534549004136</v>
      </c>
      <c r="AF23" s="81">
        <f t="shared" si="5"/>
        <v>3.2119983259771909</v>
      </c>
      <c r="AG23" s="81">
        <f t="shared" si="6"/>
        <v>-5.3133416593641382E-2</v>
      </c>
      <c r="AH23" s="81">
        <f t="shared" si="7"/>
        <v>-0.1866247440971085</v>
      </c>
      <c r="AI23" s="81">
        <f t="shared" si="8"/>
        <v>-0.12774675227713897</v>
      </c>
      <c r="AJ23" s="81">
        <f t="shared" si="9"/>
        <v>0.12274834459760184</v>
      </c>
      <c r="AK23" s="81">
        <f t="shared" si="13"/>
        <v>0.52586070969552923</v>
      </c>
      <c r="AL23" s="81">
        <f t="shared" si="14"/>
        <v>-6.3874383925548534E-2</v>
      </c>
      <c r="AN23" s="128">
        <v>113520.03000000003</v>
      </c>
    </row>
    <row r="24" spans="2:40" ht="30" x14ac:dyDescent="0.25">
      <c r="B24" s="7" t="s">
        <v>18</v>
      </c>
      <c r="C24" s="14">
        <v>121500</v>
      </c>
      <c r="D24" s="19">
        <v>0</v>
      </c>
      <c r="E24" s="81">
        <f t="shared" si="16"/>
        <v>0</v>
      </c>
      <c r="F24" s="19">
        <v>0</v>
      </c>
      <c r="G24" s="81">
        <f t="shared" si="17"/>
        <v>0</v>
      </c>
      <c r="H24" s="19">
        <v>0</v>
      </c>
      <c r="I24" s="81">
        <f t="shared" si="18"/>
        <v>0</v>
      </c>
      <c r="J24" s="19">
        <v>0</v>
      </c>
      <c r="K24" s="81">
        <f t="shared" si="19"/>
        <v>0</v>
      </c>
      <c r="L24" s="19">
        <v>0</v>
      </c>
      <c r="M24" s="81">
        <f t="shared" si="20"/>
        <v>0</v>
      </c>
      <c r="N24" s="19">
        <v>0</v>
      </c>
      <c r="O24" s="81">
        <f t="shared" si="25"/>
        <v>0</v>
      </c>
      <c r="P24" s="19">
        <v>0</v>
      </c>
      <c r="Q24" s="81">
        <f t="shared" si="21"/>
        <v>0</v>
      </c>
      <c r="R24" s="19">
        <v>0</v>
      </c>
      <c r="S24" s="81">
        <f t="shared" si="22"/>
        <v>0</v>
      </c>
      <c r="T24" s="19">
        <v>0</v>
      </c>
      <c r="U24" s="81">
        <f t="shared" si="23"/>
        <v>0</v>
      </c>
      <c r="V24" s="19">
        <v>0</v>
      </c>
      <c r="W24" s="81">
        <f t="shared" si="24"/>
        <v>0</v>
      </c>
      <c r="X24" s="81">
        <f t="shared" si="11"/>
        <v>0</v>
      </c>
      <c r="Y24" s="81">
        <f t="shared" si="12"/>
        <v>0</v>
      </c>
      <c r="AA24" s="81"/>
      <c r="AB24" s="81" t="e">
        <f t="shared" si="1"/>
        <v>#DIV/0!</v>
      </c>
      <c r="AC24" s="81" t="e">
        <f t="shared" si="2"/>
        <v>#DIV/0!</v>
      </c>
      <c r="AD24" s="81" t="e">
        <f t="shared" si="3"/>
        <v>#DIV/0!</v>
      </c>
      <c r="AE24" s="81" t="e">
        <f t="shared" si="4"/>
        <v>#DIV/0!</v>
      </c>
      <c r="AF24" s="81" t="e">
        <f t="shared" si="5"/>
        <v>#DIV/0!</v>
      </c>
      <c r="AG24" s="81" t="e">
        <f t="shared" si="6"/>
        <v>#DIV/0!</v>
      </c>
      <c r="AH24" s="81" t="e">
        <f t="shared" si="7"/>
        <v>#DIV/0!</v>
      </c>
      <c r="AI24" s="81" t="e">
        <f t="shared" si="8"/>
        <v>#DIV/0!</v>
      </c>
      <c r="AJ24" s="81" t="e">
        <f t="shared" si="9"/>
        <v>#DIV/0!</v>
      </c>
      <c r="AK24" s="81" t="e">
        <f t="shared" si="13"/>
        <v>#DIV/0!</v>
      </c>
      <c r="AL24" s="81" t="e">
        <f t="shared" si="14"/>
        <v>#DIV/0!</v>
      </c>
      <c r="AN24" s="128">
        <v>5781.6</v>
      </c>
    </row>
    <row r="25" spans="2:40" ht="30" x14ac:dyDescent="0.25">
      <c r="B25" s="7" t="s">
        <v>19</v>
      </c>
      <c r="C25" s="14">
        <v>121600</v>
      </c>
      <c r="D25" s="19">
        <v>0</v>
      </c>
      <c r="E25" s="81">
        <f t="shared" si="16"/>
        <v>0</v>
      </c>
      <c r="F25" s="19">
        <v>0</v>
      </c>
      <c r="G25" s="81">
        <f t="shared" si="17"/>
        <v>0</v>
      </c>
      <c r="H25" s="19">
        <v>0</v>
      </c>
      <c r="I25" s="81">
        <f t="shared" si="18"/>
        <v>0</v>
      </c>
      <c r="J25" s="19">
        <v>0</v>
      </c>
      <c r="K25" s="81">
        <f t="shared" si="19"/>
        <v>0</v>
      </c>
      <c r="L25" s="19">
        <v>0</v>
      </c>
      <c r="M25" s="81">
        <f t="shared" si="20"/>
        <v>0</v>
      </c>
      <c r="N25" s="19">
        <v>0</v>
      </c>
      <c r="O25" s="81">
        <f t="shared" si="25"/>
        <v>0</v>
      </c>
      <c r="P25" s="19">
        <v>0</v>
      </c>
      <c r="Q25" s="81">
        <f t="shared" si="21"/>
        <v>0</v>
      </c>
      <c r="R25" s="19">
        <v>0</v>
      </c>
      <c r="S25" s="81">
        <f t="shared" si="22"/>
        <v>0</v>
      </c>
      <c r="T25" s="19">
        <v>0</v>
      </c>
      <c r="U25" s="81">
        <f t="shared" si="23"/>
        <v>0</v>
      </c>
      <c r="V25" s="19">
        <v>0</v>
      </c>
      <c r="W25" s="81">
        <f t="shared" si="24"/>
        <v>0</v>
      </c>
      <c r="X25" s="81">
        <f t="shared" si="11"/>
        <v>0</v>
      </c>
      <c r="Y25" s="81">
        <f t="shared" si="12"/>
        <v>0</v>
      </c>
      <c r="AA25" s="81"/>
      <c r="AB25" s="81" t="e">
        <f t="shared" si="1"/>
        <v>#DIV/0!</v>
      </c>
      <c r="AC25" s="81" t="e">
        <f t="shared" si="2"/>
        <v>#DIV/0!</v>
      </c>
      <c r="AD25" s="81" t="e">
        <f t="shared" si="3"/>
        <v>#DIV/0!</v>
      </c>
      <c r="AE25" s="81" t="e">
        <f t="shared" si="4"/>
        <v>#DIV/0!</v>
      </c>
      <c r="AF25" s="81" t="e">
        <f t="shared" si="5"/>
        <v>#DIV/0!</v>
      </c>
      <c r="AG25" s="81" t="e">
        <f t="shared" si="6"/>
        <v>#DIV/0!</v>
      </c>
      <c r="AH25" s="81" t="e">
        <f t="shared" si="7"/>
        <v>#DIV/0!</v>
      </c>
      <c r="AI25" s="81" t="e">
        <f t="shared" si="8"/>
        <v>#DIV/0!</v>
      </c>
      <c r="AJ25" s="81" t="e">
        <f t="shared" si="9"/>
        <v>#DIV/0!</v>
      </c>
      <c r="AK25" s="81" t="e">
        <f t="shared" si="13"/>
        <v>#DIV/0!</v>
      </c>
      <c r="AL25" s="81" t="e">
        <f t="shared" si="14"/>
        <v>#DIV/0!</v>
      </c>
      <c r="AN25" s="128"/>
    </row>
    <row r="26" spans="2:40" ht="30" x14ac:dyDescent="0.25">
      <c r="B26" s="7" t="s">
        <v>20</v>
      </c>
      <c r="C26" s="14">
        <v>121700</v>
      </c>
      <c r="D26" s="19">
        <v>0</v>
      </c>
      <c r="E26" s="81">
        <f t="shared" si="16"/>
        <v>0</v>
      </c>
      <c r="F26" s="19">
        <v>0</v>
      </c>
      <c r="G26" s="81">
        <f t="shared" si="17"/>
        <v>0</v>
      </c>
      <c r="H26" s="19">
        <v>0</v>
      </c>
      <c r="I26" s="81">
        <f t="shared" si="18"/>
        <v>0</v>
      </c>
      <c r="J26" s="19">
        <v>0</v>
      </c>
      <c r="K26" s="81">
        <f t="shared" si="19"/>
        <v>0</v>
      </c>
      <c r="L26" s="19">
        <v>0</v>
      </c>
      <c r="M26" s="81">
        <f t="shared" si="20"/>
        <v>0</v>
      </c>
      <c r="N26" s="19">
        <v>0</v>
      </c>
      <c r="O26" s="81">
        <f t="shared" si="25"/>
        <v>0</v>
      </c>
      <c r="P26" s="19">
        <v>0</v>
      </c>
      <c r="Q26" s="81">
        <f t="shared" si="21"/>
        <v>0</v>
      </c>
      <c r="R26" s="19">
        <v>0</v>
      </c>
      <c r="S26" s="81">
        <f t="shared" si="22"/>
        <v>0</v>
      </c>
      <c r="T26" s="19">
        <v>0</v>
      </c>
      <c r="U26" s="81">
        <f t="shared" si="23"/>
        <v>0</v>
      </c>
      <c r="V26" s="19">
        <v>0</v>
      </c>
      <c r="W26" s="81">
        <f t="shared" si="24"/>
        <v>0</v>
      </c>
      <c r="X26" s="81">
        <f t="shared" si="11"/>
        <v>0</v>
      </c>
      <c r="Y26" s="81">
        <f t="shared" si="12"/>
        <v>0</v>
      </c>
      <c r="AA26" s="81"/>
      <c r="AB26" s="81" t="e">
        <f t="shared" si="1"/>
        <v>#DIV/0!</v>
      </c>
      <c r="AC26" s="81" t="e">
        <f t="shared" si="2"/>
        <v>#DIV/0!</v>
      </c>
      <c r="AD26" s="81" t="e">
        <f t="shared" si="3"/>
        <v>#DIV/0!</v>
      </c>
      <c r="AE26" s="81" t="e">
        <f t="shared" si="4"/>
        <v>#DIV/0!</v>
      </c>
      <c r="AF26" s="81" t="e">
        <f t="shared" si="5"/>
        <v>#DIV/0!</v>
      </c>
      <c r="AG26" s="81" t="e">
        <f t="shared" si="6"/>
        <v>#DIV/0!</v>
      </c>
      <c r="AH26" s="81" t="e">
        <f t="shared" si="7"/>
        <v>#DIV/0!</v>
      </c>
      <c r="AI26" s="81" t="e">
        <f t="shared" si="8"/>
        <v>#DIV/0!</v>
      </c>
      <c r="AJ26" s="81" t="e">
        <f t="shared" si="9"/>
        <v>#DIV/0!</v>
      </c>
      <c r="AK26" s="81" t="e">
        <f t="shared" si="13"/>
        <v>#DIV/0!</v>
      </c>
      <c r="AL26" s="81" t="e">
        <f t="shared" si="14"/>
        <v>#DIV/0!</v>
      </c>
      <c r="AN26" s="128">
        <v>609.16999999999996</v>
      </c>
    </row>
    <row r="27" spans="2:40" ht="30" x14ac:dyDescent="0.25">
      <c r="B27" s="7" t="s">
        <v>21</v>
      </c>
      <c r="C27" s="14">
        <v>121800</v>
      </c>
      <c r="D27" s="19">
        <v>0</v>
      </c>
      <c r="E27" s="81">
        <f t="shared" si="16"/>
        <v>0</v>
      </c>
      <c r="F27" s="19">
        <v>0</v>
      </c>
      <c r="G27" s="81">
        <f t="shared" si="17"/>
        <v>0</v>
      </c>
      <c r="H27" s="19">
        <v>0</v>
      </c>
      <c r="I27" s="81">
        <f t="shared" si="18"/>
        <v>0</v>
      </c>
      <c r="J27" s="19">
        <v>0</v>
      </c>
      <c r="K27" s="81">
        <f t="shared" si="19"/>
        <v>0</v>
      </c>
      <c r="L27" s="19">
        <v>0</v>
      </c>
      <c r="M27" s="81">
        <f t="shared" si="20"/>
        <v>0</v>
      </c>
      <c r="N27" s="19">
        <v>0</v>
      </c>
      <c r="O27" s="81">
        <f t="shared" si="25"/>
        <v>0</v>
      </c>
      <c r="P27" s="19">
        <v>0</v>
      </c>
      <c r="Q27" s="81">
        <f t="shared" si="21"/>
        <v>0</v>
      </c>
      <c r="R27" s="19">
        <v>0</v>
      </c>
      <c r="S27" s="81">
        <f t="shared" si="22"/>
        <v>0</v>
      </c>
      <c r="T27" s="19">
        <v>0</v>
      </c>
      <c r="U27" s="81">
        <f t="shared" si="23"/>
        <v>0</v>
      </c>
      <c r="V27" s="19">
        <v>0</v>
      </c>
      <c r="W27" s="81">
        <f t="shared" si="24"/>
        <v>0</v>
      </c>
      <c r="X27" s="81">
        <f t="shared" si="11"/>
        <v>0</v>
      </c>
      <c r="Y27" s="81">
        <f t="shared" si="12"/>
        <v>0</v>
      </c>
      <c r="AA27" s="81"/>
      <c r="AB27" s="81" t="e">
        <f t="shared" si="1"/>
        <v>#DIV/0!</v>
      </c>
      <c r="AC27" s="81" t="e">
        <f t="shared" si="2"/>
        <v>#DIV/0!</v>
      </c>
      <c r="AD27" s="81" t="e">
        <f t="shared" si="3"/>
        <v>#DIV/0!</v>
      </c>
      <c r="AE27" s="81" t="e">
        <f t="shared" si="4"/>
        <v>#DIV/0!</v>
      </c>
      <c r="AF27" s="81" t="e">
        <f t="shared" si="5"/>
        <v>#DIV/0!</v>
      </c>
      <c r="AG27" s="81" t="e">
        <f t="shared" si="6"/>
        <v>#DIV/0!</v>
      </c>
      <c r="AH27" s="81" t="e">
        <f t="shared" si="7"/>
        <v>#DIV/0!</v>
      </c>
      <c r="AI27" s="81" t="e">
        <f t="shared" si="8"/>
        <v>#DIV/0!</v>
      </c>
      <c r="AJ27" s="81" t="e">
        <f t="shared" si="9"/>
        <v>#DIV/0!</v>
      </c>
      <c r="AK27" s="81" t="e">
        <f t="shared" si="13"/>
        <v>#DIV/0!</v>
      </c>
      <c r="AL27" s="81" t="e">
        <f t="shared" si="14"/>
        <v>#DIV/0!</v>
      </c>
      <c r="AN27" s="128"/>
    </row>
    <row r="28" spans="2:40" x14ac:dyDescent="0.25">
      <c r="B28" s="7" t="s">
        <v>173</v>
      </c>
      <c r="C28" s="14">
        <v>122300</v>
      </c>
      <c r="D28" s="19">
        <v>0</v>
      </c>
      <c r="E28" s="81">
        <f t="shared" si="16"/>
        <v>0</v>
      </c>
      <c r="F28" s="19">
        <v>0</v>
      </c>
      <c r="G28" s="81">
        <f t="shared" si="17"/>
        <v>0</v>
      </c>
      <c r="H28" s="19">
        <v>0</v>
      </c>
      <c r="I28" s="81">
        <f t="shared" si="18"/>
        <v>0</v>
      </c>
      <c r="J28" s="19">
        <v>0</v>
      </c>
      <c r="K28" s="81">
        <f t="shared" si="19"/>
        <v>0</v>
      </c>
      <c r="L28" s="19">
        <v>0</v>
      </c>
      <c r="M28" s="81">
        <f t="shared" si="20"/>
        <v>0</v>
      </c>
      <c r="N28" s="19">
        <v>0</v>
      </c>
      <c r="O28" s="81">
        <f t="shared" si="25"/>
        <v>0</v>
      </c>
      <c r="P28" s="19">
        <v>6996.66</v>
      </c>
      <c r="Q28" s="81">
        <f t="shared" si="21"/>
        <v>0.19136551413279887</v>
      </c>
      <c r="R28" s="19">
        <v>1001.19</v>
      </c>
      <c r="S28" s="81">
        <f t="shared" si="22"/>
        <v>2.4567090272444195E-2</v>
      </c>
      <c r="T28" s="19">
        <v>0</v>
      </c>
      <c r="U28" s="81">
        <f t="shared" si="23"/>
        <v>0</v>
      </c>
      <c r="V28" s="19">
        <v>0</v>
      </c>
      <c r="W28" s="81">
        <f t="shared" si="24"/>
        <v>0</v>
      </c>
      <c r="X28" s="81">
        <f t="shared" si="11"/>
        <v>2.1593260440524308E-2</v>
      </c>
      <c r="Y28" s="81">
        <f t="shared" si="12"/>
        <v>8.1890300908147324E-3</v>
      </c>
      <c r="AA28" s="81"/>
      <c r="AB28" s="81" t="e">
        <f t="shared" si="1"/>
        <v>#DIV/0!</v>
      </c>
      <c r="AC28" s="81" t="e">
        <f t="shared" si="2"/>
        <v>#DIV/0!</v>
      </c>
      <c r="AD28" s="81" t="e">
        <f t="shared" si="3"/>
        <v>#DIV/0!</v>
      </c>
      <c r="AE28" s="81" t="e">
        <f t="shared" si="4"/>
        <v>#DIV/0!</v>
      </c>
      <c r="AF28" s="81" t="e">
        <f t="shared" si="5"/>
        <v>#DIV/0!</v>
      </c>
      <c r="AG28" s="81" t="e">
        <f t="shared" si="6"/>
        <v>#DIV/0!</v>
      </c>
      <c r="AH28" s="81">
        <f t="shared" si="7"/>
        <v>-0.85690458018540272</v>
      </c>
      <c r="AI28" s="81">
        <f t="shared" si="8"/>
        <v>-1</v>
      </c>
      <c r="AJ28" s="81" t="e">
        <f t="shared" si="9"/>
        <v>#DIV/0!</v>
      </c>
      <c r="AK28" s="81" t="e">
        <f t="shared" si="13"/>
        <v>#DIV/0!</v>
      </c>
      <c r="AL28" s="81" t="e">
        <f t="shared" si="14"/>
        <v>#DIV/0!</v>
      </c>
      <c r="AN28" s="128">
        <v>1426923.97</v>
      </c>
    </row>
    <row r="29" spans="2:40" ht="30" x14ac:dyDescent="0.25">
      <c r="B29" s="7" t="s">
        <v>22</v>
      </c>
      <c r="C29" s="14">
        <v>122500</v>
      </c>
      <c r="D29" s="19">
        <v>2443.73</v>
      </c>
      <c r="E29" s="81">
        <f t="shared" si="16"/>
        <v>0.33404277422829504</v>
      </c>
      <c r="F29" s="19">
        <v>0</v>
      </c>
      <c r="G29" s="81">
        <f t="shared" si="17"/>
        <v>0</v>
      </c>
      <c r="H29" s="19">
        <v>1589.56</v>
      </c>
      <c r="I29" s="81">
        <f t="shared" si="18"/>
        <v>0.54463285353544</v>
      </c>
      <c r="J29" s="19">
        <v>174.65</v>
      </c>
      <c r="K29" s="81">
        <f t="shared" si="19"/>
        <v>8.2902169269473594E-2</v>
      </c>
      <c r="L29" s="19">
        <v>4436.75</v>
      </c>
      <c r="M29" s="81">
        <f t="shared" si="20"/>
        <v>0.48773503183593064</v>
      </c>
      <c r="N29" s="19">
        <v>6322.75</v>
      </c>
      <c r="O29" s="81">
        <f t="shared" si="25"/>
        <v>0.23419379404502716</v>
      </c>
      <c r="P29" s="19">
        <v>351.49</v>
      </c>
      <c r="Q29" s="81">
        <f t="shared" si="21"/>
        <v>9.6135962820170593E-3</v>
      </c>
      <c r="R29" s="19">
        <v>0</v>
      </c>
      <c r="S29" s="81">
        <f t="shared" si="22"/>
        <v>0</v>
      </c>
      <c r="T29" s="19">
        <v>0</v>
      </c>
      <c r="U29" s="81">
        <f t="shared" si="23"/>
        <v>0</v>
      </c>
      <c r="V29" s="19">
        <v>0</v>
      </c>
      <c r="W29" s="81">
        <f t="shared" si="24"/>
        <v>0</v>
      </c>
      <c r="X29" s="81">
        <f t="shared" si="11"/>
        <v>0.16931202191961833</v>
      </c>
      <c r="Y29" s="81">
        <f t="shared" si="12"/>
        <v>0</v>
      </c>
      <c r="AA29" s="81"/>
      <c r="AB29" s="81">
        <f t="shared" si="1"/>
        <v>-1</v>
      </c>
      <c r="AC29" s="81" t="e">
        <f t="shared" si="2"/>
        <v>#DIV/0!</v>
      </c>
      <c r="AD29" s="81">
        <f t="shared" si="3"/>
        <v>-0.89012682754976213</v>
      </c>
      <c r="AE29" s="81">
        <f t="shared" si="4"/>
        <v>24.403664471800745</v>
      </c>
      <c r="AF29" s="81">
        <f t="shared" si="5"/>
        <v>0.42508593001634076</v>
      </c>
      <c r="AG29" s="81">
        <f t="shared" si="6"/>
        <v>-0.9444086829306868</v>
      </c>
      <c r="AH29" s="81">
        <f t="shared" si="7"/>
        <v>-1</v>
      </c>
      <c r="AI29" s="81" t="e">
        <f t="shared" si="8"/>
        <v>#DIV/0!</v>
      </c>
      <c r="AJ29" s="81" t="e">
        <f t="shared" si="9"/>
        <v>#DIV/0!</v>
      </c>
      <c r="AK29" s="81" t="e">
        <f t="shared" si="13"/>
        <v>#DIV/0!</v>
      </c>
      <c r="AL29" s="81" t="e">
        <f t="shared" si="14"/>
        <v>#DIV/0!</v>
      </c>
      <c r="AN29" s="128">
        <v>1.66</v>
      </c>
    </row>
    <row r="30" spans="2:40" ht="30" x14ac:dyDescent="0.25">
      <c r="B30" s="7" t="s">
        <v>24</v>
      </c>
      <c r="C30" s="14">
        <v>127900</v>
      </c>
      <c r="D30" s="19">
        <v>0</v>
      </c>
      <c r="E30" s="81">
        <f t="shared" si="16"/>
        <v>0</v>
      </c>
      <c r="F30" s="19">
        <v>0</v>
      </c>
      <c r="G30" s="81">
        <f t="shared" si="17"/>
        <v>0</v>
      </c>
      <c r="H30" s="19">
        <v>0</v>
      </c>
      <c r="I30" s="81">
        <f t="shared" si="18"/>
        <v>0</v>
      </c>
      <c r="J30" s="19">
        <v>0</v>
      </c>
      <c r="K30" s="81">
        <f t="shared" si="19"/>
        <v>0</v>
      </c>
      <c r="L30" s="19">
        <v>0</v>
      </c>
      <c r="M30" s="81">
        <f t="shared" si="20"/>
        <v>0</v>
      </c>
      <c r="N30" s="19">
        <v>0</v>
      </c>
      <c r="O30" s="81">
        <f t="shared" si="25"/>
        <v>0</v>
      </c>
      <c r="P30" s="19">
        <v>0</v>
      </c>
      <c r="Q30" s="81">
        <f t="shared" si="21"/>
        <v>0</v>
      </c>
      <c r="R30" s="19">
        <v>0</v>
      </c>
      <c r="S30" s="81">
        <f t="shared" si="22"/>
        <v>0</v>
      </c>
      <c r="T30" s="19">
        <v>0</v>
      </c>
      <c r="U30" s="81">
        <f t="shared" si="23"/>
        <v>0</v>
      </c>
      <c r="V30" s="19">
        <v>0</v>
      </c>
      <c r="W30" s="81">
        <f t="shared" si="24"/>
        <v>0</v>
      </c>
      <c r="X30" s="81">
        <f t="shared" si="11"/>
        <v>0</v>
      </c>
      <c r="Y30" s="81">
        <f t="shared" si="12"/>
        <v>0</v>
      </c>
      <c r="AA30" s="81"/>
      <c r="AB30" s="81" t="e">
        <f t="shared" si="1"/>
        <v>#DIV/0!</v>
      </c>
      <c r="AC30" s="81" t="e">
        <f t="shared" si="2"/>
        <v>#DIV/0!</v>
      </c>
      <c r="AD30" s="81" t="e">
        <f t="shared" si="3"/>
        <v>#DIV/0!</v>
      </c>
      <c r="AE30" s="81" t="e">
        <f t="shared" si="4"/>
        <v>#DIV/0!</v>
      </c>
      <c r="AF30" s="81" t="e">
        <f t="shared" si="5"/>
        <v>#DIV/0!</v>
      </c>
      <c r="AG30" s="81" t="e">
        <f t="shared" si="6"/>
        <v>#DIV/0!</v>
      </c>
      <c r="AH30" s="81" t="e">
        <f t="shared" si="7"/>
        <v>#DIV/0!</v>
      </c>
      <c r="AI30" s="81" t="e">
        <f t="shared" si="8"/>
        <v>#DIV/0!</v>
      </c>
      <c r="AJ30" s="81" t="e">
        <f t="shared" si="9"/>
        <v>#DIV/0!</v>
      </c>
      <c r="AK30" s="81" t="e">
        <f t="shared" si="13"/>
        <v>#DIV/0!</v>
      </c>
      <c r="AL30" s="81" t="e">
        <f t="shared" si="14"/>
        <v>#DIV/0!</v>
      </c>
      <c r="AN30" s="128">
        <v>0</v>
      </c>
    </row>
    <row r="31" spans="2:40" ht="30" x14ac:dyDescent="0.25">
      <c r="B31" s="7" t="s">
        <v>25</v>
      </c>
      <c r="C31" s="14">
        <v>128100</v>
      </c>
      <c r="D31" s="19">
        <v>0</v>
      </c>
      <c r="E31" s="81">
        <f t="shared" si="16"/>
        <v>0</v>
      </c>
      <c r="F31" s="19">
        <v>0</v>
      </c>
      <c r="G31" s="81">
        <f t="shared" si="17"/>
        <v>0</v>
      </c>
      <c r="H31" s="19">
        <v>0</v>
      </c>
      <c r="I31" s="81">
        <f t="shared" si="18"/>
        <v>0</v>
      </c>
      <c r="J31" s="19">
        <v>0</v>
      </c>
      <c r="K31" s="81">
        <f t="shared" si="19"/>
        <v>0</v>
      </c>
      <c r="L31" s="19">
        <v>0</v>
      </c>
      <c r="M31" s="81">
        <f t="shared" si="20"/>
        <v>0</v>
      </c>
      <c r="N31" s="19">
        <v>0</v>
      </c>
      <c r="O31" s="81">
        <f t="shared" si="25"/>
        <v>0</v>
      </c>
      <c r="P31" s="19">
        <v>0</v>
      </c>
      <c r="Q31" s="81">
        <f t="shared" si="21"/>
        <v>0</v>
      </c>
      <c r="R31" s="19">
        <v>0</v>
      </c>
      <c r="S31" s="81">
        <f t="shared" si="22"/>
        <v>0</v>
      </c>
      <c r="T31" s="19">
        <v>0</v>
      </c>
      <c r="U31" s="81">
        <f t="shared" si="23"/>
        <v>0</v>
      </c>
      <c r="V31" s="19">
        <v>0</v>
      </c>
      <c r="W31" s="81">
        <f t="shared" si="24"/>
        <v>0</v>
      </c>
      <c r="X31" s="81">
        <f t="shared" si="11"/>
        <v>0</v>
      </c>
      <c r="Y31" s="81">
        <f t="shared" si="12"/>
        <v>0</v>
      </c>
      <c r="AA31" s="81"/>
      <c r="AB31" s="81" t="e">
        <f t="shared" si="1"/>
        <v>#DIV/0!</v>
      </c>
      <c r="AC31" s="81" t="e">
        <f t="shared" si="2"/>
        <v>#DIV/0!</v>
      </c>
      <c r="AD31" s="81" t="e">
        <f t="shared" si="3"/>
        <v>#DIV/0!</v>
      </c>
      <c r="AE31" s="81" t="e">
        <f t="shared" si="4"/>
        <v>#DIV/0!</v>
      </c>
      <c r="AF31" s="81" t="e">
        <f t="shared" si="5"/>
        <v>#DIV/0!</v>
      </c>
      <c r="AG31" s="81" t="e">
        <f t="shared" si="6"/>
        <v>#DIV/0!</v>
      </c>
      <c r="AH31" s="81" t="e">
        <f t="shared" si="7"/>
        <v>#DIV/0!</v>
      </c>
      <c r="AI31" s="81" t="e">
        <f t="shared" si="8"/>
        <v>#DIV/0!</v>
      </c>
      <c r="AJ31" s="81" t="e">
        <f t="shared" si="9"/>
        <v>#DIV/0!</v>
      </c>
      <c r="AK31" s="81" t="e">
        <f t="shared" si="13"/>
        <v>#DIV/0!</v>
      </c>
      <c r="AL31" s="81" t="e">
        <f t="shared" si="14"/>
        <v>#DIV/0!</v>
      </c>
      <c r="AN31" s="128"/>
    </row>
    <row r="32" spans="2:40" x14ac:dyDescent="0.25">
      <c r="B32" s="7" t="s">
        <v>26</v>
      </c>
      <c r="C32" s="14">
        <v>128300</v>
      </c>
      <c r="D32" s="19">
        <v>0</v>
      </c>
      <c r="E32" s="81">
        <f t="shared" si="16"/>
        <v>0</v>
      </c>
      <c r="F32" s="19">
        <v>537.22</v>
      </c>
      <c r="G32" s="81">
        <f t="shared" si="17"/>
        <v>0.10733237433069606</v>
      </c>
      <c r="H32" s="19">
        <v>0</v>
      </c>
      <c r="I32" s="81">
        <f t="shared" si="18"/>
        <v>0</v>
      </c>
      <c r="J32" s="19">
        <v>0</v>
      </c>
      <c r="K32" s="81">
        <f t="shared" si="19"/>
        <v>0</v>
      </c>
      <c r="L32" s="19">
        <v>0</v>
      </c>
      <c r="M32" s="81">
        <f t="shared" si="20"/>
        <v>0</v>
      </c>
      <c r="N32" s="19">
        <v>0</v>
      </c>
      <c r="O32" s="81">
        <f t="shared" si="25"/>
        <v>0</v>
      </c>
      <c r="P32" s="19">
        <v>0</v>
      </c>
      <c r="Q32" s="81">
        <f t="shared" si="21"/>
        <v>0</v>
      </c>
      <c r="R32" s="19">
        <v>0</v>
      </c>
      <c r="S32" s="81">
        <f t="shared" si="22"/>
        <v>0</v>
      </c>
      <c r="T32" s="19">
        <v>0</v>
      </c>
      <c r="U32" s="81">
        <f t="shared" si="23"/>
        <v>0</v>
      </c>
      <c r="V32" s="19">
        <v>0</v>
      </c>
      <c r="W32" s="81">
        <f t="shared" si="24"/>
        <v>0</v>
      </c>
      <c r="X32" s="81">
        <f t="shared" si="11"/>
        <v>1.0733237433069606E-2</v>
      </c>
      <c r="Y32" s="81">
        <f t="shared" si="12"/>
        <v>0</v>
      </c>
      <c r="AA32" s="81"/>
      <c r="AB32" s="81" t="e">
        <f t="shared" si="1"/>
        <v>#DIV/0!</v>
      </c>
      <c r="AC32" s="81">
        <f t="shared" si="2"/>
        <v>-1</v>
      </c>
      <c r="AD32" s="81" t="e">
        <f t="shared" si="3"/>
        <v>#DIV/0!</v>
      </c>
      <c r="AE32" s="81" t="e">
        <f t="shared" si="4"/>
        <v>#DIV/0!</v>
      </c>
      <c r="AF32" s="81" t="e">
        <f t="shared" si="5"/>
        <v>#DIV/0!</v>
      </c>
      <c r="AG32" s="81" t="e">
        <f t="shared" si="6"/>
        <v>#DIV/0!</v>
      </c>
      <c r="AH32" s="81" t="e">
        <f t="shared" si="7"/>
        <v>#DIV/0!</v>
      </c>
      <c r="AI32" s="81" t="e">
        <f t="shared" si="8"/>
        <v>#DIV/0!</v>
      </c>
      <c r="AJ32" s="81" t="e">
        <f t="shared" si="9"/>
        <v>#DIV/0!</v>
      </c>
      <c r="AK32" s="81" t="e">
        <f t="shared" si="13"/>
        <v>#DIV/0!</v>
      </c>
      <c r="AL32" s="81" t="e">
        <f t="shared" si="14"/>
        <v>#DIV/0!</v>
      </c>
      <c r="AN32" s="128"/>
    </row>
    <row r="33" spans="2:40" x14ac:dyDescent="0.25">
      <c r="B33" s="7" t="s">
        <v>27</v>
      </c>
      <c r="C33" s="14">
        <v>128900</v>
      </c>
      <c r="D33" s="19">
        <v>0</v>
      </c>
      <c r="E33" s="81">
        <f t="shared" si="16"/>
        <v>0</v>
      </c>
      <c r="F33" s="19">
        <v>0</v>
      </c>
      <c r="G33" s="81">
        <f t="shared" si="17"/>
        <v>0</v>
      </c>
      <c r="H33" s="19">
        <v>0</v>
      </c>
      <c r="I33" s="81">
        <f t="shared" si="18"/>
        <v>0</v>
      </c>
      <c r="J33" s="19">
        <v>0</v>
      </c>
      <c r="K33" s="81">
        <f t="shared" si="19"/>
        <v>0</v>
      </c>
      <c r="L33" s="19">
        <v>0</v>
      </c>
      <c r="M33" s="81">
        <f t="shared" si="20"/>
        <v>0</v>
      </c>
      <c r="N33" s="19">
        <v>0</v>
      </c>
      <c r="O33" s="81">
        <f t="shared" si="25"/>
        <v>0</v>
      </c>
      <c r="P33" s="19">
        <v>0</v>
      </c>
      <c r="Q33" s="81">
        <f t="shared" si="21"/>
        <v>0</v>
      </c>
      <c r="R33" s="19">
        <v>0</v>
      </c>
      <c r="S33" s="81">
        <f t="shared" si="22"/>
        <v>0</v>
      </c>
      <c r="T33" s="19">
        <v>0</v>
      </c>
      <c r="U33" s="81">
        <f t="shared" si="23"/>
        <v>0</v>
      </c>
      <c r="V33" s="19">
        <v>0</v>
      </c>
      <c r="W33" s="81">
        <f t="shared" si="24"/>
        <v>0</v>
      </c>
      <c r="X33" s="81">
        <f t="shared" si="11"/>
        <v>0</v>
      </c>
      <c r="Y33" s="81">
        <f t="shared" si="12"/>
        <v>0</v>
      </c>
      <c r="AA33" s="81"/>
      <c r="AB33" s="81" t="e">
        <f t="shared" si="1"/>
        <v>#DIV/0!</v>
      </c>
      <c r="AC33" s="81" t="e">
        <f t="shared" si="2"/>
        <v>#DIV/0!</v>
      </c>
      <c r="AD33" s="81" t="e">
        <f t="shared" si="3"/>
        <v>#DIV/0!</v>
      </c>
      <c r="AE33" s="81" t="e">
        <f t="shared" si="4"/>
        <v>#DIV/0!</v>
      </c>
      <c r="AF33" s="81" t="e">
        <f t="shared" si="5"/>
        <v>#DIV/0!</v>
      </c>
      <c r="AG33" s="81" t="e">
        <f t="shared" si="6"/>
        <v>#DIV/0!</v>
      </c>
      <c r="AH33" s="81" t="e">
        <f t="shared" si="7"/>
        <v>#DIV/0!</v>
      </c>
      <c r="AI33" s="81" t="e">
        <f t="shared" si="8"/>
        <v>#DIV/0!</v>
      </c>
      <c r="AJ33" s="81" t="e">
        <f t="shared" si="9"/>
        <v>#DIV/0!</v>
      </c>
      <c r="AK33" s="81" t="e">
        <f t="shared" si="13"/>
        <v>#DIV/0!</v>
      </c>
      <c r="AL33" s="81" t="e">
        <f t="shared" si="14"/>
        <v>#DIV/0!</v>
      </c>
      <c r="AN33" s="128">
        <v>7.97</v>
      </c>
    </row>
    <row r="34" spans="2:40" x14ac:dyDescent="0.25">
      <c r="B34" s="7" t="s">
        <v>28</v>
      </c>
      <c r="C34" s="14">
        <v>129500</v>
      </c>
      <c r="D34" s="19">
        <v>0</v>
      </c>
      <c r="E34" s="81">
        <f t="shared" si="16"/>
        <v>0</v>
      </c>
      <c r="F34" s="19">
        <v>0</v>
      </c>
      <c r="G34" s="81">
        <f t="shared" si="17"/>
        <v>0</v>
      </c>
      <c r="H34" s="19">
        <v>0</v>
      </c>
      <c r="I34" s="81">
        <f t="shared" si="18"/>
        <v>0</v>
      </c>
      <c r="J34" s="19">
        <v>0</v>
      </c>
      <c r="K34" s="81">
        <f t="shared" si="19"/>
        <v>0</v>
      </c>
      <c r="L34" s="19">
        <v>0</v>
      </c>
      <c r="M34" s="81">
        <f t="shared" si="20"/>
        <v>0</v>
      </c>
      <c r="N34" s="19">
        <v>0</v>
      </c>
      <c r="O34" s="81">
        <f t="shared" si="25"/>
        <v>0</v>
      </c>
      <c r="P34" s="19">
        <v>0</v>
      </c>
      <c r="Q34" s="81">
        <f t="shared" si="21"/>
        <v>0</v>
      </c>
      <c r="R34" s="19">
        <v>0</v>
      </c>
      <c r="S34" s="81">
        <f t="shared" si="22"/>
        <v>0</v>
      </c>
      <c r="T34" s="19">
        <v>0</v>
      </c>
      <c r="U34" s="81">
        <f t="shared" si="23"/>
        <v>0</v>
      </c>
      <c r="V34" s="19">
        <v>0</v>
      </c>
      <c r="W34" s="81">
        <f t="shared" si="24"/>
        <v>0</v>
      </c>
      <c r="X34" s="81">
        <f t="shared" si="11"/>
        <v>0</v>
      </c>
      <c r="Y34" s="81">
        <f t="shared" si="12"/>
        <v>0</v>
      </c>
      <c r="AA34" s="81"/>
      <c r="AB34" s="81" t="e">
        <f t="shared" si="1"/>
        <v>#DIV/0!</v>
      </c>
      <c r="AC34" s="81" t="e">
        <f t="shared" si="2"/>
        <v>#DIV/0!</v>
      </c>
      <c r="AD34" s="81" t="e">
        <f t="shared" si="3"/>
        <v>#DIV/0!</v>
      </c>
      <c r="AE34" s="81" t="e">
        <f t="shared" si="4"/>
        <v>#DIV/0!</v>
      </c>
      <c r="AF34" s="81" t="e">
        <f t="shared" si="5"/>
        <v>#DIV/0!</v>
      </c>
      <c r="AG34" s="81" t="e">
        <f t="shared" si="6"/>
        <v>#DIV/0!</v>
      </c>
      <c r="AH34" s="81" t="e">
        <f t="shared" si="7"/>
        <v>#DIV/0!</v>
      </c>
      <c r="AI34" s="81" t="e">
        <f t="shared" si="8"/>
        <v>#DIV/0!</v>
      </c>
      <c r="AJ34" s="81" t="e">
        <f t="shared" si="9"/>
        <v>#DIV/0!</v>
      </c>
      <c r="AK34" s="81" t="e">
        <f t="shared" si="13"/>
        <v>#DIV/0!</v>
      </c>
      <c r="AL34" s="81" t="e">
        <f t="shared" si="14"/>
        <v>#DIV/0!</v>
      </c>
      <c r="AN34" s="128">
        <v>-7821.97</v>
      </c>
    </row>
    <row r="35" spans="2:40" x14ac:dyDescent="0.25">
      <c r="B35" s="7" t="s">
        <v>29</v>
      </c>
      <c r="C35" s="14">
        <v>129600</v>
      </c>
      <c r="D35" s="19">
        <v>0</v>
      </c>
      <c r="E35" s="81">
        <f t="shared" si="16"/>
        <v>0</v>
      </c>
      <c r="F35" s="19">
        <v>0</v>
      </c>
      <c r="G35" s="81">
        <f t="shared" si="17"/>
        <v>0</v>
      </c>
      <c r="H35" s="19">
        <v>0</v>
      </c>
      <c r="I35" s="81">
        <f t="shared" si="18"/>
        <v>0</v>
      </c>
      <c r="J35" s="19">
        <v>-538.85</v>
      </c>
      <c r="K35" s="81">
        <f t="shared" si="19"/>
        <v>-0.25577918070916605</v>
      </c>
      <c r="L35" s="19">
        <v>-532.52</v>
      </c>
      <c r="M35" s="81">
        <f t="shared" si="20"/>
        <v>-5.8540296197277235E-2</v>
      </c>
      <c r="N35" s="19">
        <v>-1043.8599999999999</v>
      </c>
      <c r="O35" s="81">
        <f t="shared" si="25"/>
        <v>-3.8664431434398329E-2</v>
      </c>
      <c r="P35" s="19">
        <v>-567.44000000000005</v>
      </c>
      <c r="Q35" s="81">
        <f t="shared" si="21"/>
        <v>-1.5520040610736467E-2</v>
      </c>
      <c r="R35" s="19">
        <v>-506.31</v>
      </c>
      <c r="S35" s="81">
        <f t="shared" si="22"/>
        <v>-1.2423779178618663E-2</v>
      </c>
      <c r="T35" s="19">
        <v>-216.13</v>
      </c>
      <c r="U35" s="81">
        <f t="shared" si="23"/>
        <v>-7.292406153248162E-3</v>
      </c>
      <c r="V35" s="19">
        <v>-287.06</v>
      </c>
      <c r="W35" s="81">
        <f t="shared" si="24"/>
        <v>-8.2262072301558433E-3</v>
      </c>
      <c r="X35" s="81">
        <f t="shared" si="11"/>
        <v>-3.9644634151360075E-2</v>
      </c>
      <c r="Y35" s="81">
        <f t="shared" si="12"/>
        <v>-9.314130854007556E-3</v>
      </c>
      <c r="AA35" s="81"/>
      <c r="AB35" s="81" t="e">
        <f t="shared" si="1"/>
        <v>#DIV/0!</v>
      </c>
      <c r="AC35" s="81" t="e">
        <f t="shared" si="2"/>
        <v>#DIV/0!</v>
      </c>
      <c r="AD35" s="81" t="e">
        <f t="shared" si="3"/>
        <v>#DIV/0!</v>
      </c>
      <c r="AE35" s="81">
        <f t="shared" si="4"/>
        <v>-1.1747239491509772E-2</v>
      </c>
      <c r="AF35" s="81">
        <f t="shared" si="5"/>
        <v>0.96022684594005847</v>
      </c>
      <c r="AG35" s="81">
        <f t="shared" si="6"/>
        <v>-0.45640219952867234</v>
      </c>
      <c r="AH35" s="81">
        <f t="shared" si="7"/>
        <v>-0.10772945157197245</v>
      </c>
      <c r="AI35" s="81">
        <f t="shared" si="8"/>
        <v>-0.57312713554936701</v>
      </c>
      <c r="AJ35" s="81">
        <f t="shared" si="9"/>
        <v>0.32818211261740621</v>
      </c>
      <c r="AK35" s="81" t="e">
        <f t="shared" si="13"/>
        <v>#DIV/0!</v>
      </c>
      <c r="AL35" s="81">
        <f t="shared" si="14"/>
        <v>-0.11755815816797775</v>
      </c>
      <c r="AN35" s="128">
        <v>-5719.69</v>
      </c>
    </row>
    <row r="36" spans="2:40" ht="30" x14ac:dyDescent="0.25">
      <c r="B36" s="7" t="s">
        <v>30</v>
      </c>
      <c r="C36" s="14">
        <v>129700</v>
      </c>
      <c r="D36" s="19">
        <v>0</v>
      </c>
      <c r="E36" s="81">
        <f t="shared" si="16"/>
        <v>0</v>
      </c>
      <c r="F36" s="19">
        <v>0</v>
      </c>
      <c r="G36" s="81">
        <f t="shared" si="17"/>
        <v>0</v>
      </c>
      <c r="H36" s="19">
        <v>0</v>
      </c>
      <c r="I36" s="81">
        <f t="shared" si="18"/>
        <v>0</v>
      </c>
      <c r="J36" s="19">
        <v>0</v>
      </c>
      <c r="K36" s="81">
        <f t="shared" si="19"/>
        <v>0</v>
      </c>
      <c r="L36" s="19">
        <v>0</v>
      </c>
      <c r="M36" s="81">
        <f t="shared" si="20"/>
        <v>0</v>
      </c>
      <c r="N36" s="19">
        <v>0</v>
      </c>
      <c r="O36" s="81">
        <f t="shared" si="25"/>
        <v>0</v>
      </c>
      <c r="P36" s="19">
        <v>0</v>
      </c>
      <c r="Q36" s="81">
        <f t="shared" si="21"/>
        <v>0</v>
      </c>
      <c r="R36" s="19">
        <v>0</v>
      </c>
      <c r="S36" s="81">
        <f t="shared" si="22"/>
        <v>0</v>
      </c>
      <c r="T36" s="19">
        <v>0</v>
      </c>
      <c r="U36" s="81">
        <f t="shared" si="23"/>
        <v>0</v>
      </c>
      <c r="V36" s="19">
        <v>0</v>
      </c>
      <c r="W36" s="81">
        <f t="shared" si="24"/>
        <v>0</v>
      </c>
      <c r="X36" s="81">
        <f t="shared" si="11"/>
        <v>0</v>
      </c>
      <c r="Y36" s="81">
        <f t="shared" si="12"/>
        <v>0</v>
      </c>
      <c r="AA36" s="81"/>
      <c r="AB36" s="81" t="e">
        <f t="shared" si="1"/>
        <v>#DIV/0!</v>
      </c>
      <c r="AC36" s="81" t="e">
        <f t="shared" si="2"/>
        <v>#DIV/0!</v>
      </c>
      <c r="AD36" s="81" t="e">
        <f t="shared" si="3"/>
        <v>#DIV/0!</v>
      </c>
      <c r="AE36" s="81" t="e">
        <f t="shared" si="4"/>
        <v>#DIV/0!</v>
      </c>
      <c r="AF36" s="81" t="e">
        <f t="shared" si="5"/>
        <v>#DIV/0!</v>
      </c>
      <c r="AG36" s="81" t="e">
        <f t="shared" si="6"/>
        <v>#DIV/0!</v>
      </c>
      <c r="AH36" s="81" t="e">
        <f t="shared" si="7"/>
        <v>#DIV/0!</v>
      </c>
      <c r="AI36" s="81" t="e">
        <f t="shared" si="8"/>
        <v>#DIV/0!</v>
      </c>
      <c r="AJ36" s="81" t="e">
        <f t="shared" si="9"/>
        <v>#DIV/0!</v>
      </c>
      <c r="AK36" s="81" t="e">
        <f t="shared" si="13"/>
        <v>#DIV/0!</v>
      </c>
      <c r="AL36" s="81" t="e">
        <f t="shared" si="14"/>
        <v>#DIV/0!</v>
      </c>
      <c r="AN36" s="128">
        <v>-3.04</v>
      </c>
    </row>
    <row r="37" spans="2:40" ht="30" x14ac:dyDescent="0.25">
      <c r="B37" s="7" t="s">
        <v>31</v>
      </c>
      <c r="C37" s="14">
        <v>129800</v>
      </c>
      <c r="D37" s="19">
        <v>-20</v>
      </c>
      <c r="E37" s="81">
        <f t="shared" si="16"/>
        <v>-2.733876281162772E-3</v>
      </c>
      <c r="F37" s="19">
        <v>-20</v>
      </c>
      <c r="G37" s="81">
        <f t="shared" si="17"/>
        <v>-3.9958443219052179E-3</v>
      </c>
      <c r="H37" s="19">
        <v>0</v>
      </c>
      <c r="I37" s="81">
        <f t="shared" si="18"/>
        <v>0</v>
      </c>
      <c r="J37" s="19">
        <v>0</v>
      </c>
      <c r="K37" s="81">
        <f t="shared" si="19"/>
        <v>0</v>
      </c>
      <c r="L37" s="19">
        <v>0</v>
      </c>
      <c r="M37" s="81">
        <f t="shared" si="20"/>
        <v>0</v>
      </c>
      <c r="N37" s="19">
        <v>0</v>
      </c>
      <c r="O37" s="81">
        <f t="shared" si="25"/>
        <v>0</v>
      </c>
      <c r="P37" s="19">
        <v>0</v>
      </c>
      <c r="Q37" s="81">
        <f t="shared" si="21"/>
        <v>0</v>
      </c>
      <c r="R37" s="19">
        <v>0</v>
      </c>
      <c r="S37" s="81">
        <f t="shared" si="22"/>
        <v>0</v>
      </c>
      <c r="T37" s="19">
        <v>0</v>
      </c>
      <c r="U37" s="81">
        <f t="shared" si="23"/>
        <v>0</v>
      </c>
      <c r="V37" s="19">
        <v>0</v>
      </c>
      <c r="W37" s="81">
        <f t="shared" si="24"/>
        <v>0</v>
      </c>
      <c r="X37" s="81">
        <f t="shared" si="11"/>
        <v>-6.7297206030679892E-4</v>
      </c>
      <c r="Y37" s="81">
        <f t="shared" si="12"/>
        <v>0</v>
      </c>
      <c r="AA37" s="81"/>
      <c r="AB37" s="81">
        <f t="shared" si="1"/>
        <v>0</v>
      </c>
      <c r="AC37" s="81">
        <f t="shared" si="2"/>
        <v>-1</v>
      </c>
      <c r="AD37" s="81" t="e">
        <f t="shared" si="3"/>
        <v>#DIV/0!</v>
      </c>
      <c r="AE37" s="81" t="e">
        <f t="shared" si="4"/>
        <v>#DIV/0!</v>
      </c>
      <c r="AF37" s="81" t="e">
        <f t="shared" si="5"/>
        <v>#DIV/0!</v>
      </c>
      <c r="AG37" s="81" t="e">
        <f t="shared" si="6"/>
        <v>#DIV/0!</v>
      </c>
      <c r="AH37" s="81" t="e">
        <f t="shared" si="7"/>
        <v>#DIV/0!</v>
      </c>
      <c r="AI37" s="81" t="e">
        <f t="shared" si="8"/>
        <v>#DIV/0!</v>
      </c>
      <c r="AJ37" s="81" t="e">
        <f t="shared" si="9"/>
        <v>#DIV/0!</v>
      </c>
      <c r="AK37" s="81" t="e">
        <f t="shared" si="13"/>
        <v>#DIV/0!</v>
      </c>
      <c r="AL37" s="81" t="e">
        <f t="shared" si="14"/>
        <v>#DIV/0!</v>
      </c>
      <c r="AN37" s="128"/>
    </row>
    <row r="38" spans="2:40" ht="30" x14ac:dyDescent="0.25">
      <c r="B38" s="7" t="s">
        <v>32</v>
      </c>
      <c r="C38" s="14">
        <v>129900</v>
      </c>
      <c r="D38" s="19">
        <v>0</v>
      </c>
      <c r="E38" s="81">
        <f t="shared" si="16"/>
        <v>0</v>
      </c>
      <c r="F38" s="19">
        <v>-27.19</v>
      </c>
      <c r="G38" s="81">
        <f t="shared" si="17"/>
        <v>-5.4323503556301441E-3</v>
      </c>
      <c r="H38" s="19">
        <v>-47.21</v>
      </c>
      <c r="I38" s="81">
        <f t="shared" si="18"/>
        <v>-1.6175619048924308E-2</v>
      </c>
      <c r="J38" s="19">
        <v>-20</v>
      </c>
      <c r="K38" s="81">
        <f t="shared" si="19"/>
        <v>-9.4935206721412646E-3</v>
      </c>
      <c r="L38" s="19">
        <v>-20</v>
      </c>
      <c r="M38" s="81">
        <f t="shared" si="20"/>
        <v>-2.1986139937383476E-3</v>
      </c>
      <c r="N38" s="19">
        <v>-20</v>
      </c>
      <c r="O38" s="81">
        <f t="shared" si="25"/>
        <v>-7.4079726082804836E-4</v>
      </c>
      <c r="P38" s="19">
        <v>-20</v>
      </c>
      <c r="Q38" s="81">
        <f t="shared" si="21"/>
        <v>-5.4701961831159121E-4</v>
      </c>
      <c r="R38" s="19">
        <v>-20</v>
      </c>
      <c r="S38" s="81">
        <f t="shared" si="22"/>
        <v>-4.907578036625255E-4</v>
      </c>
      <c r="T38" s="19">
        <v>-20</v>
      </c>
      <c r="U38" s="81">
        <f t="shared" si="23"/>
        <v>-6.7481665231556589E-4</v>
      </c>
      <c r="V38" s="19">
        <v>-20</v>
      </c>
      <c r="W38" s="81">
        <f t="shared" si="24"/>
        <v>-5.7313504007216911E-4</v>
      </c>
      <c r="X38" s="81">
        <f t="shared" si="11"/>
        <v>-3.6326630445623967E-3</v>
      </c>
      <c r="Y38" s="81">
        <f t="shared" si="12"/>
        <v>-5.795698320167535E-4</v>
      </c>
      <c r="AA38" s="81"/>
      <c r="AB38" s="81" t="e">
        <f t="shared" ref="AB38:AB69" si="26">+(F38-D38)/D38</f>
        <v>#DIV/0!</v>
      </c>
      <c r="AC38" s="81">
        <f t="shared" ref="AC38:AC69" si="27">+(H38-F38)/F38</f>
        <v>0.73630011033468179</v>
      </c>
      <c r="AD38" s="81">
        <f t="shared" ref="AD38:AD69" si="28">+(J38-H38)/H38</f>
        <v>-0.57636094047871211</v>
      </c>
      <c r="AE38" s="81">
        <f t="shared" ref="AE38:AE69" si="29">+(L38-J38)/J38</f>
        <v>0</v>
      </c>
      <c r="AF38" s="81">
        <f t="shared" ref="AF38:AF69" si="30">+(N38-L38)/L38</f>
        <v>0</v>
      </c>
      <c r="AG38" s="81">
        <f t="shared" ref="AG38:AG69" si="31">+(P38-N38)/N38</f>
        <v>0</v>
      </c>
      <c r="AH38" s="81">
        <f t="shared" ref="AH38:AH69" si="32">+(R38-P38)/P38</f>
        <v>0</v>
      </c>
      <c r="AI38" s="81">
        <f t="shared" ref="AI38:AI69" si="33">+(T38-R38)/R38</f>
        <v>0</v>
      </c>
      <c r="AJ38" s="81">
        <f t="shared" ref="AJ38:AJ69" si="34">+(V38-T38)/T38</f>
        <v>0</v>
      </c>
      <c r="AK38" s="81" t="e">
        <f t="shared" si="13"/>
        <v>#DIV/0!</v>
      </c>
      <c r="AL38" s="81">
        <f t="shared" si="14"/>
        <v>0</v>
      </c>
      <c r="AN38" s="128">
        <v>-336.99</v>
      </c>
    </row>
    <row r="39" spans="2:40" x14ac:dyDescent="0.25">
      <c r="B39" s="6" t="s">
        <v>33</v>
      </c>
      <c r="C39" s="13">
        <v>130000</v>
      </c>
      <c r="D39" s="17">
        <f t="shared" ref="D39:T39" si="35">+SUM(D40:D54)</f>
        <v>7460.2000000000007</v>
      </c>
      <c r="E39" s="80">
        <f>+D39/D$6</f>
        <v>0.34700848101342363</v>
      </c>
      <c r="F39" s="17">
        <f t="shared" si="35"/>
        <v>7263.9900000000016</v>
      </c>
      <c r="G39" s="80">
        <f>+F39/F$6</f>
        <v>0.31438971134016158</v>
      </c>
      <c r="H39" s="17">
        <f t="shared" si="35"/>
        <v>14786.2</v>
      </c>
      <c r="I39" s="80">
        <f>+H39/H$6</f>
        <v>0.5865426267043462</v>
      </c>
      <c r="J39" s="17">
        <f t="shared" si="35"/>
        <v>8285.33</v>
      </c>
      <c r="K39" s="80">
        <f>+J39/J$6</f>
        <v>0.44360640588182071</v>
      </c>
      <c r="L39" s="17">
        <f t="shared" si="35"/>
        <v>7146.6399999999994</v>
      </c>
      <c r="M39" s="80">
        <f>+L39/L$6</f>
        <v>0.19658042310243024</v>
      </c>
      <c r="N39" s="17">
        <f t="shared" si="35"/>
        <v>5848.81</v>
      </c>
      <c r="O39" s="80">
        <f>+N39/N$6</f>
        <v>9.1032841526269878E-2</v>
      </c>
      <c r="P39" s="17">
        <f t="shared" si="35"/>
        <v>3685.1799999999994</v>
      </c>
      <c r="Q39" s="80">
        <f>+P39/P$6</f>
        <v>5.1689012013847201E-2</v>
      </c>
      <c r="R39" s="17">
        <f t="shared" si="35"/>
        <v>4206.5600000000004</v>
      </c>
      <c r="S39" s="80">
        <f>+R39/R$6</f>
        <v>6.6008603827706902E-2</v>
      </c>
      <c r="T39" s="17">
        <f t="shared" si="35"/>
        <v>7191.85</v>
      </c>
      <c r="U39" s="80">
        <f>+T39/T$6</f>
        <v>0.14077018084021509</v>
      </c>
      <c r="V39" s="17">
        <f>+SUM(V40:V54)</f>
        <v>4507.3200000000015</v>
      </c>
      <c r="W39" s="80">
        <f>+V39/V$6</f>
        <v>8.3413542458772305E-2</v>
      </c>
      <c r="X39" s="80">
        <f>+AVERAGE(E39,G39,I39,K39,M39,O39,Q39,S39,U39,W39)</f>
        <v>0.2321041828708994</v>
      </c>
      <c r="Y39" s="80">
        <f>+AVERAGE(S39,U39,W39)</f>
        <v>9.6730775708898098E-2</v>
      </c>
      <c r="AA39" s="80"/>
      <c r="AB39" s="80">
        <f t="shared" si="26"/>
        <v>-2.6300903461033098E-2</v>
      </c>
      <c r="AC39" s="80">
        <f t="shared" si="27"/>
        <v>1.0355479564261512</v>
      </c>
      <c r="AD39" s="80">
        <f t="shared" si="28"/>
        <v>-0.43965792428074829</v>
      </c>
      <c r="AE39" s="80">
        <f t="shared" si="29"/>
        <v>-0.13743447756456298</v>
      </c>
      <c r="AF39" s="80">
        <f t="shared" si="30"/>
        <v>-0.18160002462695743</v>
      </c>
      <c r="AG39" s="80">
        <f t="shared" si="31"/>
        <v>-0.36992653206378751</v>
      </c>
      <c r="AH39" s="80">
        <f t="shared" si="32"/>
        <v>0.14148019906761708</v>
      </c>
      <c r="AI39" s="80">
        <f t="shared" si="33"/>
        <v>0.70967488874519791</v>
      </c>
      <c r="AJ39" s="80">
        <f t="shared" si="34"/>
        <v>-0.37327391422234873</v>
      </c>
      <c r="AK39" s="80">
        <f t="shared" si="13"/>
        <v>3.9834363113280896E-2</v>
      </c>
      <c r="AL39" s="80">
        <f t="shared" si="14"/>
        <v>0.15929372453015542</v>
      </c>
      <c r="AN39" s="139">
        <v>219397.9800000001</v>
      </c>
    </row>
    <row r="40" spans="2:40" x14ac:dyDescent="0.25">
      <c r="B40" s="7" t="s">
        <v>34</v>
      </c>
      <c r="C40" s="14">
        <v>130500</v>
      </c>
      <c r="D40" s="19">
        <v>212.52</v>
      </c>
      <c r="E40" s="81">
        <f t="shared" ref="E40:E54" si="36">+D40/D$39</f>
        <v>2.8487171925685638E-2</v>
      </c>
      <c r="F40" s="19">
        <v>448.32</v>
      </c>
      <c r="G40" s="81">
        <f t="shared" ref="G40:G54" si="37">+F40/F$39</f>
        <v>6.1718146638417716E-2</v>
      </c>
      <c r="H40" s="19">
        <v>445.39</v>
      </c>
      <c r="I40" s="81">
        <f t="shared" ref="I40:I54" si="38">+H40/H$39</f>
        <v>3.0122005653920546E-2</v>
      </c>
      <c r="J40" s="19">
        <v>354.88</v>
      </c>
      <c r="K40" s="81">
        <f t="shared" ref="K40:K54" si="39">+J40/J$39</f>
        <v>4.2832331361575215E-2</v>
      </c>
      <c r="L40" s="19">
        <v>370.69</v>
      </c>
      <c r="M40" s="81">
        <f t="shared" ref="M40:M54" si="40">+L40/L$39</f>
        <v>5.1869130108694442E-2</v>
      </c>
      <c r="N40" s="19">
        <v>103.7</v>
      </c>
      <c r="O40" s="81">
        <f>+N40/N$39</f>
        <v>1.7730102362702841E-2</v>
      </c>
      <c r="P40" s="19">
        <v>198.39</v>
      </c>
      <c r="Q40" s="81">
        <f t="shared" ref="Q40:Q54" si="41">+P40/P$39</f>
        <v>5.3834548108911917E-2</v>
      </c>
      <c r="R40" s="19">
        <v>88.12</v>
      </c>
      <c r="S40" s="81">
        <f t="shared" ref="S40:S54" si="42">+R40/R$39</f>
        <v>2.0948233235708037E-2</v>
      </c>
      <c r="T40" s="19">
        <v>157.25</v>
      </c>
      <c r="U40" s="81">
        <f t="shared" ref="U40:U54" si="43">+T40/T$39</f>
        <v>2.1865027774494738E-2</v>
      </c>
      <c r="V40" s="19">
        <v>274.58999999999997</v>
      </c>
      <c r="W40" s="81">
        <f t="shared" ref="W40:W54" si="44">+V40/V$39</f>
        <v>6.0920901999414259E-2</v>
      </c>
      <c r="X40" s="81">
        <f t="shared" si="11"/>
        <v>3.9032759916952528E-2</v>
      </c>
      <c r="Y40" s="81">
        <f t="shared" si="12"/>
        <v>3.4578054336539009E-2</v>
      </c>
      <c r="AA40" s="81"/>
      <c r="AB40" s="81">
        <f t="shared" si="26"/>
        <v>1.1095426312817616</v>
      </c>
      <c r="AC40" s="81">
        <f t="shared" si="27"/>
        <v>-6.5355103497501937E-3</v>
      </c>
      <c r="AD40" s="81">
        <f t="shared" si="28"/>
        <v>-0.20321515974763688</v>
      </c>
      <c r="AE40" s="81">
        <f t="shared" si="29"/>
        <v>4.4550270513976566E-2</v>
      </c>
      <c r="AF40" s="81">
        <f t="shared" si="30"/>
        <v>-0.72025142302193212</v>
      </c>
      <c r="AG40" s="81">
        <f t="shared" si="31"/>
        <v>0.91311475409836051</v>
      </c>
      <c r="AH40" s="81">
        <f t="shared" si="32"/>
        <v>-0.55582438630979381</v>
      </c>
      <c r="AI40" s="81">
        <f t="shared" si="33"/>
        <v>0.78449841125737618</v>
      </c>
      <c r="AJ40" s="81">
        <f t="shared" si="34"/>
        <v>0.74620031796502373</v>
      </c>
      <c r="AK40" s="81">
        <f t="shared" si="13"/>
        <v>0.23467554507637617</v>
      </c>
      <c r="AL40" s="81">
        <f t="shared" si="14"/>
        <v>0.32495811430420202</v>
      </c>
      <c r="AN40" s="128">
        <v>40290.860000000015</v>
      </c>
    </row>
    <row r="41" spans="2:40" x14ac:dyDescent="0.25">
      <c r="B41" s="7" t="s">
        <v>35</v>
      </c>
      <c r="C41" s="14">
        <v>131100</v>
      </c>
      <c r="D41" s="19">
        <v>3438.69</v>
      </c>
      <c r="E41" s="81">
        <f t="shared" si="36"/>
        <v>0.46093804455644616</v>
      </c>
      <c r="F41" s="19">
        <v>3193.63</v>
      </c>
      <c r="G41" s="81">
        <f t="shared" si="37"/>
        <v>0.43965231229668533</v>
      </c>
      <c r="H41" s="19">
        <v>2555.4699999999998</v>
      </c>
      <c r="I41" s="81">
        <f t="shared" si="38"/>
        <v>0.17282804236382571</v>
      </c>
      <c r="J41" s="19">
        <v>2590.15</v>
      </c>
      <c r="K41" s="81">
        <f t="shared" si="39"/>
        <v>0.3126188093896079</v>
      </c>
      <c r="L41" s="19">
        <v>3312.42</v>
      </c>
      <c r="M41" s="81">
        <f t="shared" si="40"/>
        <v>0.46349333393035053</v>
      </c>
      <c r="N41" s="19">
        <v>3386.13</v>
      </c>
      <c r="O41" s="81">
        <f t="shared" ref="O41:O54" si="45">+N41/N$39</f>
        <v>0.57894340900114727</v>
      </c>
      <c r="P41" s="19">
        <v>3155.76</v>
      </c>
      <c r="Q41" s="81">
        <f t="shared" si="41"/>
        <v>0.85633808931992483</v>
      </c>
      <c r="R41" s="19">
        <v>2809.72</v>
      </c>
      <c r="S41" s="81">
        <f t="shared" si="42"/>
        <v>0.66793769731086672</v>
      </c>
      <c r="T41" s="19">
        <v>3087.63</v>
      </c>
      <c r="U41" s="81">
        <f t="shared" si="43"/>
        <v>0.42932347031709506</v>
      </c>
      <c r="V41" s="19">
        <v>4537.5200000000004</v>
      </c>
      <c r="W41" s="81">
        <f t="shared" si="44"/>
        <v>1.0067002120994291</v>
      </c>
      <c r="X41" s="81">
        <f t="shared" si="11"/>
        <v>0.53887734205853788</v>
      </c>
      <c r="Y41" s="81">
        <f t="shared" si="12"/>
        <v>0.70132045990913028</v>
      </c>
      <c r="AA41" s="81"/>
      <c r="AB41" s="81">
        <f t="shared" si="26"/>
        <v>-7.1265510994012238E-2</v>
      </c>
      <c r="AC41" s="81">
        <f t="shared" si="27"/>
        <v>-0.19982277220592251</v>
      </c>
      <c r="AD41" s="81">
        <f t="shared" si="28"/>
        <v>1.3570889112374746E-2</v>
      </c>
      <c r="AE41" s="81">
        <f t="shared" si="29"/>
        <v>0.27885257610563091</v>
      </c>
      <c r="AF41" s="81">
        <f t="shared" si="30"/>
        <v>2.2252612893292528E-2</v>
      </c>
      <c r="AG41" s="81">
        <f t="shared" si="31"/>
        <v>-6.803341868150363E-2</v>
      </c>
      <c r="AH41" s="81">
        <f t="shared" si="32"/>
        <v>-0.1096534590716659</v>
      </c>
      <c r="AI41" s="81">
        <f t="shared" si="33"/>
        <v>9.8910211693692018E-2</v>
      </c>
      <c r="AJ41" s="81">
        <f t="shared" si="34"/>
        <v>0.46958022820091794</v>
      </c>
      <c r="AK41" s="81">
        <f t="shared" si="13"/>
        <v>4.8265706339200437E-2</v>
      </c>
      <c r="AL41" s="81">
        <f t="shared" si="14"/>
        <v>0.15294566027431469</v>
      </c>
      <c r="AN41" s="128">
        <v>6245.41</v>
      </c>
    </row>
    <row r="42" spans="2:40" ht="30" x14ac:dyDescent="0.25">
      <c r="B42" s="7" t="s">
        <v>36</v>
      </c>
      <c r="C42" s="14">
        <v>131200</v>
      </c>
      <c r="D42" s="19">
        <v>0</v>
      </c>
      <c r="E42" s="81">
        <f t="shared" si="36"/>
        <v>0</v>
      </c>
      <c r="F42" s="19">
        <v>0</v>
      </c>
      <c r="G42" s="81">
        <f t="shared" si="37"/>
        <v>0</v>
      </c>
      <c r="H42" s="19">
        <v>0</v>
      </c>
      <c r="I42" s="81">
        <f t="shared" si="38"/>
        <v>0</v>
      </c>
      <c r="J42" s="19">
        <v>0</v>
      </c>
      <c r="K42" s="81">
        <f t="shared" si="39"/>
        <v>0</v>
      </c>
      <c r="L42" s="19">
        <v>0</v>
      </c>
      <c r="M42" s="81">
        <f t="shared" si="40"/>
        <v>0</v>
      </c>
      <c r="N42" s="19">
        <v>0</v>
      </c>
      <c r="O42" s="81">
        <f t="shared" si="45"/>
        <v>0</v>
      </c>
      <c r="P42" s="19">
        <v>0</v>
      </c>
      <c r="Q42" s="81">
        <f t="shared" si="41"/>
        <v>0</v>
      </c>
      <c r="R42" s="19">
        <v>0</v>
      </c>
      <c r="S42" s="81">
        <f t="shared" si="42"/>
        <v>0</v>
      </c>
      <c r="T42" s="19">
        <v>0</v>
      </c>
      <c r="U42" s="81">
        <f t="shared" si="43"/>
        <v>0</v>
      </c>
      <c r="V42" s="19">
        <v>0</v>
      </c>
      <c r="W42" s="81">
        <f t="shared" si="44"/>
        <v>0</v>
      </c>
      <c r="X42" s="81">
        <f t="shared" si="11"/>
        <v>0</v>
      </c>
      <c r="Y42" s="81">
        <f t="shared" si="12"/>
        <v>0</v>
      </c>
      <c r="AA42" s="81"/>
      <c r="AB42" s="81" t="e">
        <f t="shared" si="26"/>
        <v>#DIV/0!</v>
      </c>
      <c r="AC42" s="81" t="e">
        <f t="shared" si="27"/>
        <v>#DIV/0!</v>
      </c>
      <c r="AD42" s="81" t="e">
        <f t="shared" si="28"/>
        <v>#DIV/0!</v>
      </c>
      <c r="AE42" s="81" t="e">
        <f t="shared" si="29"/>
        <v>#DIV/0!</v>
      </c>
      <c r="AF42" s="81" t="e">
        <f t="shared" si="30"/>
        <v>#DIV/0!</v>
      </c>
      <c r="AG42" s="81" t="e">
        <f t="shared" si="31"/>
        <v>#DIV/0!</v>
      </c>
      <c r="AH42" s="81" t="e">
        <f t="shared" si="32"/>
        <v>#DIV/0!</v>
      </c>
      <c r="AI42" s="81" t="e">
        <f t="shared" si="33"/>
        <v>#DIV/0!</v>
      </c>
      <c r="AJ42" s="81" t="e">
        <f t="shared" si="34"/>
        <v>#DIV/0!</v>
      </c>
      <c r="AK42" s="81" t="e">
        <f t="shared" si="13"/>
        <v>#DIV/0!</v>
      </c>
      <c r="AL42" s="81" t="e">
        <f t="shared" si="14"/>
        <v>#DIV/0!</v>
      </c>
      <c r="AN42" s="128">
        <v>420.69</v>
      </c>
    </row>
    <row r="43" spans="2:40" x14ac:dyDescent="0.25">
      <c r="B43" s="7" t="s">
        <v>37</v>
      </c>
      <c r="C43" s="14">
        <v>131400</v>
      </c>
      <c r="D43" s="19">
        <v>8.35</v>
      </c>
      <c r="E43" s="81">
        <f t="shared" si="36"/>
        <v>1.1192729417441891E-3</v>
      </c>
      <c r="F43" s="19">
        <v>19.579999999999998</v>
      </c>
      <c r="G43" s="81">
        <f t="shared" si="37"/>
        <v>2.6954882922470974E-3</v>
      </c>
      <c r="H43" s="19">
        <v>370.62</v>
      </c>
      <c r="I43" s="81">
        <f t="shared" si="38"/>
        <v>2.5065263556559494E-2</v>
      </c>
      <c r="J43" s="19">
        <v>6.96</v>
      </c>
      <c r="K43" s="81">
        <f t="shared" si="39"/>
        <v>8.4003896042764744E-4</v>
      </c>
      <c r="L43" s="19">
        <v>725.13</v>
      </c>
      <c r="M43" s="81">
        <f t="shared" si="40"/>
        <v>0.10146446441964337</v>
      </c>
      <c r="N43" s="19">
        <v>1560.75</v>
      </c>
      <c r="O43" s="81">
        <f t="shared" si="45"/>
        <v>0.26684915393045761</v>
      </c>
      <c r="P43" s="19">
        <v>94.07</v>
      </c>
      <c r="Q43" s="81">
        <f t="shared" si="41"/>
        <v>2.5526568580096498E-2</v>
      </c>
      <c r="R43" s="19">
        <v>734.16</v>
      </c>
      <c r="S43" s="81">
        <f t="shared" si="42"/>
        <v>0.17452740481533602</v>
      </c>
      <c r="T43" s="19">
        <v>431.39</v>
      </c>
      <c r="U43" s="81">
        <f t="shared" si="43"/>
        <v>5.9983175399931865E-2</v>
      </c>
      <c r="V43" s="19">
        <v>0</v>
      </c>
      <c r="W43" s="81">
        <f t="shared" si="44"/>
        <v>0</v>
      </c>
      <c r="X43" s="81">
        <f t="shared" si="11"/>
        <v>6.5807083089644378E-2</v>
      </c>
      <c r="Y43" s="81">
        <f t="shared" si="12"/>
        <v>7.8170193405089294E-2</v>
      </c>
      <c r="AA43" s="81"/>
      <c r="AB43" s="81">
        <f t="shared" si="26"/>
        <v>1.3449101796407184</v>
      </c>
      <c r="AC43" s="81">
        <f t="shared" si="27"/>
        <v>17.928498467824312</v>
      </c>
      <c r="AD43" s="81">
        <f t="shared" si="28"/>
        <v>-0.98122065727699537</v>
      </c>
      <c r="AE43" s="81">
        <f t="shared" si="29"/>
        <v>103.18534482758621</v>
      </c>
      <c r="AF43" s="81">
        <f t="shared" si="30"/>
        <v>1.1523726780025652</v>
      </c>
      <c r="AG43" s="81">
        <f t="shared" si="31"/>
        <v>-0.93972769501842068</v>
      </c>
      <c r="AH43" s="81">
        <f t="shared" si="32"/>
        <v>6.80440097799511</v>
      </c>
      <c r="AI43" s="81">
        <f t="shared" si="33"/>
        <v>-0.41240329083578509</v>
      </c>
      <c r="AJ43" s="81">
        <f t="shared" si="34"/>
        <v>-1</v>
      </c>
      <c r="AK43" s="81">
        <f t="shared" si="13"/>
        <v>14.120241720879745</v>
      </c>
      <c r="AL43" s="81">
        <f t="shared" si="14"/>
        <v>1.7973325623864416</v>
      </c>
      <c r="AN43" s="128">
        <v>29177.260000000002</v>
      </c>
    </row>
    <row r="44" spans="2:40" ht="30" x14ac:dyDescent="0.25">
      <c r="B44" s="7" t="s">
        <v>38</v>
      </c>
      <c r="C44" s="14">
        <v>132200</v>
      </c>
      <c r="D44" s="19">
        <v>0</v>
      </c>
      <c r="E44" s="81">
        <f t="shared" si="36"/>
        <v>0</v>
      </c>
      <c r="F44" s="19">
        <v>0</v>
      </c>
      <c r="G44" s="81">
        <f t="shared" si="37"/>
        <v>0</v>
      </c>
      <c r="H44" s="19">
        <v>0</v>
      </c>
      <c r="I44" s="81">
        <f t="shared" si="38"/>
        <v>0</v>
      </c>
      <c r="J44" s="19">
        <v>0</v>
      </c>
      <c r="K44" s="81">
        <f t="shared" si="39"/>
        <v>0</v>
      </c>
      <c r="L44" s="19">
        <v>0</v>
      </c>
      <c r="M44" s="81">
        <f t="shared" si="40"/>
        <v>0</v>
      </c>
      <c r="N44" s="19">
        <v>0</v>
      </c>
      <c r="O44" s="81">
        <f t="shared" si="45"/>
        <v>0</v>
      </c>
      <c r="P44" s="19">
        <v>0</v>
      </c>
      <c r="Q44" s="81">
        <f t="shared" si="41"/>
        <v>0</v>
      </c>
      <c r="R44" s="19">
        <v>0</v>
      </c>
      <c r="S44" s="81">
        <f t="shared" si="42"/>
        <v>0</v>
      </c>
      <c r="T44" s="19">
        <v>0</v>
      </c>
      <c r="U44" s="81">
        <f t="shared" si="43"/>
        <v>0</v>
      </c>
      <c r="V44" s="19">
        <v>0</v>
      </c>
      <c r="W44" s="81">
        <f t="shared" si="44"/>
        <v>0</v>
      </c>
      <c r="X44" s="81">
        <f t="shared" si="11"/>
        <v>0</v>
      </c>
      <c r="Y44" s="81">
        <f t="shared" si="12"/>
        <v>0</v>
      </c>
      <c r="AA44" s="81"/>
      <c r="AB44" s="81" t="e">
        <f t="shared" si="26"/>
        <v>#DIV/0!</v>
      </c>
      <c r="AC44" s="81" t="e">
        <f t="shared" si="27"/>
        <v>#DIV/0!</v>
      </c>
      <c r="AD44" s="81" t="e">
        <f t="shared" si="28"/>
        <v>#DIV/0!</v>
      </c>
      <c r="AE44" s="81" t="e">
        <f t="shared" si="29"/>
        <v>#DIV/0!</v>
      </c>
      <c r="AF44" s="81" t="e">
        <f t="shared" si="30"/>
        <v>#DIV/0!</v>
      </c>
      <c r="AG44" s="81" t="e">
        <f t="shared" si="31"/>
        <v>#DIV/0!</v>
      </c>
      <c r="AH44" s="81" t="e">
        <f t="shared" si="32"/>
        <v>#DIV/0!</v>
      </c>
      <c r="AI44" s="81" t="e">
        <f t="shared" si="33"/>
        <v>#DIV/0!</v>
      </c>
      <c r="AJ44" s="81" t="e">
        <f t="shared" si="34"/>
        <v>#DIV/0!</v>
      </c>
      <c r="AK44" s="81" t="e">
        <f t="shared" si="13"/>
        <v>#DIV/0!</v>
      </c>
      <c r="AL44" s="81" t="e">
        <f t="shared" si="14"/>
        <v>#DIV/0!</v>
      </c>
      <c r="AN44" s="128">
        <v>0</v>
      </c>
    </row>
    <row r="45" spans="2:40" x14ac:dyDescent="0.25">
      <c r="B45" s="7" t="s">
        <v>39</v>
      </c>
      <c r="C45" s="14">
        <v>132500</v>
      </c>
      <c r="D45" s="19">
        <v>0</v>
      </c>
      <c r="E45" s="81">
        <f t="shared" si="36"/>
        <v>0</v>
      </c>
      <c r="F45" s="19">
        <v>0</v>
      </c>
      <c r="G45" s="81">
        <f t="shared" si="37"/>
        <v>0</v>
      </c>
      <c r="H45" s="19">
        <v>0</v>
      </c>
      <c r="I45" s="81">
        <f t="shared" si="38"/>
        <v>0</v>
      </c>
      <c r="J45" s="19">
        <v>0</v>
      </c>
      <c r="K45" s="81">
        <f t="shared" si="39"/>
        <v>0</v>
      </c>
      <c r="L45" s="19">
        <v>0</v>
      </c>
      <c r="M45" s="81">
        <f t="shared" si="40"/>
        <v>0</v>
      </c>
      <c r="N45" s="19">
        <v>0</v>
      </c>
      <c r="O45" s="81">
        <f t="shared" si="45"/>
        <v>0</v>
      </c>
      <c r="P45" s="19">
        <v>0</v>
      </c>
      <c r="Q45" s="81">
        <f t="shared" si="41"/>
        <v>0</v>
      </c>
      <c r="R45" s="19">
        <v>0</v>
      </c>
      <c r="S45" s="81">
        <f t="shared" si="42"/>
        <v>0</v>
      </c>
      <c r="T45" s="19">
        <v>0</v>
      </c>
      <c r="U45" s="81">
        <f t="shared" si="43"/>
        <v>0</v>
      </c>
      <c r="V45" s="19">
        <v>0</v>
      </c>
      <c r="W45" s="81">
        <f t="shared" si="44"/>
        <v>0</v>
      </c>
      <c r="X45" s="81">
        <f t="shared" si="11"/>
        <v>0</v>
      </c>
      <c r="Y45" s="81">
        <f t="shared" si="12"/>
        <v>0</v>
      </c>
      <c r="AA45" s="81"/>
      <c r="AB45" s="81" t="e">
        <f t="shared" si="26"/>
        <v>#DIV/0!</v>
      </c>
      <c r="AC45" s="81" t="e">
        <f t="shared" si="27"/>
        <v>#DIV/0!</v>
      </c>
      <c r="AD45" s="81" t="e">
        <f t="shared" si="28"/>
        <v>#DIV/0!</v>
      </c>
      <c r="AE45" s="81" t="e">
        <f t="shared" si="29"/>
        <v>#DIV/0!</v>
      </c>
      <c r="AF45" s="81" t="e">
        <f t="shared" si="30"/>
        <v>#DIV/0!</v>
      </c>
      <c r="AG45" s="81" t="e">
        <f t="shared" si="31"/>
        <v>#DIV/0!</v>
      </c>
      <c r="AH45" s="81" t="e">
        <f t="shared" si="32"/>
        <v>#DIV/0!</v>
      </c>
      <c r="AI45" s="81" t="e">
        <f t="shared" si="33"/>
        <v>#DIV/0!</v>
      </c>
      <c r="AJ45" s="81" t="e">
        <f t="shared" si="34"/>
        <v>#DIV/0!</v>
      </c>
      <c r="AK45" s="81" t="e">
        <f t="shared" si="13"/>
        <v>#DIV/0!</v>
      </c>
      <c r="AL45" s="81" t="e">
        <f t="shared" si="14"/>
        <v>#DIV/0!</v>
      </c>
      <c r="AN45" s="128">
        <v>853.51</v>
      </c>
    </row>
    <row r="46" spans="2:40" x14ac:dyDescent="0.25">
      <c r="B46" s="7" t="s">
        <v>40</v>
      </c>
      <c r="C46" s="14">
        <v>133000</v>
      </c>
      <c r="D46" s="19">
        <v>159.69</v>
      </c>
      <c r="E46" s="81">
        <f t="shared" si="36"/>
        <v>2.1405592343368807E-2</v>
      </c>
      <c r="F46" s="19">
        <v>98.01</v>
      </c>
      <c r="G46" s="81">
        <f t="shared" si="37"/>
        <v>1.3492584653888563E-2</v>
      </c>
      <c r="H46" s="19">
        <v>38.700000000000003</v>
      </c>
      <c r="I46" s="81">
        <f t="shared" si="38"/>
        <v>2.6173053252356929E-3</v>
      </c>
      <c r="J46" s="19">
        <v>2.8</v>
      </c>
      <c r="K46" s="81">
        <f t="shared" si="39"/>
        <v>3.3794670821801905E-4</v>
      </c>
      <c r="L46" s="19">
        <v>29.5</v>
      </c>
      <c r="M46" s="81">
        <f t="shared" si="40"/>
        <v>4.1278139097533952E-3</v>
      </c>
      <c r="N46" s="19">
        <v>570.88</v>
      </c>
      <c r="O46" s="81">
        <f t="shared" si="45"/>
        <v>9.7606179718609423E-2</v>
      </c>
      <c r="P46" s="19">
        <v>32.28</v>
      </c>
      <c r="Q46" s="81">
        <f t="shared" si="41"/>
        <v>8.7594093097216434E-3</v>
      </c>
      <c r="R46" s="19">
        <v>0</v>
      </c>
      <c r="S46" s="81">
        <f t="shared" si="42"/>
        <v>0</v>
      </c>
      <c r="T46" s="19">
        <v>50.94</v>
      </c>
      <c r="U46" s="81">
        <f t="shared" si="43"/>
        <v>7.0830175824023022E-3</v>
      </c>
      <c r="V46" s="19">
        <v>9.92</v>
      </c>
      <c r="W46" s="81">
        <f t="shared" si="44"/>
        <v>2.2008643717330912E-3</v>
      </c>
      <c r="X46" s="81">
        <f t="shared" si="11"/>
        <v>1.576307139229309E-2</v>
      </c>
      <c r="Y46" s="81">
        <f t="shared" si="12"/>
        <v>3.094627318045131E-3</v>
      </c>
      <c r="AA46" s="81"/>
      <c r="AB46" s="81">
        <f t="shared" si="26"/>
        <v>-0.38624835619011832</v>
      </c>
      <c r="AC46" s="81">
        <f t="shared" si="27"/>
        <v>-0.60514233241505966</v>
      </c>
      <c r="AD46" s="81">
        <f t="shared" si="28"/>
        <v>-0.92764857881136964</v>
      </c>
      <c r="AE46" s="81">
        <f t="shared" si="29"/>
        <v>9.5357142857142865</v>
      </c>
      <c r="AF46" s="81">
        <f t="shared" si="30"/>
        <v>18.351864406779661</v>
      </c>
      <c r="AG46" s="81">
        <f t="shared" si="31"/>
        <v>-0.94345571748878931</v>
      </c>
      <c r="AH46" s="81">
        <f t="shared" si="32"/>
        <v>-1</v>
      </c>
      <c r="AI46" s="81" t="e">
        <f t="shared" si="33"/>
        <v>#DIV/0!</v>
      </c>
      <c r="AJ46" s="81">
        <f t="shared" si="34"/>
        <v>-0.80526109148017266</v>
      </c>
      <c r="AK46" s="81" t="e">
        <f t="shared" si="13"/>
        <v>#DIV/0!</v>
      </c>
      <c r="AL46" s="81" t="e">
        <f t="shared" si="14"/>
        <v>#DIV/0!</v>
      </c>
      <c r="AN46" s="128">
        <v>4222.6100000000006</v>
      </c>
    </row>
    <row r="47" spans="2:40" x14ac:dyDescent="0.25">
      <c r="B47" s="7" t="s">
        <v>167</v>
      </c>
      <c r="C47" s="14">
        <v>133500</v>
      </c>
      <c r="D47" s="19">
        <v>0</v>
      </c>
      <c r="E47" s="81">
        <f t="shared" si="36"/>
        <v>0</v>
      </c>
      <c r="F47" s="19">
        <v>0</v>
      </c>
      <c r="G47" s="81">
        <f t="shared" si="37"/>
        <v>0</v>
      </c>
      <c r="H47" s="19">
        <v>0</v>
      </c>
      <c r="I47" s="81">
        <f t="shared" si="38"/>
        <v>0</v>
      </c>
      <c r="J47" s="19">
        <v>10.5</v>
      </c>
      <c r="K47" s="81">
        <f t="shared" si="39"/>
        <v>1.2673001558175716E-3</v>
      </c>
      <c r="L47" s="19">
        <v>0.5</v>
      </c>
      <c r="M47" s="81">
        <f t="shared" si="40"/>
        <v>6.9962947622938891E-5</v>
      </c>
      <c r="N47" s="19">
        <v>0.5</v>
      </c>
      <c r="O47" s="81">
        <f t="shared" si="45"/>
        <v>8.5487475230004047E-5</v>
      </c>
      <c r="P47" s="19">
        <v>0.5</v>
      </c>
      <c r="Q47" s="81">
        <f t="shared" si="41"/>
        <v>1.3567858286433771E-4</v>
      </c>
      <c r="R47" s="19">
        <v>0.5</v>
      </c>
      <c r="S47" s="81">
        <f t="shared" si="42"/>
        <v>1.1886196797383134E-4</v>
      </c>
      <c r="T47" s="19">
        <v>2700.93</v>
      </c>
      <c r="U47" s="81">
        <f t="shared" si="43"/>
        <v>0.37555427323984786</v>
      </c>
      <c r="V47" s="19">
        <v>6.14</v>
      </c>
      <c r="W47" s="81">
        <f t="shared" si="44"/>
        <v>1.3622285526654415E-3</v>
      </c>
      <c r="X47" s="81">
        <f t="shared" si="11"/>
        <v>3.7859379292202198E-2</v>
      </c>
      <c r="Y47" s="81">
        <f t="shared" si="12"/>
        <v>0.12567845458682905</v>
      </c>
      <c r="AA47" s="81"/>
      <c r="AB47" s="81" t="e">
        <f t="shared" si="26"/>
        <v>#DIV/0!</v>
      </c>
      <c r="AC47" s="81" t="e">
        <f t="shared" si="27"/>
        <v>#DIV/0!</v>
      </c>
      <c r="AD47" s="81" t="e">
        <f t="shared" si="28"/>
        <v>#DIV/0!</v>
      </c>
      <c r="AE47" s="81">
        <f t="shared" si="29"/>
        <v>-0.95238095238095233</v>
      </c>
      <c r="AF47" s="81">
        <f t="shared" si="30"/>
        <v>0</v>
      </c>
      <c r="AG47" s="81">
        <f t="shared" si="31"/>
        <v>0</v>
      </c>
      <c r="AH47" s="81">
        <f t="shared" si="32"/>
        <v>0</v>
      </c>
      <c r="AI47" s="81">
        <f>+(T47-R47)/R47</f>
        <v>5400.86</v>
      </c>
      <c r="AJ47" s="81">
        <f t="shared" si="34"/>
        <v>-0.99772670894839932</v>
      </c>
      <c r="AK47" s="81" t="e">
        <f t="shared" si="13"/>
        <v>#DIV/0!</v>
      </c>
      <c r="AL47" s="81">
        <f t="shared" si="14"/>
        <v>1799.9540910970172</v>
      </c>
      <c r="AN47" s="128">
        <v>14888.55</v>
      </c>
    </row>
    <row r="48" spans="2:40" x14ac:dyDescent="0.25">
      <c r="B48" s="7" t="s">
        <v>41</v>
      </c>
      <c r="C48" s="14">
        <v>134000</v>
      </c>
      <c r="D48" s="19">
        <v>4.82</v>
      </c>
      <c r="E48" s="81">
        <f t="shared" si="36"/>
        <v>6.4609527894694515E-4</v>
      </c>
      <c r="F48" s="19">
        <v>1.55</v>
      </c>
      <c r="G48" s="81">
        <f t="shared" si="37"/>
        <v>2.1338135102058232E-4</v>
      </c>
      <c r="H48" s="19">
        <v>3.45</v>
      </c>
      <c r="I48" s="81">
        <f t="shared" si="38"/>
        <v>2.3332566852876332E-4</v>
      </c>
      <c r="J48" s="19">
        <v>7.59</v>
      </c>
      <c r="K48" s="81">
        <f t="shared" si="39"/>
        <v>9.1607696977670169E-4</v>
      </c>
      <c r="L48" s="19">
        <v>16.64</v>
      </c>
      <c r="M48" s="81">
        <f t="shared" si="40"/>
        <v>2.3283668968914067E-3</v>
      </c>
      <c r="N48" s="19">
        <v>14.47</v>
      </c>
      <c r="O48" s="81">
        <f t="shared" si="45"/>
        <v>2.4740075331563171E-3</v>
      </c>
      <c r="P48" s="19">
        <v>4.87</v>
      </c>
      <c r="Q48" s="81">
        <f t="shared" si="41"/>
        <v>1.3215093970986493E-3</v>
      </c>
      <c r="R48" s="19">
        <v>9.99</v>
      </c>
      <c r="S48" s="81">
        <f t="shared" si="42"/>
        <v>2.3748621201171503E-3</v>
      </c>
      <c r="T48" s="19">
        <v>20.18</v>
      </c>
      <c r="U48" s="81">
        <f t="shared" si="43"/>
        <v>2.8059539617761768E-3</v>
      </c>
      <c r="V48" s="19">
        <v>38.869999999999997</v>
      </c>
      <c r="W48" s="81">
        <f t="shared" si="44"/>
        <v>8.6237498114178687E-3</v>
      </c>
      <c r="X48" s="81">
        <f t="shared" si="11"/>
        <v>2.1937328988730562E-3</v>
      </c>
      <c r="Y48" s="81">
        <f t="shared" si="12"/>
        <v>4.6015219644370648E-3</v>
      </c>
      <c r="AA48" s="81"/>
      <c r="AB48" s="81">
        <f t="shared" si="26"/>
        <v>-0.67842323651452285</v>
      </c>
      <c r="AC48" s="81">
        <f t="shared" si="27"/>
        <v>1.2258064516129032</v>
      </c>
      <c r="AD48" s="81">
        <f t="shared" si="28"/>
        <v>1.2</v>
      </c>
      <c r="AE48" s="81">
        <f t="shared" si="29"/>
        <v>1.1923583662714099</v>
      </c>
      <c r="AF48" s="81">
        <f t="shared" si="30"/>
        <v>-0.13040865384615383</v>
      </c>
      <c r="AG48" s="81">
        <f t="shared" si="31"/>
        <v>-0.66344160331720814</v>
      </c>
      <c r="AH48" s="81">
        <f t="shared" si="32"/>
        <v>1.0513347022587269</v>
      </c>
      <c r="AI48" s="81">
        <f t="shared" si="33"/>
        <v>1.02002002002002</v>
      </c>
      <c r="AJ48" s="81">
        <f t="shared" si="34"/>
        <v>0.92616451932606536</v>
      </c>
      <c r="AK48" s="81">
        <f t="shared" si="13"/>
        <v>0.5714900628679157</v>
      </c>
      <c r="AL48" s="81">
        <f t="shared" si="14"/>
        <v>0.99917308053493736</v>
      </c>
      <c r="AN48" s="128">
        <v>3730.4800000000005</v>
      </c>
    </row>
    <row r="49" spans="2:40" x14ac:dyDescent="0.25">
      <c r="B49" s="7" t="s">
        <v>43</v>
      </c>
      <c r="C49" s="14">
        <v>134500</v>
      </c>
      <c r="D49" s="19">
        <v>1355.66</v>
      </c>
      <c r="E49" s="81">
        <f t="shared" si="36"/>
        <v>0.18171898876705717</v>
      </c>
      <c r="F49" s="19">
        <v>993.95</v>
      </c>
      <c r="G49" s="81">
        <f t="shared" si="37"/>
        <v>0.13683251215929534</v>
      </c>
      <c r="H49" s="19">
        <v>722.07</v>
      </c>
      <c r="I49" s="81">
        <f t="shared" si="38"/>
        <v>4.8834047963641776E-2</v>
      </c>
      <c r="J49" s="19">
        <v>67.319999999999993</v>
      </c>
      <c r="K49" s="81">
        <f t="shared" si="39"/>
        <v>8.1252044275846574E-3</v>
      </c>
      <c r="L49" s="19">
        <v>0</v>
      </c>
      <c r="M49" s="81">
        <f t="shared" si="40"/>
        <v>0</v>
      </c>
      <c r="N49" s="19">
        <v>0</v>
      </c>
      <c r="O49" s="81">
        <f t="shared" si="45"/>
        <v>0</v>
      </c>
      <c r="P49" s="19">
        <v>0</v>
      </c>
      <c r="Q49" s="81">
        <f t="shared" si="41"/>
        <v>0</v>
      </c>
      <c r="R49" s="19">
        <v>449.11</v>
      </c>
      <c r="S49" s="81">
        <f t="shared" si="42"/>
        <v>0.10676419687345479</v>
      </c>
      <c r="T49" s="19">
        <v>527.54</v>
      </c>
      <c r="U49" s="81">
        <f t="shared" si="43"/>
        <v>7.3352475371427375E-2</v>
      </c>
      <c r="V49" s="19">
        <v>90.59</v>
      </c>
      <c r="W49" s="81">
        <f t="shared" si="44"/>
        <v>2.0098417685010157E-2</v>
      </c>
      <c r="X49" s="81">
        <f t="shared" si="11"/>
        <v>5.7572584324747135E-2</v>
      </c>
      <c r="Y49" s="81">
        <f t="shared" si="12"/>
        <v>6.6738363309964105E-2</v>
      </c>
      <c r="AA49" s="81"/>
      <c r="AB49" s="81">
        <f t="shared" si="26"/>
        <v>-0.26681468804862579</v>
      </c>
      <c r="AC49" s="81">
        <f t="shared" si="27"/>
        <v>-0.273534886060667</v>
      </c>
      <c r="AD49" s="81">
        <f t="shared" si="28"/>
        <v>-0.90676804187959614</v>
      </c>
      <c r="AE49" s="81">
        <f t="shared" si="29"/>
        <v>-1</v>
      </c>
      <c r="AF49" s="81" t="e">
        <f t="shared" si="30"/>
        <v>#DIV/0!</v>
      </c>
      <c r="AG49" s="81" t="e">
        <f t="shared" si="31"/>
        <v>#DIV/0!</v>
      </c>
      <c r="AH49" s="81" t="e">
        <f t="shared" si="32"/>
        <v>#DIV/0!</v>
      </c>
      <c r="AI49" s="81">
        <f t="shared" si="33"/>
        <v>0.17463427668054585</v>
      </c>
      <c r="AJ49" s="81">
        <f t="shared" si="34"/>
        <v>-0.82827842438488064</v>
      </c>
      <c r="AK49" s="81" t="e">
        <f t="shared" si="13"/>
        <v>#DIV/0!</v>
      </c>
      <c r="AL49" s="81" t="e">
        <f t="shared" si="14"/>
        <v>#DIV/0!</v>
      </c>
      <c r="AN49" s="128">
        <v>60107.259999999987</v>
      </c>
    </row>
    <row r="50" spans="2:40" x14ac:dyDescent="0.25">
      <c r="B50" s="7" t="s">
        <v>45</v>
      </c>
      <c r="C50" s="14">
        <v>135000</v>
      </c>
      <c r="D50" s="19">
        <v>0</v>
      </c>
      <c r="E50" s="81">
        <f t="shared" si="36"/>
        <v>0</v>
      </c>
      <c r="F50" s="19">
        <v>0</v>
      </c>
      <c r="G50" s="81">
        <f t="shared" si="37"/>
        <v>0</v>
      </c>
      <c r="H50" s="19">
        <v>0</v>
      </c>
      <c r="I50" s="81">
        <f t="shared" si="38"/>
        <v>0</v>
      </c>
      <c r="J50" s="19">
        <v>0</v>
      </c>
      <c r="K50" s="81">
        <f t="shared" si="39"/>
        <v>0</v>
      </c>
      <c r="L50" s="19">
        <v>2.23</v>
      </c>
      <c r="M50" s="81">
        <f t="shared" si="40"/>
        <v>3.1203474639830746E-4</v>
      </c>
      <c r="N50" s="19">
        <v>1.2</v>
      </c>
      <c r="O50" s="81">
        <f t="shared" si="45"/>
        <v>2.051699405520097E-4</v>
      </c>
      <c r="P50" s="19">
        <v>0</v>
      </c>
      <c r="Q50" s="81">
        <f t="shared" si="41"/>
        <v>0</v>
      </c>
      <c r="R50" s="19">
        <v>0.05</v>
      </c>
      <c r="S50" s="81">
        <f t="shared" si="42"/>
        <v>1.1886196797383134E-5</v>
      </c>
      <c r="T50" s="19">
        <v>0</v>
      </c>
      <c r="U50" s="81">
        <f t="shared" si="43"/>
        <v>0</v>
      </c>
      <c r="V50" s="19">
        <v>0</v>
      </c>
      <c r="W50" s="81">
        <f t="shared" si="44"/>
        <v>0</v>
      </c>
      <c r="X50" s="81">
        <f t="shared" si="11"/>
        <v>5.2909088374770031E-5</v>
      </c>
      <c r="Y50" s="81">
        <f t="shared" si="12"/>
        <v>3.9620655991277114E-6</v>
      </c>
      <c r="AA50" s="81"/>
      <c r="AB50" s="81" t="e">
        <f t="shared" si="26"/>
        <v>#DIV/0!</v>
      </c>
      <c r="AC50" s="81" t="e">
        <f t="shared" si="27"/>
        <v>#DIV/0!</v>
      </c>
      <c r="AD50" s="81" t="e">
        <f t="shared" si="28"/>
        <v>#DIV/0!</v>
      </c>
      <c r="AE50" s="81" t="e">
        <f t="shared" si="29"/>
        <v>#DIV/0!</v>
      </c>
      <c r="AF50" s="81">
        <f t="shared" si="30"/>
        <v>-0.46188340807174888</v>
      </c>
      <c r="AG50" s="81">
        <f t="shared" si="31"/>
        <v>-1</v>
      </c>
      <c r="AH50" s="81" t="e">
        <f t="shared" si="32"/>
        <v>#DIV/0!</v>
      </c>
      <c r="AI50" s="81">
        <f t="shared" si="33"/>
        <v>-1</v>
      </c>
      <c r="AJ50" s="81" t="e">
        <f t="shared" si="34"/>
        <v>#DIV/0!</v>
      </c>
      <c r="AK50" s="81" t="e">
        <f t="shared" si="13"/>
        <v>#DIV/0!</v>
      </c>
      <c r="AL50" s="81" t="e">
        <f t="shared" si="14"/>
        <v>#DIV/0!</v>
      </c>
      <c r="AN50" s="128">
        <v>1102.2300000000002</v>
      </c>
    </row>
    <row r="51" spans="2:40" x14ac:dyDescent="0.25">
      <c r="B51" s="7" t="s">
        <v>168</v>
      </c>
      <c r="C51" s="14">
        <v>135500</v>
      </c>
      <c r="D51" s="19">
        <v>0</v>
      </c>
      <c r="E51" s="81">
        <f t="shared" si="36"/>
        <v>0</v>
      </c>
      <c r="F51" s="19">
        <v>0</v>
      </c>
      <c r="G51" s="81">
        <f t="shared" si="37"/>
        <v>0</v>
      </c>
      <c r="H51" s="19">
        <v>0</v>
      </c>
      <c r="I51" s="81">
        <f t="shared" si="38"/>
        <v>0</v>
      </c>
      <c r="J51" s="19">
        <v>0</v>
      </c>
      <c r="K51" s="81">
        <f t="shared" si="39"/>
        <v>0</v>
      </c>
      <c r="L51" s="19">
        <v>0</v>
      </c>
      <c r="M51" s="81">
        <f t="shared" si="40"/>
        <v>0</v>
      </c>
      <c r="N51" s="19">
        <v>0</v>
      </c>
      <c r="O51" s="81">
        <f t="shared" si="45"/>
        <v>0</v>
      </c>
      <c r="P51" s="19">
        <v>6.08</v>
      </c>
      <c r="Q51" s="81">
        <f t="shared" si="41"/>
        <v>1.6498515676303467E-3</v>
      </c>
      <c r="R51" s="19">
        <v>0</v>
      </c>
      <c r="S51" s="81">
        <f t="shared" si="42"/>
        <v>0</v>
      </c>
      <c r="T51" s="19">
        <v>0.32</v>
      </c>
      <c r="U51" s="81">
        <f t="shared" si="43"/>
        <v>4.4494810097540967E-5</v>
      </c>
      <c r="V51" s="19">
        <v>0</v>
      </c>
      <c r="W51" s="81">
        <f t="shared" si="44"/>
        <v>0</v>
      </c>
      <c r="X51" s="81">
        <f t="shared" si="11"/>
        <v>1.6943463777278875E-4</v>
      </c>
      <c r="Y51" s="81">
        <f t="shared" si="12"/>
        <v>1.483160336584699E-5</v>
      </c>
      <c r="AA51" s="81"/>
      <c r="AB51" s="81" t="e">
        <f t="shared" si="26"/>
        <v>#DIV/0!</v>
      </c>
      <c r="AC51" s="81" t="e">
        <f t="shared" si="27"/>
        <v>#DIV/0!</v>
      </c>
      <c r="AD51" s="81" t="e">
        <f t="shared" si="28"/>
        <v>#DIV/0!</v>
      </c>
      <c r="AE51" s="81" t="e">
        <f t="shared" si="29"/>
        <v>#DIV/0!</v>
      </c>
      <c r="AF51" s="81" t="e">
        <f t="shared" si="30"/>
        <v>#DIV/0!</v>
      </c>
      <c r="AG51" s="81" t="e">
        <f t="shared" si="31"/>
        <v>#DIV/0!</v>
      </c>
      <c r="AH51" s="81">
        <f t="shared" si="32"/>
        <v>-1</v>
      </c>
      <c r="AI51" s="81" t="e">
        <f t="shared" si="33"/>
        <v>#DIV/0!</v>
      </c>
      <c r="AJ51" s="81">
        <f t="shared" si="34"/>
        <v>-1</v>
      </c>
      <c r="AK51" s="81" t="e">
        <f t="shared" si="13"/>
        <v>#DIV/0!</v>
      </c>
      <c r="AL51" s="81" t="e">
        <f t="shared" si="14"/>
        <v>#DIV/0!</v>
      </c>
      <c r="AN51" s="128">
        <v>8475.409999999998</v>
      </c>
    </row>
    <row r="52" spans="2:40" x14ac:dyDescent="0.25">
      <c r="B52" s="7" t="s">
        <v>46</v>
      </c>
      <c r="C52" s="14">
        <v>136000</v>
      </c>
      <c r="D52" s="19">
        <v>2338.27</v>
      </c>
      <c r="E52" s="81">
        <f t="shared" si="36"/>
        <v>0.31343261574756703</v>
      </c>
      <c r="F52" s="19">
        <v>2819.33</v>
      </c>
      <c r="G52" s="81">
        <f t="shared" si="37"/>
        <v>0.3881241576599086</v>
      </c>
      <c r="H52" s="19">
        <v>11248.95</v>
      </c>
      <c r="I52" s="81">
        <f t="shared" si="38"/>
        <v>0.76077355912945854</v>
      </c>
      <c r="J52" s="19">
        <v>6608.46</v>
      </c>
      <c r="K52" s="81">
        <f t="shared" si="39"/>
        <v>0.79760975121087518</v>
      </c>
      <c r="L52" s="19">
        <v>4290.2</v>
      </c>
      <c r="M52" s="81">
        <f t="shared" si="40"/>
        <v>0.60031007578386486</v>
      </c>
      <c r="N52" s="19">
        <v>2073.42</v>
      </c>
      <c r="O52" s="81">
        <f t="shared" si="45"/>
        <v>0.35450288178278999</v>
      </c>
      <c r="P52" s="19">
        <v>203.41</v>
      </c>
      <c r="Q52" s="81">
        <f t="shared" si="41"/>
        <v>5.519676108086987E-2</v>
      </c>
      <c r="R52" s="19">
        <v>153.43</v>
      </c>
      <c r="S52" s="81">
        <f t="shared" si="42"/>
        <v>3.6473983492449888E-2</v>
      </c>
      <c r="T52" s="19">
        <v>726.84</v>
      </c>
      <c r="U52" s="81">
        <f t="shared" si="43"/>
        <v>0.10106439928530211</v>
      </c>
      <c r="V52" s="19">
        <v>554.5</v>
      </c>
      <c r="W52" s="81">
        <f t="shared" si="44"/>
        <v>0.12302210626270152</v>
      </c>
      <c r="X52" s="81">
        <f t="shared" si="11"/>
        <v>0.35305102914357878</v>
      </c>
      <c r="Y52" s="81">
        <f t="shared" si="12"/>
        <v>8.6853496346817827E-2</v>
      </c>
      <c r="AA52" s="81"/>
      <c r="AB52" s="81">
        <f t="shared" si="26"/>
        <v>0.20573329854978251</v>
      </c>
      <c r="AC52" s="81">
        <f t="shared" si="27"/>
        <v>2.9899373255347905</v>
      </c>
      <c r="AD52" s="81">
        <f t="shared" si="28"/>
        <v>-0.41252650247356426</v>
      </c>
      <c r="AE52" s="81">
        <f t="shared" si="29"/>
        <v>-0.35080185096073824</v>
      </c>
      <c r="AF52" s="81">
        <f t="shared" si="30"/>
        <v>-0.51670784578807516</v>
      </c>
      <c r="AG52" s="81">
        <f t="shared" si="31"/>
        <v>-0.90189638375244763</v>
      </c>
      <c r="AH52" s="81">
        <f t="shared" si="32"/>
        <v>-0.24571063369549181</v>
      </c>
      <c r="AI52" s="81">
        <f t="shared" si="33"/>
        <v>3.7372743270546831</v>
      </c>
      <c r="AJ52" s="81">
        <f t="shared" si="34"/>
        <v>-0.23710857960486492</v>
      </c>
      <c r="AK52" s="81">
        <f t="shared" si="13"/>
        <v>0.47424368387378607</v>
      </c>
      <c r="AL52" s="81">
        <f t="shared" si="14"/>
        <v>1.0848183712514421</v>
      </c>
      <c r="AN52" s="128">
        <v>37020.939999999981</v>
      </c>
    </row>
    <row r="53" spans="2:40" x14ac:dyDescent="0.25">
      <c r="B53" s="7" t="s">
        <v>48</v>
      </c>
      <c r="C53" s="14">
        <v>139000</v>
      </c>
      <c r="D53" s="19">
        <v>160.35</v>
      </c>
      <c r="E53" s="81">
        <f t="shared" si="36"/>
        <v>2.1494061821398888E-2</v>
      </c>
      <c r="F53" s="19">
        <v>160.35</v>
      </c>
      <c r="G53" s="81">
        <f t="shared" si="37"/>
        <v>2.2074644926548627E-2</v>
      </c>
      <c r="H53" s="19">
        <v>160.35</v>
      </c>
      <c r="I53" s="81">
        <f t="shared" si="38"/>
        <v>1.0844571289445564E-2</v>
      </c>
      <c r="J53" s="19">
        <v>527.9</v>
      </c>
      <c r="K53" s="81">
        <f t="shared" si="39"/>
        <v>6.3715024024390096E-2</v>
      </c>
      <c r="L53" s="19">
        <v>527.9</v>
      </c>
      <c r="M53" s="81">
        <f t="shared" si="40"/>
        <v>7.386688010029889E-2</v>
      </c>
      <c r="N53" s="19">
        <v>815.14</v>
      </c>
      <c r="O53" s="81">
        <f t="shared" si="45"/>
        <v>0.13936852111797099</v>
      </c>
      <c r="P53" s="19">
        <v>2022.29</v>
      </c>
      <c r="Q53" s="81">
        <f t="shared" si="41"/>
        <v>0.54876288268144302</v>
      </c>
      <c r="R53" s="19">
        <v>1977.14</v>
      </c>
      <c r="S53" s="81">
        <f t="shared" si="42"/>
        <v>0.47001350271956183</v>
      </c>
      <c r="T53" s="19">
        <v>1977.14</v>
      </c>
      <c r="U53" s="81">
        <f t="shared" si="43"/>
        <v>0.27491396511328797</v>
      </c>
      <c r="V53" s="19">
        <v>1977.14</v>
      </c>
      <c r="W53" s="81">
        <f t="shared" si="44"/>
        <v>0.43865090563793996</v>
      </c>
      <c r="X53" s="81">
        <f t="shared" si="11"/>
        <v>0.20637049594322859</v>
      </c>
      <c r="Y53" s="81">
        <f t="shared" si="12"/>
        <v>0.3945261244902632</v>
      </c>
      <c r="AA53" s="81"/>
      <c r="AB53" s="81">
        <f t="shared" si="26"/>
        <v>0</v>
      </c>
      <c r="AC53" s="81">
        <f t="shared" si="27"/>
        <v>0</v>
      </c>
      <c r="AD53" s="81">
        <f t="shared" si="28"/>
        <v>2.2921733707514811</v>
      </c>
      <c r="AE53" s="81">
        <f t="shared" si="29"/>
        <v>0</v>
      </c>
      <c r="AF53" s="81">
        <f t="shared" si="30"/>
        <v>0.54411820420534196</v>
      </c>
      <c r="AG53" s="81">
        <f t="shared" si="31"/>
        <v>1.4809112545084282</v>
      </c>
      <c r="AH53" s="81">
        <f t="shared" si="32"/>
        <v>-2.232617478205394E-2</v>
      </c>
      <c r="AI53" s="81">
        <f t="shared" si="33"/>
        <v>0</v>
      </c>
      <c r="AJ53" s="81">
        <f t="shared" si="34"/>
        <v>0</v>
      </c>
      <c r="AK53" s="81">
        <f t="shared" si="13"/>
        <v>0.4772085171870219</v>
      </c>
      <c r="AL53" s="81">
        <f t="shared" si="14"/>
        <v>-7.4420582606846463E-3</v>
      </c>
      <c r="AN53" s="128">
        <v>30356.67</v>
      </c>
    </row>
    <row r="54" spans="2:40" x14ac:dyDescent="0.25">
      <c r="B54" s="7" t="s">
        <v>49</v>
      </c>
      <c r="C54" s="14">
        <v>139900</v>
      </c>
      <c r="D54" s="19">
        <v>-218.15</v>
      </c>
      <c r="E54" s="81">
        <f t="shared" si="36"/>
        <v>-2.9241843382214951E-2</v>
      </c>
      <c r="F54" s="19">
        <v>-470.73</v>
      </c>
      <c r="G54" s="81">
        <f t="shared" si="37"/>
        <v>-6.4803227978012079E-2</v>
      </c>
      <c r="H54" s="19">
        <v>-758.8</v>
      </c>
      <c r="I54" s="81">
        <f t="shared" si="38"/>
        <v>-5.1318120950616108E-2</v>
      </c>
      <c r="J54" s="19">
        <v>-1891.23</v>
      </c>
      <c r="K54" s="81">
        <f t="shared" si="39"/>
        <v>-0.22826248320827294</v>
      </c>
      <c r="L54" s="19">
        <v>-2128.5700000000002</v>
      </c>
      <c r="M54" s="81">
        <f t="shared" si="40"/>
        <v>-0.29784206284351811</v>
      </c>
      <c r="N54" s="19">
        <v>-2677.38</v>
      </c>
      <c r="O54" s="81">
        <f t="shared" si="45"/>
        <v>-0.4577649128626165</v>
      </c>
      <c r="P54" s="19">
        <v>-2032.47</v>
      </c>
      <c r="Q54" s="81">
        <f t="shared" si="41"/>
        <v>-0.55152529862856103</v>
      </c>
      <c r="R54" s="19">
        <v>-2015.66</v>
      </c>
      <c r="S54" s="81">
        <f t="shared" si="42"/>
        <v>-0.47917062873226579</v>
      </c>
      <c r="T54" s="19">
        <v>-2488.31</v>
      </c>
      <c r="U54" s="81">
        <f t="shared" si="43"/>
        <v>-0.34599025285566298</v>
      </c>
      <c r="V54" s="19">
        <v>-2981.95</v>
      </c>
      <c r="W54" s="81">
        <f t="shared" si="44"/>
        <v>-0.66157938642031155</v>
      </c>
      <c r="X54" s="81">
        <f t="shared" si="11"/>
        <v>-0.3167498217862052</v>
      </c>
      <c r="Y54" s="81">
        <f t="shared" si="12"/>
        <v>-0.49558008933608005</v>
      </c>
      <c r="AA54" s="81"/>
      <c r="AB54" s="81">
        <f t="shared" si="26"/>
        <v>1.1578271831308733</v>
      </c>
      <c r="AC54" s="81">
        <f t="shared" si="27"/>
        <v>0.61196439572578742</v>
      </c>
      <c r="AD54" s="81">
        <f t="shared" si="28"/>
        <v>1.4923958882445969</v>
      </c>
      <c r="AE54" s="81">
        <f t="shared" si="29"/>
        <v>0.12549504819614757</v>
      </c>
      <c r="AF54" s="81">
        <f t="shared" si="30"/>
        <v>0.25783037438280154</v>
      </c>
      <c r="AG54" s="81">
        <f t="shared" si="31"/>
        <v>-0.24087354055083704</v>
      </c>
      <c r="AH54" s="81">
        <f t="shared" si="32"/>
        <v>-8.2707247831456041E-3</v>
      </c>
      <c r="AI54" s="81">
        <f t="shared" si="33"/>
        <v>0.23448895150967913</v>
      </c>
      <c r="AJ54" s="81">
        <f t="shared" si="34"/>
        <v>0.19838364190956909</v>
      </c>
      <c r="AK54" s="81">
        <f t="shared" si="13"/>
        <v>0.42547124641838585</v>
      </c>
      <c r="AL54" s="81">
        <f t="shared" si="14"/>
        <v>0.14153395621203421</v>
      </c>
      <c r="AN54" s="128">
        <v>-33339.800000000003</v>
      </c>
    </row>
    <row r="55" spans="2:40" x14ac:dyDescent="0.25">
      <c r="B55" s="6" t="s">
        <v>50</v>
      </c>
      <c r="C55" s="13">
        <v>150000</v>
      </c>
      <c r="D55" s="17">
        <f>+SUM(D56:D62)</f>
        <v>5216.4199999999992</v>
      </c>
      <c r="E55" s="80">
        <f>+D55/D$6</f>
        <v>0.24263987299644016</v>
      </c>
      <c r="F55" s="17">
        <f t="shared" ref="F55:T55" si="46">+SUM(F56:F62)</f>
        <v>4933.4599999999982</v>
      </c>
      <c r="G55" s="80">
        <f>+F55/F$6</f>
        <v>0.21352301769526566</v>
      </c>
      <c r="H55" s="17">
        <f t="shared" si="46"/>
        <v>4692.59</v>
      </c>
      <c r="I55" s="80">
        <f>+H55/H$6</f>
        <v>0.18614681694056268</v>
      </c>
      <c r="J55" s="17">
        <f t="shared" si="46"/>
        <v>4126.1399999999994</v>
      </c>
      <c r="K55" s="80">
        <f>+J55/J$6</f>
        <v>0.22091843481976162</v>
      </c>
      <c r="L55" s="17">
        <f t="shared" si="46"/>
        <v>3868.1899999999996</v>
      </c>
      <c r="M55" s="80">
        <f>+L55/L$6</f>
        <v>0.10640110972996955</v>
      </c>
      <c r="N55" s="17">
        <f t="shared" si="46"/>
        <v>3862.3099999999995</v>
      </c>
      <c r="O55" s="80">
        <f>+N55/N$6</f>
        <v>6.0114288916091878E-2</v>
      </c>
      <c r="P55" s="17">
        <f t="shared" si="46"/>
        <v>3869.87</v>
      </c>
      <c r="Q55" s="80">
        <f>+P55/P$6</f>
        <v>5.4279507899757107E-2</v>
      </c>
      <c r="R55" s="17">
        <f t="shared" si="46"/>
        <v>3556.9199999999992</v>
      </c>
      <c r="S55" s="80">
        <f>+R55/R$6</f>
        <v>5.5814566564329801E-2</v>
      </c>
      <c r="T55" s="17">
        <f t="shared" si="46"/>
        <v>3106.8700000000008</v>
      </c>
      <c r="U55" s="80">
        <f>+T55/T$6</f>
        <v>6.0812538046127088E-2</v>
      </c>
      <c r="V55" s="17">
        <f>+SUM(V56:V62)</f>
        <v>2653.0499999999993</v>
      </c>
      <c r="W55" s="80">
        <f>+V55/V$6</f>
        <v>4.9097978137839275E-2</v>
      </c>
      <c r="X55" s="80">
        <f t="shared" si="11"/>
        <v>0.12497481317461448</v>
      </c>
      <c r="Y55" s="80">
        <f t="shared" si="12"/>
        <v>5.5241694249432059E-2</v>
      </c>
      <c r="AA55" s="80"/>
      <c r="AB55" s="80">
        <f t="shared" si="26"/>
        <v>-5.424409844299366E-2</v>
      </c>
      <c r="AC55" s="80">
        <f t="shared" si="27"/>
        <v>-4.8823746417321345E-2</v>
      </c>
      <c r="AD55" s="80">
        <f t="shared" si="28"/>
        <v>-0.12071158997483282</v>
      </c>
      <c r="AE55" s="80">
        <f t="shared" si="29"/>
        <v>-6.25160561687194E-2</v>
      </c>
      <c r="AF55" s="80">
        <f t="shared" si="30"/>
        <v>-1.5200907918173901E-3</v>
      </c>
      <c r="AG55" s="80">
        <f t="shared" si="31"/>
        <v>1.9573778386510667E-3</v>
      </c>
      <c r="AH55" s="80">
        <f t="shared" si="32"/>
        <v>-8.0868349582802715E-2</v>
      </c>
      <c r="AI55" s="80">
        <f t="shared" si="33"/>
        <v>-0.12652800737716857</v>
      </c>
      <c r="AJ55" s="80">
        <f t="shared" si="34"/>
        <v>-0.14606983877664706</v>
      </c>
      <c r="AK55" s="80">
        <f t="shared" si="13"/>
        <v>-7.1036044410405758E-2</v>
      </c>
      <c r="AL55" s="80">
        <f t="shared" si="14"/>
        <v>-0.11782206524553944</v>
      </c>
      <c r="AN55" s="143">
        <v>69211.790000000008</v>
      </c>
    </row>
    <row r="56" spans="2:40" x14ac:dyDescent="0.25">
      <c r="B56" s="7" t="s">
        <v>51</v>
      </c>
      <c r="C56" s="14">
        <v>150400</v>
      </c>
      <c r="D56" s="19">
        <v>908.7</v>
      </c>
      <c r="E56" s="81">
        <f t="shared" ref="E56:E62" si="47">+D56/D$55</f>
        <v>0.17419993022034272</v>
      </c>
      <c r="F56" s="19">
        <v>908.7</v>
      </c>
      <c r="G56" s="81">
        <f t="shared" ref="G56:G62" si="48">+F56/F$55</f>
        <v>0.18419121671200342</v>
      </c>
      <c r="H56" s="19">
        <v>908.7</v>
      </c>
      <c r="I56" s="81">
        <f t="shared" ref="I56:I62" si="49">+H56/H$55</f>
        <v>0.19364572656038564</v>
      </c>
      <c r="J56" s="19">
        <v>908.7</v>
      </c>
      <c r="K56" s="81">
        <f t="shared" ref="K56:K62" si="50">+J56/J$55</f>
        <v>0.22023004551469416</v>
      </c>
      <c r="L56" s="19">
        <v>908.7</v>
      </c>
      <c r="M56" s="81">
        <f t="shared" ref="M56:M62" si="51">+L56/L$55</f>
        <v>0.2349160718578974</v>
      </c>
      <c r="N56" s="19">
        <v>908.7</v>
      </c>
      <c r="O56" s="81">
        <f>+N56/N$55</f>
        <v>0.23527370925689553</v>
      </c>
      <c r="P56" s="19">
        <v>908.7</v>
      </c>
      <c r="Q56" s="81">
        <f t="shared" ref="Q56:Q62" si="52">+P56/P$55</f>
        <v>0.23481408936217499</v>
      </c>
      <c r="R56" s="19">
        <v>908.7</v>
      </c>
      <c r="S56" s="81">
        <f t="shared" ref="S56:S62" si="53">+R56/R$55</f>
        <v>0.25547383691508391</v>
      </c>
      <c r="T56" s="19">
        <v>908.7</v>
      </c>
      <c r="U56" s="81">
        <f t="shared" ref="U56:U62" si="54">+T56/T$55</f>
        <v>0.29248085693962084</v>
      </c>
      <c r="V56" s="19">
        <v>880.29</v>
      </c>
      <c r="W56" s="81">
        <f t="shared" ref="W56:W62" si="55">+V56/V$55</f>
        <v>0.33180301916661964</v>
      </c>
      <c r="X56" s="81">
        <f t="shared" si="11"/>
        <v>0.23570285025057186</v>
      </c>
      <c r="Y56" s="81">
        <f t="shared" si="12"/>
        <v>0.29325257100710811</v>
      </c>
      <c r="AA56" s="81"/>
      <c r="AB56" s="81">
        <f t="shared" si="26"/>
        <v>0</v>
      </c>
      <c r="AC56" s="81">
        <f t="shared" si="27"/>
        <v>0</v>
      </c>
      <c r="AD56" s="81">
        <f t="shared" si="28"/>
        <v>0</v>
      </c>
      <c r="AE56" s="81">
        <f t="shared" si="29"/>
        <v>0</v>
      </c>
      <c r="AF56" s="81">
        <f t="shared" si="30"/>
        <v>0</v>
      </c>
      <c r="AG56" s="81">
        <f t="shared" si="31"/>
        <v>0</v>
      </c>
      <c r="AH56" s="81">
        <f t="shared" si="32"/>
        <v>0</v>
      </c>
      <c r="AI56" s="81">
        <f t="shared" si="33"/>
        <v>0</v>
      </c>
      <c r="AJ56" s="81">
        <f t="shared" si="34"/>
        <v>-3.1264443710795731E-2</v>
      </c>
      <c r="AK56" s="81">
        <f t="shared" si="13"/>
        <v>-3.4738270789773035E-3</v>
      </c>
      <c r="AL56" s="81">
        <f t="shared" si="14"/>
        <v>-1.042148123693191E-2</v>
      </c>
      <c r="AN56" s="128">
        <v>3647.6100000000006</v>
      </c>
    </row>
    <row r="57" spans="2:40" x14ac:dyDescent="0.25">
      <c r="B57" s="7" t="s">
        <v>52</v>
      </c>
      <c r="C57" s="14">
        <v>151600</v>
      </c>
      <c r="D57" s="19">
        <v>5553.51</v>
      </c>
      <c r="E57" s="81">
        <f t="shared" si="47"/>
        <v>1.0646209469329542</v>
      </c>
      <c r="F57" s="19">
        <v>5481.32</v>
      </c>
      <c r="G57" s="81">
        <f t="shared" si="48"/>
        <v>1.111049851422734</v>
      </c>
      <c r="H57" s="19">
        <v>5481.32</v>
      </c>
      <c r="I57" s="81">
        <f t="shared" si="49"/>
        <v>1.1680798876526608</v>
      </c>
      <c r="J57" s="19">
        <v>5348.33</v>
      </c>
      <c r="K57" s="81">
        <f t="shared" si="50"/>
        <v>1.2962066241087313</v>
      </c>
      <c r="L57" s="19">
        <v>5348.33</v>
      </c>
      <c r="M57" s="81">
        <f t="shared" si="51"/>
        <v>1.3826440790136991</v>
      </c>
      <c r="N57" s="19">
        <v>5274.63</v>
      </c>
      <c r="O57" s="81">
        <f t="shared" ref="O57:O62" si="56">+N57/N$55</f>
        <v>1.3656671784502024</v>
      </c>
      <c r="P57" s="19">
        <v>5274.63</v>
      </c>
      <c r="Q57" s="81">
        <f t="shared" si="52"/>
        <v>1.362999273877417</v>
      </c>
      <c r="R57" s="19">
        <v>5262.64</v>
      </c>
      <c r="S57" s="81">
        <f t="shared" si="53"/>
        <v>1.4795497227938783</v>
      </c>
      <c r="T57" s="19">
        <v>5249.83</v>
      </c>
      <c r="U57" s="81">
        <f t="shared" si="54"/>
        <v>1.689748846910234</v>
      </c>
      <c r="V57" s="19">
        <v>5088.8100000000004</v>
      </c>
      <c r="W57" s="81">
        <f t="shared" si="55"/>
        <v>1.9180980381070849</v>
      </c>
      <c r="X57" s="81">
        <f t="shared" si="11"/>
        <v>1.3838664449269595</v>
      </c>
      <c r="Y57" s="81">
        <f t="shared" si="12"/>
        <v>1.6957988692703989</v>
      </c>
      <c r="AA57" s="81"/>
      <c r="AB57" s="81">
        <f t="shared" si="26"/>
        <v>-1.2998986226728773E-2</v>
      </c>
      <c r="AC57" s="81">
        <f t="shared" si="27"/>
        <v>0</v>
      </c>
      <c r="AD57" s="81">
        <f t="shared" si="28"/>
        <v>-2.42624039464946E-2</v>
      </c>
      <c r="AE57" s="81">
        <f t="shared" si="29"/>
        <v>0</v>
      </c>
      <c r="AF57" s="81">
        <f t="shared" si="30"/>
        <v>-1.3780002355875539E-2</v>
      </c>
      <c r="AG57" s="81">
        <f t="shared" si="31"/>
        <v>0</v>
      </c>
      <c r="AH57" s="81">
        <f t="shared" si="32"/>
        <v>-2.273145225352258E-3</v>
      </c>
      <c r="AI57" s="81">
        <f t="shared" si="33"/>
        <v>-2.434139519328778E-3</v>
      </c>
      <c r="AJ57" s="81">
        <f t="shared" si="34"/>
        <v>-3.0671469361864961E-2</v>
      </c>
      <c r="AK57" s="81">
        <f t="shared" si="13"/>
        <v>-9.6022385150716563E-3</v>
      </c>
      <c r="AL57" s="81">
        <f t="shared" si="14"/>
        <v>-1.1792918035515333E-2</v>
      </c>
      <c r="AN57" s="128">
        <v>56872.97</v>
      </c>
    </row>
    <row r="58" spans="2:40" x14ac:dyDescent="0.25">
      <c r="B58" s="7" t="s">
        <v>53</v>
      </c>
      <c r="C58" s="14">
        <v>152000</v>
      </c>
      <c r="D58" s="19">
        <v>1015.7</v>
      </c>
      <c r="E58" s="81">
        <f t="shared" si="47"/>
        <v>0.19471208223264236</v>
      </c>
      <c r="F58" s="19">
        <v>1044.3499999999999</v>
      </c>
      <c r="G58" s="81">
        <f t="shared" si="48"/>
        <v>0.21168713235741252</v>
      </c>
      <c r="H58" s="19">
        <v>1064.17</v>
      </c>
      <c r="I58" s="81">
        <f t="shared" si="49"/>
        <v>0.22677668409130139</v>
      </c>
      <c r="J58" s="19">
        <v>1083.33</v>
      </c>
      <c r="K58" s="81">
        <f t="shared" si="50"/>
        <v>0.26255289447280028</v>
      </c>
      <c r="L58" s="19">
        <v>1135.3499999999999</v>
      </c>
      <c r="M58" s="81">
        <f t="shared" si="51"/>
        <v>0.29350936743024514</v>
      </c>
      <c r="N58" s="19">
        <v>855.37</v>
      </c>
      <c r="O58" s="81">
        <f t="shared" si="56"/>
        <v>0.22146591029720558</v>
      </c>
      <c r="P58" s="19">
        <v>1425.8</v>
      </c>
      <c r="Q58" s="81">
        <f t="shared" si="52"/>
        <v>0.36843614901792565</v>
      </c>
      <c r="R58" s="19">
        <v>1231.8699999999999</v>
      </c>
      <c r="S58" s="81">
        <f t="shared" si="53"/>
        <v>0.34633053315790069</v>
      </c>
      <c r="T58" s="19">
        <v>1080.0899999999999</v>
      </c>
      <c r="U58" s="81">
        <f t="shared" si="54"/>
        <v>0.34764570130066585</v>
      </c>
      <c r="V58" s="19">
        <v>1097.48</v>
      </c>
      <c r="W58" s="81">
        <f t="shared" si="55"/>
        <v>0.41366728859237495</v>
      </c>
      <c r="X58" s="81">
        <f t="shared" si="11"/>
        <v>0.2886783742950475</v>
      </c>
      <c r="Y58" s="81">
        <f t="shared" si="12"/>
        <v>0.36921450768364711</v>
      </c>
      <c r="AA58" s="81"/>
      <c r="AB58" s="81">
        <f t="shared" si="26"/>
        <v>2.8207147779856123E-2</v>
      </c>
      <c r="AC58" s="81">
        <f t="shared" si="27"/>
        <v>1.8978311868626578E-2</v>
      </c>
      <c r="AD58" s="81">
        <f t="shared" si="28"/>
        <v>1.8004642115451341E-2</v>
      </c>
      <c r="AE58" s="81">
        <f t="shared" si="29"/>
        <v>4.8018609288028563E-2</v>
      </c>
      <c r="AF58" s="81">
        <f t="shared" si="30"/>
        <v>-0.24660236931342752</v>
      </c>
      <c r="AG58" s="81">
        <f t="shared" si="31"/>
        <v>0.66688099886598773</v>
      </c>
      <c r="AH58" s="81">
        <f t="shared" si="32"/>
        <v>-0.13601486884556044</v>
      </c>
      <c r="AI58" s="81">
        <f t="shared" si="33"/>
        <v>-0.12321105311437082</v>
      </c>
      <c r="AJ58" s="81">
        <f t="shared" si="34"/>
        <v>1.6100510142673389E-2</v>
      </c>
      <c r="AK58" s="81">
        <f t="shared" si="13"/>
        <v>3.2262436531918327E-2</v>
      </c>
      <c r="AL58" s="81">
        <f t="shared" si="14"/>
        <v>-8.1041803939085957E-2</v>
      </c>
      <c r="AN58" s="128">
        <v>30289.039999999994</v>
      </c>
    </row>
    <row r="59" spans="2:40" x14ac:dyDescent="0.25">
      <c r="B59" s="7" t="s">
        <v>54</v>
      </c>
      <c r="C59" s="14">
        <v>152400</v>
      </c>
      <c r="D59" s="19">
        <v>872.63</v>
      </c>
      <c r="E59" s="81">
        <f t="shared" si="47"/>
        <v>0.16728522626628994</v>
      </c>
      <c r="F59" s="19">
        <v>1087.21</v>
      </c>
      <c r="G59" s="81">
        <f t="shared" si="48"/>
        <v>0.22037474713487096</v>
      </c>
      <c r="H59" s="19">
        <v>933.22</v>
      </c>
      <c r="I59" s="81">
        <f t="shared" si="49"/>
        <v>0.19887098595871364</v>
      </c>
      <c r="J59" s="19">
        <v>914.46</v>
      </c>
      <c r="K59" s="81">
        <f t="shared" si="50"/>
        <v>0.22162602335354598</v>
      </c>
      <c r="L59" s="19">
        <v>1209.19</v>
      </c>
      <c r="M59" s="81">
        <f t="shared" si="51"/>
        <v>0.31259839873429179</v>
      </c>
      <c r="N59" s="19">
        <v>1120.6300000000001</v>
      </c>
      <c r="O59" s="81">
        <f t="shared" si="56"/>
        <v>0.29014501684225252</v>
      </c>
      <c r="P59" s="19">
        <v>1101.44</v>
      </c>
      <c r="Q59" s="81">
        <f t="shared" si="52"/>
        <v>0.28461937997917247</v>
      </c>
      <c r="R59" s="19">
        <v>1241.5999999999999</v>
      </c>
      <c r="S59" s="81">
        <f t="shared" si="53"/>
        <v>0.34906604590488405</v>
      </c>
      <c r="T59" s="19">
        <v>912.98</v>
      </c>
      <c r="U59" s="81">
        <f t="shared" si="54"/>
        <v>0.29385844917875542</v>
      </c>
      <c r="V59" s="19">
        <v>948.03</v>
      </c>
      <c r="W59" s="81">
        <f t="shared" si="55"/>
        <v>0.35733589642110031</v>
      </c>
      <c r="X59" s="81">
        <f t="shared" si="11"/>
        <v>0.2695780169773877</v>
      </c>
      <c r="Y59" s="81">
        <f t="shared" si="12"/>
        <v>0.33342013050157987</v>
      </c>
      <c r="AA59" s="81"/>
      <c r="AB59" s="81">
        <f t="shared" si="26"/>
        <v>0.24590032430698008</v>
      </c>
      <c r="AC59" s="81">
        <f t="shared" si="27"/>
        <v>-0.14163777007201922</v>
      </c>
      <c r="AD59" s="81">
        <f t="shared" si="28"/>
        <v>-2.0102441010694146E-2</v>
      </c>
      <c r="AE59" s="81">
        <f t="shared" si="29"/>
        <v>0.32229949915797301</v>
      </c>
      <c r="AF59" s="81">
        <f t="shared" si="30"/>
        <v>-7.3239110478915584E-2</v>
      </c>
      <c r="AG59" s="81">
        <f t="shared" si="31"/>
        <v>-1.7124296154841519E-2</v>
      </c>
      <c r="AH59" s="81">
        <f t="shared" si="32"/>
        <v>0.12725159790819277</v>
      </c>
      <c r="AI59" s="81">
        <f t="shared" si="33"/>
        <v>-0.26467461340206178</v>
      </c>
      <c r="AJ59" s="81">
        <f t="shared" si="34"/>
        <v>3.8390764310280566E-2</v>
      </c>
      <c r="AK59" s="81">
        <f t="shared" si="13"/>
        <v>2.4118217173877129E-2</v>
      </c>
      <c r="AL59" s="81">
        <f t="shared" si="14"/>
        <v>-3.3010750394529477E-2</v>
      </c>
      <c r="AN59" s="128">
        <v>51285.86</v>
      </c>
    </row>
    <row r="60" spans="2:40" x14ac:dyDescent="0.25">
      <c r="B60" s="7" t="s">
        <v>55</v>
      </c>
      <c r="C60" s="14">
        <v>152800</v>
      </c>
      <c r="D60" s="19">
        <v>83</v>
      </c>
      <c r="E60" s="81">
        <f t="shared" si="47"/>
        <v>1.5911295486176345E-2</v>
      </c>
      <c r="F60" s="19">
        <v>83</v>
      </c>
      <c r="G60" s="81">
        <f t="shared" si="48"/>
        <v>1.6823892359520504E-2</v>
      </c>
      <c r="H60" s="19">
        <v>135</v>
      </c>
      <c r="I60" s="81">
        <f t="shared" si="49"/>
        <v>2.8768760961430679E-2</v>
      </c>
      <c r="J60" s="19">
        <v>135</v>
      </c>
      <c r="K60" s="81">
        <f t="shared" si="50"/>
        <v>3.271823059808926E-2</v>
      </c>
      <c r="L60" s="19">
        <v>135</v>
      </c>
      <c r="M60" s="81">
        <f t="shared" si="51"/>
        <v>3.4900043689684329E-2</v>
      </c>
      <c r="N60" s="19">
        <v>135</v>
      </c>
      <c r="O60" s="81">
        <f t="shared" si="56"/>
        <v>3.4953175690195772E-2</v>
      </c>
      <c r="P60" s="19">
        <v>135</v>
      </c>
      <c r="Q60" s="81">
        <f t="shared" si="52"/>
        <v>3.4884892774175877E-2</v>
      </c>
      <c r="R60" s="19">
        <v>135</v>
      </c>
      <c r="S60" s="81">
        <f t="shared" si="53"/>
        <v>3.7954185081474995E-2</v>
      </c>
      <c r="T60" s="19">
        <v>135</v>
      </c>
      <c r="U60" s="81">
        <f t="shared" si="54"/>
        <v>4.3452091654945318E-2</v>
      </c>
      <c r="V60" s="19">
        <v>135</v>
      </c>
      <c r="W60" s="81">
        <f t="shared" si="55"/>
        <v>5.0884830666591295E-2</v>
      </c>
      <c r="X60" s="81">
        <f t="shared" si="11"/>
        <v>3.3125139896228437E-2</v>
      </c>
      <c r="Y60" s="81">
        <f t="shared" si="12"/>
        <v>4.4097035801003874E-2</v>
      </c>
      <c r="AA60" s="81"/>
      <c r="AB60" s="81">
        <f t="shared" si="26"/>
        <v>0</v>
      </c>
      <c r="AC60" s="81">
        <f t="shared" si="27"/>
        <v>0.62650602409638556</v>
      </c>
      <c r="AD60" s="81">
        <f t="shared" si="28"/>
        <v>0</v>
      </c>
      <c r="AE60" s="81">
        <f t="shared" si="29"/>
        <v>0</v>
      </c>
      <c r="AF60" s="81">
        <f t="shared" si="30"/>
        <v>0</v>
      </c>
      <c r="AG60" s="81">
        <f t="shared" si="31"/>
        <v>0</v>
      </c>
      <c r="AH60" s="81">
        <f t="shared" si="32"/>
        <v>0</v>
      </c>
      <c r="AI60" s="81">
        <f t="shared" si="33"/>
        <v>0</v>
      </c>
      <c r="AJ60" s="81">
        <f t="shared" si="34"/>
        <v>0</v>
      </c>
      <c r="AK60" s="81">
        <f t="shared" si="13"/>
        <v>6.9611780455153954E-2</v>
      </c>
      <c r="AL60" s="81">
        <f t="shared" si="14"/>
        <v>0</v>
      </c>
      <c r="AN60" s="128">
        <v>3096.1600000000003</v>
      </c>
    </row>
    <row r="61" spans="2:40" x14ac:dyDescent="0.25">
      <c r="B61" s="7" t="s">
        <v>56</v>
      </c>
      <c r="C61" s="14">
        <v>159200</v>
      </c>
      <c r="D61" s="19">
        <v>-3217.12</v>
      </c>
      <c r="E61" s="81">
        <f t="shared" si="47"/>
        <v>-0.61672948113840531</v>
      </c>
      <c r="F61" s="19">
        <v>-3671.12</v>
      </c>
      <c r="G61" s="81">
        <f t="shared" si="48"/>
        <v>-0.74412683998654117</v>
      </c>
      <c r="H61" s="19">
        <v>-3829.82</v>
      </c>
      <c r="I61" s="81">
        <f t="shared" si="49"/>
        <v>-0.8161420452244923</v>
      </c>
      <c r="J61" s="19">
        <v>-4263.68</v>
      </c>
      <c r="K61" s="81">
        <f t="shared" si="50"/>
        <v>-1.0333338180478608</v>
      </c>
      <c r="L61" s="19">
        <v>-4868.38</v>
      </c>
      <c r="M61" s="81">
        <f t="shared" si="51"/>
        <v>-1.2585679607258176</v>
      </c>
      <c r="N61" s="19">
        <v>-4432.0200000000004</v>
      </c>
      <c r="O61" s="81">
        <f t="shared" si="56"/>
        <v>-1.1475049905367516</v>
      </c>
      <c r="P61" s="19">
        <v>-4975.7</v>
      </c>
      <c r="Q61" s="81">
        <f t="shared" si="52"/>
        <v>-1.285753785010866</v>
      </c>
      <c r="R61" s="19">
        <v>-5222.8900000000003</v>
      </c>
      <c r="S61" s="81">
        <f t="shared" si="53"/>
        <v>-1.4683743238532219</v>
      </c>
      <c r="T61" s="19">
        <v>-5179.7299999999996</v>
      </c>
      <c r="U61" s="81">
        <f t="shared" si="54"/>
        <v>-1.6671859459842215</v>
      </c>
      <c r="V61" s="19">
        <v>-5496.56</v>
      </c>
      <c r="W61" s="81">
        <f t="shared" si="55"/>
        <v>-2.0717890729537709</v>
      </c>
      <c r="X61" s="81">
        <f t="shared" si="11"/>
        <v>-1.2109508263461948</v>
      </c>
      <c r="Y61" s="81">
        <f t="shared" si="12"/>
        <v>-1.7357831142637383</v>
      </c>
      <c r="AA61" s="81"/>
      <c r="AB61" s="81">
        <f t="shared" si="26"/>
        <v>0.14112000795742777</v>
      </c>
      <c r="AC61" s="81">
        <f t="shared" si="27"/>
        <v>4.322931421473563E-2</v>
      </c>
      <c r="AD61" s="81">
        <f t="shared" si="28"/>
        <v>0.11328469745314404</v>
      </c>
      <c r="AE61" s="81">
        <f t="shared" si="29"/>
        <v>0.14182584058841183</v>
      </c>
      <c r="AF61" s="81">
        <f t="shared" si="30"/>
        <v>-8.9631458513920376E-2</v>
      </c>
      <c r="AG61" s="81">
        <f t="shared" si="31"/>
        <v>0.12267092657524094</v>
      </c>
      <c r="AH61" s="81">
        <f t="shared" si="32"/>
        <v>4.9679442088550456E-2</v>
      </c>
      <c r="AI61" s="81">
        <f t="shared" si="33"/>
        <v>-8.2636241621019714E-3</v>
      </c>
      <c r="AJ61" s="81">
        <f t="shared" si="34"/>
        <v>6.1167280920048125E-2</v>
      </c>
      <c r="AK61" s="81">
        <f t="shared" si="13"/>
        <v>6.3898047457948484E-2</v>
      </c>
      <c r="AL61" s="81">
        <f t="shared" si="14"/>
        <v>3.4194366282165538E-2</v>
      </c>
      <c r="AN61" s="128">
        <v>-75978.83</v>
      </c>
    </row>
    <row r="62" spans="2:40" x14ac:dyDescent="0.25">
      <c r="B62" s="7" t="s">
        <v>57</v>
      </c>
      <c r="C62" s="14">
        <v>159900</v>
      </c>
      <c r="D62" s="19">
        <v>0</v>
      </c>
      <c r="E62" s="81">
        <f t="shared" si="47"/>
        <v>0</v>
      </c>
      <c r="F62" s="19">
        <v>0</v>
      </c>
      <c r="G62" s="81">
        <f t="shared" si="48"/>
        <v>0</v>
      </c>
      <c r="H62" s="19">
        <v>0</v>
      </c>
      <c r="I62" s="81">
        <f t="shared" si="49"/>
        <v>0</v>
      </c>
      <c r="J62" s="19">
        <v>0</v>
      </c>
      <c r="K62" s="81">
        <f t="shared" si="50"/>
        <v>0</v>
      </c>
      <c r="L62" s="19">
        <v>0</v>
      </c>
      <c r="M62" s="81">
        <f t="shared" si="51"/>
        <v>0</v>
      </c>
      <c r="N62" s="19">
        <v>0</v>
      </c>
      <c r="O62" s="81">
        <f t="shared" si="56"/>
        <v>0</v>
      </c>
      <c r="P62" s="19">
        <v>0</v>
      </c>
      <c r="Q62" s="81">
        <f t="shared" si="52"/>
        <v>0</v>
      </c>
      <c r="R62" s="19">
        <v>0</v>
      </c>
      <c r="S62" s="81">
        <f t="shared" si="53"/>
        <v>0</v>
      </c>
      <c r="T62" s="19">
        <v>0</v>
      </c>
      <c r="U62" s="81">
        <f t="shared" si="54"/>
        <v>0</v>
      </c>
      <c r="V62" s="19">
        <v>0</v>
      </c>
      <c r="W62" s="81">
        <f t="shared" si="55"/>
        <v>0</v>
      </c>
      <c r="X62" s="81">
        <f t="shared" si="11"/>
        <v>0</v>
      </c>
      <c r="Y62" s="81">
        <f t="shared" si="12"/>
        <v>0</v>
      </c>
      <c r="AA62" s="81"/>
      <c r="AB62" s="81" t="e">
        <f t="shared" si="26"/>
        <v>#DIV/0!</v>
      </c>
      <c r="AC62" s="81" t="e">
        <f t="shared" si="27"/>
        <v>#DIV/0!</v>
      </c>
      <c r="AD62" s="81" t="e">
        <f t="shared" si="28"/>
        <v>#DIV/0!</v>
      </c>
      <c r="AE62" s="81" t="e">
        <f t="shared" si="29"/>
        <v>#DIV/0!</v>
      </c>
      <c r="AF62" s="81" t="e">
        <f t="shared" si="30"/>
        <v>#DIV/0!</v>
      </c>
      <c r="AG62" s="81" t="e">
        <f t="shared" si="31"/>
        <v>#DIV/0!</v>
      </c>
      <c r="AH62" s="81" t="e">
        <f t="shared" si="32"/>
        <v>#DIV/0!</v>
      </c>
      <c r="AI62" s="81" t="e">
        <f t="shared" si="33"/>
        <v>#DIV/0!</v>
      </c>
      <c r="AJ62" s="81" t="e">
        <f t="shared" si="34"/>
        <v>#DIV/0!</v>
      </c>
      <c r="AK62" s="81" t="e">
        <f t="shared" si="13"/>
        <v>#DIV/0!</v>
      </c>
      <c r="AL62" s="81" t="e">
        <f t="shared" si="14"/>
        <v>#DIV/0!</v>
      </c>
      <c r="AN62" s="128">
        <v>-61.07</v>
      </c>
    </row>
    <row r="63" spans="2:40" x14ac:dyDescent="0.25">
      <c r="B63" s="6" t="s">
        <v>58</v>
      </c>
      <c r="C63" s="13">
        <v>160000</v>
      </c>
      <c r="D63" s="17">
        <f t="shared" ref="D63:T63" si="57">+SUM(D64:D66)</f>
        <v>0</v>
      </c>
      <c r="E63" s="80">
        <f>+D63/D$6</f>
        <v>0</v>
      </c>
      <c r="F63" s="17">
        <f t="shared" si="57"/>
        <v>0</v>
      </c>
      <c r="G63" s="80">
        <f>+F63/F$6</f>
        <v>0</v>
      </c>
      <c r="H63" s="17">
        <f t="shared" si="57"/>
        <v>270</v>
      </c>
      <c r="I63" s="80">
        <f>+H63/H$6</f>
        <v>1.0710426560588486E-2</v>
      </c>
      <c r="J63" s="17">
        <f t="shared" si="57"/>
        <v>530</v>
      </c>
      <c r="K63" s="80">
        <f>+J63/J$6</f>
        <v>2.8376829301592691E-2</v>
      </c>
      <c r="L63" s="17">
        <f t="shared" si="57"/>
        <v>427.75</v>
      </c>
      <c r="M63" s="80">
        <f>+L63/L$6</f>
        <v>1.1765987370577578E-2</v>
      </c>
      <c r="N63" s="17">
        <f t="shared" si="57"/>
        <v>190</v>
      </c>
      <c r="O63" s="80">
        <f>+N63/N$6</f>
        <v>2.9572237583356743E-3</v>
      </c>
      <c r="P63" s="17">
        <f t="shared" si="57"/>
        <v>0</v>
      </c>
      <c r="Q63" s="80">
        <f>+P63/P$6</f>
        <v>0</v>
      </c>
      <c r="R63" s="17">
        <f t="shared" si="57"/>
        <v>0</v>
      </c>
      <c r="S63" s="80">
        <f>+R63/R$6</f>
        <v>0</v>
      </c>
      <c r="T63" s="17">
        <f t="shared" si="57"/>
        <v>0</v>
      </c>
      <c r="U63" s="80">
        <f>+T63/T$6</f>
        <v>0</v>
      </c>
      <c r="V63" s="17">
        <v>0</v>
      </c>
      <c r="W63" s="80">
        <f>+V63/V$6</f>
        <v>0</v>
      </c>
      <c r="X63" s="80">
        <f t="shared" si="11"/>
        <v>5.3810466991094427E-3</v>
      </c>
      <c r="Y63" s="80">
        <f t="shared" si="12"/>
        <v>0</v>
      </c>
      <c r="AA63" s="80"/>
      <c r="AB63" s="80" t="e">
        <f t="shared" si="26"/>
        <v>#DIV/0!</v>
      </c>
      <c r="AC63" s="80" t="e">
        <f t="shared" si="27"/>
        <v>#DIV/0!</v>
      </c>
      <c r="AD63" s="80">
        <f t="shared" si="28"/>
        <v>0.96296296296296291</v>
      </c>
      <c r="AE63" s="80">
        <f t="shared" si="29"/>
        <v>-0.19292452830188681</v>
      </c>
      <c r="AF63" s="80">
        <f t="shared" si="30"/>
        <v>-0.55581531268264173</v>
      </c>
      <c r="AG63" s="80">
        <f t="shared" si="31"/>
        <v>-1</v>
      </c>
      <c r="AH63" s="80" t="e">
        <f t="shared" si="32"/>
        <v>#DIV/0!</v>
      </c>
      <c r="AI63" s="80" t="e">
        <f t="shared" si="33"/>
        <v>#DIV/0!</v>
      </c>
      <c r="AJ63" s="80" t="e">
        <f t="shared" si="34"/>
        <v>#DIV/0!</v>
      </c>
      <c r="AK63" s="80" t="e">
        <f t="shared" si="13"/>
        <v>#DIV/0!</v>
      </c>
      <c r="AL63" s="80" t="e">
        <f t="shared" si="14"/>
        <v>#DIV/0!</v>
      </c>
      <c r="AN63" s="143">
        <v>9749.1299999999992</v>
      </c>
    </row>
    <row r="64" spans="2:40" x14ac:dyDescent="0.25">
      <c r="B64" s="7" t="s">
        <v>59</v>
      </c>
      <c r="C64" s="14">
        <v>161000</v>
      </c>
      <c r="D64" s="19">
        <v>0</v>
      </c>
      <c r="E64" s="81" t="e">
        <f>+D64/D$63</f>
        <v>#DIV/0!</v>
      </c>
      <c r="F64" s="19">
        <v>0</v>
      </c>
      <c r="G64" s="81" t="e">
        <f>+F64/F$63</f>
        <v>#DIV/0!</v>
      </c>
      <c r="H64" s="19">
        <v>270</v>
      </c>
      <c r="I64" s="81">
        <f>+H64/H$63</f>
        <v>1</v>
      </c>
      <c r="J64" s="19">
        <v>530</v>
      </c>
      <c r="K64" s="81">
        <f>+J64/J$63</f>
        <v>1</v>
      </c>
      <c r="L64" s="19">
        <v>427.75</v>
      </c>
      <c r="M64" s="81">
        <f>+L64/L$63</f>
        <v>1</v>
      </c>
      <c r="N64" s="19">
        <v>210</v>
      </c>
      <c r="O64" s="81">
        <f>+N64/N$63</f>
        <v>1.1052631578947369</v>
      </c>
      <c r="P64" s="19">
        <v>0</v>
      </c>
      <c r="Q64" s="81" t="e">
        <f>+P64/P$63</f>
        <v>#DIV/0!</v>
      </c>
      <c r="R64" s="19">
        <v>0</v>
      </c>
      <c r="S64" s="81" t="e">
        <f>+R64/R$63</f>
        <v>#DIV/0!</v>
      </c>
      <c r="T64" s="19">
        <v>0</v>
      </c>
      <c r="U64" s="81" t="e">
        <f>+T64/T$63</f>
        <v>#DIV/0!</v>
      </c>
      <c r="V64" s="19">
        <v>0</v>
      </c>
      <c r="W64" s="81" t="e">
        <f>+V64/V$63</f>
        <v>#DIV/0!</v>
      </c>
      <c r="X64" s="81" t="e">
        <f t="shared" si="11"/>
        <v>#DIV/0!</v>
      </c>
      <c r="Y64" s="81" t="e">
        <f t="shared" si="12"/>
        <v>#DIV/0!</v>
      </c>
      <c r="AA64" s="81"/>
      <c r="AB64" s="81" t="e">
        <f t="shared" si="26"/>
        <v>#DIV/0!</v>
      </c>
      <c r="AC64" s="81" t="e">
        <f t="shared" si="27"/>
        <v>#DIV/0!</v>
      </c>
      <c r="AD64" s="81">
        <f t="shared" si="28"/>
        <v>0.96296296296296291</v>
      </c>
      <c r="AE64" s="81">
        <f t="shared" si="29"/>
        <v>-0.19292452830188681</v>
      </c>
      <c r="AF64" s="81">
        <f t="shared" si="30"/>
        <v>-0.50905902980713036</v>
      </c>
      <c r="AG64" s="81">
        <f t="shared" si="31"/>
        <v>-1</v>
      </c>
      <c r="AH64" s="81" t="e">
        <f t="shared" si="32"/>
        <v>#DIV/0!</v>
      </c>
      <c r="AI64" s="81" t="e">
        <f t="shared" si="33"/>
        <v>#DIV/0!</v>
      </c>
      <c r="AJ64" s="81" t="e">
        <f t="shared" si="34"/>
        <v>#DIV/0!</v>
      </c>
      <c r="AK64" s="81" t="e">
        <f t="shared" si="13"/>
        <v>#DIV/0!</v>
      </c>
      <c r="AL64" s="81" t="e">
        <f t="shared" si="14"/>
        <v>#DIV/0!</v>
      </c>
      <c r="AN64" s="128">
        <v>16260.289999999997</v>
      </c>
    </row>
    <row r="65" spans="2:40" x14ac:dyDescent="0.25">
      <c r="B65" s="7" t="s">
        <v>60</v>
      </c>
      <c r="C65" s="14">
        <v>169800</v>
      </c>
      <c r="D65" s="19">
        <v>0</v>
      </c>
      <c r="E65" s="81" t="e">
        <f>+D65/D$63</f>
        <v>#DIV/0!</v>
      </c>
      <c r="F65" s="19">
        <v>0</v>
      </c>
      <c r="G65" s="81" t="e">
        <f>+F65/F$63</f>
        <v>#DIV/0!</v>
      </c>
      <c r="H65" s="19">
        <v>0</v>
      </c>
      <c r="I65" s="81">
        <f>+H65/H$63</f>
        <v>0</v>
      </c>
      <c r="J65" s="19">
        <v>0</v>
      </c>
      <c r="K65" s="81">
        <f>+J65/J$63</f>
        <v>0</v>
      </c>
      <c r="L65" s="19">
        <v>0</v>
      </c>
      <c r="M65" s="81">
        <f>+L65/L$63</f>
        <v>0</v>
      </c>
      <c r="N65" s="19">
        <v>0</v>
      </c>
      <c r="O65" s="81">
        <f>+N65/N$63</f>
        <v>0</v>
      </c>
      <c r="P65" s="19">
        <v>0</v>
      </c>
      <c r="Q65" s="81" t="e">
        <f>+P65/P$63</f>
        <v>#DIV/0!</v>
      </c>
      <c r="R65" s="19">
        <v>0</v>
      </c>
      <c r="S65" s="81" t="e">
        <f>+R65/R$63</f>
        <v>#DIV/0!</v>
      </c>
      <c r="T65" s="19">
        <v>0</v>
      </c>
      <c r="U65" s="81" t="e">
        <f>+T65/T$63</f>
        <v>#DIV/0!</v>
      </c>
      <c r="V65" s="19">
        <v>0</v>
      </c>
      <c r="W65" s="81" t="e">
        <f>+V65/V$63</f>
        <v>#DIV/0!</v>
      </c>
      <c r="X65" s="81" t="e">
        <f t="shared" si="11"/>
        <v>#DIV/0!</v>
      </c>
      <c r="Y65" s="81" t="e">
        <f t="shared" si="12"/>
        <v>#DIV/0!</v>
      </c>
      <c r="AA65" s="81"/>
      <c r="AB65" s="81" t="e">
        <f t="shared" si="26"/>
        <v>#DIV/0!</v>
      </c>
      <c r="AC65" s="81" t="e">
        <f t="shared" si="27"/>
        <v>#DIV/0!</v>
      </c>
      <c r="AD65" s="81" t="e">
        <f t="shared" si="28"/>
        <v>#DIV/0!</v>
      </c>
      <c r="AE65" s="81" t="e">
        <f t="shared" si="29"/>
        <v>#DIV/0!</v>
      </c>
      <c r="AF65" s="81" t="e">
        <f t="shared" si="30"/>
        <v>#DIV/0!</v>
      </c>
      <c r="AG65" s="81" t="e">
        <f t="shared" si="31"/>
        <v>#DIV/0!</v>
      </c>
      <c r="AH65" s="81" t="e">
        <f t="shared" si="32"/>
        <v>#DIV/0!</v>
      </c>
      <c r="AI65" s="81" t="e">
        <f t="shared" si="33"/>
        <v>#DIV/0!</v>
      </c>
      <c r="AJ65" s="81" t="e">
        <f t="shared" si="34"/>
        <v>#DIV/0!</v>
      </c>
      <c r="AK65" s="81" t="e">
        <f t="shared" si="13"/>
        <v>#DIV/0!</v>
      </c>
      <c r="AL65" s="81" t="e">
        <f t="shared" si="14"/>
        <v>#DIV/0!</v>
      </c>
      <c r="AN65" s="128">
        <v>-3595.5</v>
      </c>
    </row>
    <row r="66" spans="2:40" x14ac:dyDescent="0.25">
      <c r="B66" s="7" t="s">
        <v>61</v>
      </c>
      <c r="C66" s="14">
        <v>169900</v>
      </c>
      <c r="D66" s="19">
        <v>0</v>
      </c>
      <c r="E66" s="81" t="e">
        <f>+D66/D$63</f>
        <v>#DIV/0!</v>
      </c>
      <c r="F66" s="19">
        <v>0</v>
      </c>
      <c r="G66" s="81" t="e">
        <f>+F66/F$63</f>
        <v>#DIV/0!</v>
      </c>
      <c r="H66" s="19">
        <v>0</v>
      </c>
      <c r="I66" s="81">
        <f>+H66/H$63</f>
        <v>0</v>
      </c>
      <c r="J66" s="19">
        <v>0</v>
      </c>
      <c r="K66" s="81">
        <f>+J66/J$63</f>
        <v>0</v>
      </c>
      <c r="L66" s="19">
        <v>0</v>
      </c>
      <c r="M66" s="81">
        <f>+L66/L$63</f>
        <v>0</v>
      </c>
      <c r="N66" s="19">
        <v>-20</v>
      </c>
      <c r="O66" s="81">
        <f>+N66/N$63</f>
        <v>-0.10526315789473684</v>
      </c>
      <c r="P66" s="19">
        <v>0</v>
      </c>
      <c r="Q66" s="81" t="e">
        <f>+P66/P$63</f>
        <v>#DIV/0!</v>
      </c>
      <c r="R66" s="19">
        <v>0</v>
      </c>
      <c r="S66" s="81" t="e">
        <f>+R66/R$63</f>
        <v>#DIV/0!</v>
      </c>
      <c r="T66" s="19">
        <v>0</v>
      </c>
      <c r="U66" s="81" t="e">
        <f>+T66/T$63</f>
        <v>#DIV/0!</v>
      </c>
      <c r="V66" s="19">
        <v>0</v>
      </c>
      <c r="W66" s="81" t="e">
        <f>+V66/V$63</f>
        <v>#DIV/0!</v>
      </c>
      <c r="X66" s="81" t="e">
        <f t="shared" si="11"/>
        <v>#DIV/0!</v>
      </c>
      <c r="Y66" s="81" t="e">
        <f t="shared" si="12"/>
        <v>#DIV/0!</v>
      </c>
      <c r="AA66" s="81"/>
      <c r="AB66" s="81" t="e">
        <f t="shared" si="26"/>
        <v>#DIV/0!</v>
      </c>
      <c r="AC66" s="81" t="e">
        <f t="shared" si="27"/>
        <v>#DIV/0!</v>
      </c>
      <c r="AD66" s="81" t="e">
        <f t="shared" si="28"/>
        <v>#DIV/0!</v>
      </c>
      <c r="AE66" s="81" t="e">
        <f t="shared" si="29"/>
        <v>#DIV/0!</v>
      </c>
      <c r="AF66" s="81" t="e">
        <f t="shared" si="30"/>
        <v>#DIV/0!</v>
      </c>
      <c r="AG66" s="81">
        <f t="shared" si="31"/>
        <v>-1</v>
      </c>
      <c r="AH66" s="81" t="e">
        <f t="shared" si="32"/>
        <v>#DIV/0!</v>
      </c>
      <c r="AI66" s="81" t="e">
        <f t="shared" si="33"/>
        <v>#DIV/0!</v>
      </c>
      <c r="AJ66" s="81" t="e">
        <f t="shared" si="34"/>
        <v>#DIV/0!</v>
      </c>
      <c r="AK66" s="81" t="e">
        <f t="shared" si="13"/>
        <v>#DIV/0!</v>
      </c>
      <c r="AL66" s="81" t="e">
        <f t="shared" si="14"/>
        <v>#DIV/0!</v>
      </c>
      <c r="AN66" s="128">
        <v>-3071.25</v>
      </c>
    </row>
    <row r="67" spans="2:40" x14ac:dyDescent="0.25">
      <c r="B67" s="6" t="s">
        <v>62</v>
      </c>
      <c r="C67" s="13">
        <v>170000</v>
      </c>
      <c r="D67" s="17">
        <f t="shared" ref="D67:V67" si="58">+SUM(D68:D69)</f>
        <v>162.33000000000001</v>
      </c>
      <c r="E67" s="80">
        <f>+D67/D$6</f>
        <v>7.5507207210140552E-3</v>
      </c>
      <c r="F67" s="17">
        <f t="shared" si="58"/>
        <v>170.17</v>
      </c>
      <c r="G67" s="80">
        <f>+F67/F$6</f>
        <v>7.3650565568998969E-3</v>
      </c>
      <c r="H67" s="17">
        <f t="shared" si="58"/>
        <v>137.81</v>
      </c>
      <c r="I67" s="80">
        <f>+H67/H$6</f>
        <v>5.4666810530174048E-3</v>
      </c>
      <c r="J67" s="17">
        <f t="shared" si="58"/>
        <v>841.74</v>
      </c>
      <c r="K67" s="80">
        <f>+J67/J$6</f>
        <v>4.506775904966534E-2</v>
      </c>
      <c r="L67" s="17">
        <f t="shared" si="58"/>
        <v>1220.74</v>
      </c>
      <c r="M67" s="80">
        <f>+L67/L$6</f>
        <v>3.3578518814164515E-2</v>
      </c>
      <c r="N67" s="17">
        <f t="shared" si="58"/>
        <v>2453.58</v>
      </c>
      <c r="O67" s="80">
        <f>+N67/N$6</f>
        <v>3.818834246830128E-2</v>
      </c>
      <c r="P67" s="17">
        <f t="shared" si="58"/>
        <v>3352.84</v>
      </c>
      <c r="Q67" s="80">
        <f>+P67/P$6</f>
        <v>4.7027550089956932E-2</v>
      </c>
      <c r="R67" s="17">
        <f t="shared" si="58"/>
        <v>2964.14</v>
      </c>
      <c r="S67" s="80">
        <f>+R67/R$6</f>
        <v>4.651276647661251E-2</v>
      </c>
      <c r="T67" s="17">
        <f t="shared" si="58"/>
        <v>1091.22</v>
      </c>
      <c r="U67" s="80">
        <f>+T67/T$6</f>
        <v>2.1359071273241166E-2</v>
      </c>
      <c r="V67" s="17">
        <f t="shared" si="58"/>
        <v>421.41</v>
      </c>
      <c r="W67" s="80">
        <f>+V67/V$6</f>
        <v>7.7987142975318429E-3</v>
      </c>
      <c r="X67" s="80">
        <f t="shared" si="11"/>
        <v>2.5991518080040493E-2</v>
      </c>
      <c r="Y67" s="80">
        <f t="shared" si="12"/>
        <v>2.5223517349128505E-2</v>
      </c>
      <c r="AA67" s="80"/>
      <c r="AB67" s="80">
        <f t="shared" si="26"/>
        <v>4.8296679603277118E-2</v>
      </c>
      <c r="AC67" s="80">
        <f t="shared" si="27"/>
        <v>-0.19016277839807244</v>
      </c>
      <c r="AD67" s="80">
        <f t="shared" si="28"/>
        <v>5.1079747478412312</v>
      </c>
      <c r="AE67" s="80">
        <f t="shared" si="29"/>
        <v>0.45025779932045523</v>
      </c>
      <c r="AF67" s="80">
        <f t="shared" si="30"/>
        <v>1.0099120205776824</v>
      </c>
      <c r="AG67" s="80">
        <f t="shared" si="31"/>
        <v>0.36650934552775954</v>
      </c>
      <c r="AH67" s="80">
        <f t="shared" si="32"/>
        <v>-0.11593156846136417</v>
      </c>
      <c r="AI67" s="80">
        <f t="shared" si="33"/>
        <v>-0.63185949381608153</v>
      </c>
      <c r="AJ67" s="80">
        <f t="shared" si="34"/>
        <v>-0.6138175619948314</v>
      </c>
      <c r="AK67" s="80">
        <f t="shared" si="13"/>
        <v>0.6034643544666729</v>
      </c>
      <c r="AL67" s="80">
        <f t="shared" si="14"/>
        <v>-0.45386954142409236</v>
      </c>
      <c r="AN67" s="137">
        <v>50063.909999999989</v>
      </c>
    </row>
    <row r="68" spans="2:40" x14ac:dyDescent="0.25">
      <c r="B68" s="7" t="s">
        <v>63</v>
      </c>
      <c r="C68" s="14">
        <v>170500</v>
      </c>
      <c r="D68" s="19">
        <v>42.04</v>
      </c>
      <c r="E68" s="81">
        <f>+D68/D$67</f>
        <v>0.25897862379104292</v>
      </c>
      <c r="F68" s="19">
        <v>40.26</v>
      </c>
      <c r="G68" s="81">
        <f>+F68/F$67</f>
        <v>0.2365869424692954</v>
      </c>
      <c r="H68" s="19">
        <v>55.77</v>
      </c>
      <c r="I68" s="81">
        <f>+H68/H$67</f>
        <v>0.40468761338074161</v>
      </c>
      <c r="J68" s="19">
        <v>35.69</v>
      </c>
      <c r="K68" s="81">
        <f>+J68/J$67</f>
        <v>4.2400266115427562E-2</v>
      </c>
      <c r="L68" s="19">
        <v>67.98</v>
      </c>
      <c r="M68" s="81">
        <f>+L68/L$67</f>
        <v>5.5687533790979245E-2</v>
      </c>
      <c r="N68" s="19">
        <v>83.56</v>
      </c>
      <c r="O68" s="81">
        <f>+N68/N$67</f>
        <v>3.405635846395879E-2</v>
      </c>
      <c r="P68" s="19">
        <v>77.67</v>
      </c>
      <c r="Q68" s="81">
        <f>+P68/P$67</f>
        <v>2.3165435869292896E-2</v>
      </c>
      <c r="R68" s="19">
        <v>98.19</v>
      </c>
      <c r="S68" s="81">
        <f>+R68/R$67</f>
        <v>3.3125965710121656E-2</v>
      </c>
      <c r="T68" s="19">
        <v>103.36</v>
      </c>
      <c r="U68" s="81">
        <f>+T68/T$67</f>
        <v>9.4719671560271987E-2</v>
      </c>
      <c r="V68" s="19">
        <v>93.17</v>
      </c>
      <c r="W68" s="81">
        <f>+V68/V$67</f>
        <v>0.22109109892978335</v>
      </c>
      <c r="X68" s="81">
        <f t="shared" si="11"/>
        <v>0.14044995100809157</v>
      </c>
      <c r="Y68" s="81">
        <f t="shared" si="12"/>
        <v>0.11631224540005898</v>
      </c>
      <c r="AA68" s="81"/>
      <c r="AB68" s="81">
        <f t="shared" si="26"/>
        <v>-4.2340627973358733E-2</v>
      </c>
      <c r="AC68" s="81">
        <f t="shared" si="27"/>
        <v>0.38524590163934441</v>
      </c>
      <c r="AD68" s="81">
        <f t="shared" si="28"/>
        <v>-0.36005020620405243</v>
      </c>
      <c r="AE68" s="81">
        <f t="shared" si="29"/>
        <v>0.90473521994956596</v>
      </c>
      <c r="AF68" s="81">
        <f t="shared" si="30"/>
        <v>0.22918505442777284</v>
      </c>
      <c r="AG68" s="81">
        <f t="shared" si="31"/>
        <v>-7.0488271900430832E-2</v>
      </c>
      <c r="AH68" s="81">
        <f t="shared" si="32"/>
        <v>0.26419466975666273</v>
      </c>
      <c r="AI68" s="81">
        <f t="shared" si="33"/>
        <v>5.2653019655769448E-2</v>
      </c>
      <c r="AJ68" s="81">
        <f t="shared" si="34"/>
        <v>-9.858746130030957E-2</v>
      </c>
      <c r="AK68" s="81">
        <f t="shared" si="13"/>
        <v>0.14050525533899602</v>
      </c>
      <c r="AL68" s="81">
        <f t="shared" si="14"/>
        <v>7.2753409370707539E-2</v>
      </c>
      <c r="AN68" s="140">
        <v>10380.230000000001</v>
      </c>
    </row>
    <row r="69" spans="2:40" x14ac:dyDescent="0.25">
      <c r="B69" s="7" t="s">
        <v>64</v>
      </c>
      <c r="C69" s="14">
        <v>171000</v>
      </c>
      <c r="D69" s="19">
        <v>120.29</v>
      </c>
      <c r="E69" s="81">
        <f>+D69/D$67</f>
        <v>0.74102137620895703</v>
      </c>
      <c r="F69" s="19">
        <v>129.91</v>
      </c>
      <c r="G69" s="81">
        <f>+F69/F$67</f>
        <v>0.76341305753070465</v>
      </c>
      <c r="H69" s="19">
        <v>82.04</v>
      </c>
      <c r="I69" s="81">
        <f>+H69/H$67</f>
        <v>0.59531238661925845</v>
      </c>
      <c r="J69" s="19">
        <v>806.05</v>
      </c>
      <c r="K69" s="81">
        <f>+J69/J$67</f>
        <v>0.95759973388457242</v>
      </c>
      <c r="L69" s="19">
        <v>1152.76</v>
      </c>
      <c r="M69" s="81">
        <f>+L69/L$67</f>
        <v>0.94431246620902076</v>
      </c>
      <c r="N69" s="19">
        <v>2370.02</v>
      </c>
      <c r="O69" s="81">
        <f>+N69/N$67</f>
        <v>0.96594364153604129</v>
      </c>
      <c r="P69" s="19">
        <v>3275.17</v>
      </c>
      <c r="Q69" s="81">
        <f>+P69/P$67</f>
        <v>0.97683456413070713</v>
      </c>
      <c r="R69" s="19">
        <v>2865.95</v>
      </c>
      <c r="S69" s="81">
        <f>+R69/R$67</f>
        <v>0.96687403428987828</v>
      </c>
      <c r="T69" s="19">
        <v>987.86</v>
      </c>
      <c r="U69" s="81">
        <f>+T69/T$67</f>
        <v>0.90528032843972805</v>
      </c>
      <c r="V69" s="19">
        <v>328.24</v>
      </c>
      <c r="W69" s="81">
        <f>+V69/V$67</f>
        <v>0.7789089010702166</v>
      </c>
      <c r="X69" s="81">
        <f t="shared" si="11"/>
        <v>0.85955004899190846</v>
      </c>
      <c r="Y69" s="81">
        <f t="shared" si="12"/>
        <v>0.88368775459994098</v>
      </c>
      <c r="AA69" s="81"/>
      <c r="AB69" s="81">
        <f t="shared" si="26"/>
        <v>7.9973397622412415E-2</v>
      </c>
      <c r="AC69" s="81">
        <f t="shared" si="27"/>
        <v>-0.36848587483642514</v>
      </c>
      <c r="AD69" s="81">
        <f t="shared" si="28"/>
        <v>8.8250853242320808</v>
      </c>
      <c r="AE69" s="81">
        <f t="shared" si="29"/>
        <v>0.43013460703430317</v>
      </c>
      <c r="AF69" s="81">
        <f t="shared" si="30"/>
        <v>1.0559526701134667</v>
      </c>
      <c r="AG69" s="81">
        <f t="shared" si="31"/>
        <v>0.3819166082986642</v>
      </c>
      <c r="AH69" s="81">
        <f t="shared" si="32"/>
        <v>-0.12494618599950544</v>
      </c>
      <c r="AI69" s="81">
        <f t="shared" si="33"/>
        <v>-0.65531150229417812</v>
      </c>
      <c r="AJ69" s="81">
        <f t="shared" si="34"/>
        <v>-0.66772619601967886</v>
      </c>
      <c r="AK69" s="81">
        <f t="shared" si="13"/>
        <v>0.99517698312790415</v>
      </c>
      <c r="AL69" s="81">
        <f t="shared" si="14"/>
        <v>-0.4826612947711208</v>
      </c>
      <c r="AN69" s="144">
        <v>39683.709999999992</v>
      </c>
    </row>
    <row r="70" spans="2:40" x14ac:dyDescent="0.25">
      <c r="B70" s="6" t="s">
        <v>65</v>
      </c>
      <c r="C70" s="13">
        <v>180000</v>
      </c>
      <c r="D70" s="17">
        <f t="shared" ref="D70:V70" si="59">+SUM(D71:D73)</f>
        <v>87.539999999999992</v>
      </c>
      <c r="E70" s="80">
        <f>+D70/D$6</f>
        <v>4.0718911594749604E-3</v>
      </c>
      <c r="F70" s="17">
        <f t="shared" si="59"/>
        <v>87.539999999999992</v>
      </c>
      <c r="G70" s="80">
        <f>+F70/F$6</f>
        <v>3.7887821060763765E-3</v>
      </c>
      <c r="H70" s="17">
        <f t="shared" si="59"/>
        <v>87.539999999999992</v>
      </c>
      <c r="I70" s="80">
        <f>+H70/H$6</f>
        <v>3.472558300421911E-3</v>
      </c>
      <c r="J70" s="17">
        <f t="shared" si="59"/>
        <v>87.539999999999992</v>
      </c>
      <c r="K70" s="80">
        <f>+J70/J$6</f>
        <v>4.6869955416253281E-3</v>
      </c>
      <c r="L70" s="17">
        <f t="shared" si="59"/>
        <v>647.54</v>
      </c>
      <c r="M70" s="80">
        <f>+L70/L$6</f>
        <v>1.7811683137215206E-2</v>
      </c>
      <c r="N70" s="17">
        <f t="shared" si="59"/>
        <v>529.29999999999995</v>
      </c>
      <c r="O70" s="80">
        <f>+N70/N$6</f>
        <v>8.2382028173003802E-3</v>
      </c>
      <c r="P70" s="17">
        <f t="shared" si="59"/>
        <v>87.539999999999992</v>
      </c>
      <c r="Q70" s="80">
        <f>+P70/P$6</f>
        <v>1.2278521297988659E-3</v>
      </c>
      <c r="R70" s="17">
        <f t="shared" si="59"/>
        <v>87.539999999999992</v>
      </c>
      <c r="S70" s="80">
        <f>+R70/R$6</f>
        <v>1.3736623699834216E-3</v>
      </c>
      <c r="T70" s="17">
        <f t="shared" si="59"/>
        <v>73.69</v>
      </c>
      <c r="U70" s="80">
        <f>+T70/T$6</f>
        <v>1.4423763880107967E-3</v>
      </c>
      <c r="V70" s="17">
        <f t="shared" si="59"/>
        <v>73.69</v>
      </c>
      <c r="W70" s="80">
        <f>+V70/V$6</f>
        <v>1.3637247729885893E-3</v>
      </c>
      <c r="X70" s="80">
        <f t="shared" si="11"/>
        <v>4.7477728722895834E-3</v>
      </c>
      <c r="Y70" s="80">
        <f t="shared" si="12"/>
        <v>1.3932545103276025E-3</v>
      </c>
      <c r="AA70" s="80"/>
      <c r="AB70" s="80">
        <f t="shared" ref="AB70:AB78" si="60">+(F70-D70)/D70</f>
        <v>0</v>
      </c>
      <c r="AC70" s="80">
        <f t="shared" ref="AC70:AC78" si="61">+(H70-F70)/F70</f>
        <v>0</v>
      </c>
      <c r="AD70" s="80">
        <f t="shared" ref="AD70:AD78" si="62">+(J70-H70)/H70</f>
        <v>0</v>
      </c>
      <c r="AE70" s="80">
        <f t="shared" ref="AE70:AE78" si="63">+(L70-J70)/J70</f>
        <v>6.3970756225725385</v>
      </c>
      <c r="AF70" s="80">
        <f t="shared" ref="AF70:AF78" si="64">+(N70-L70)/L70</f>
        <v>-0.18259875837786085</v>
      </c>
      <c r="AG70" s="80">
        <f t="shared" ref="AG70:AG78" si="65">+(P70-N70)/N70</f>
        <v>-0.83461175136973365</v>
      </c>
      <c r="AH70" s="80">
        <f t="shared" ref="AH70:AH78" si="66">+(R70-P70)/P70</f>
        <v>0</v>
      </c>
      <c r="AI70" s="80">
        <f t="shared" ref="AI70:AI78" si="67">+(T70-R70)/R70</f>
        <v>-0.15821338816541006</v>
      </c>
      <c r="AJ70" s="80">
        <f t="shared" ref="AJ70:AJ78" si="68">+(V70-T70)/T70</f>
        <v>0</v>
      </c>
      <c r="AK70" s="80">
        <f t="shared" si="13"/>
        <v>0.58018352496217052</v>
      </c>
      <c r="AL70" s="80">
        <f t="shared" si="14"/>
        <v>-5.2737796055136683E-2</v>
      </c>
      <c r="AN70" s="143">
        <v>1412.2400000000002</v>
      </c>
    </row>
    <row r="71" spans="2:40" x14ac:dyDescent="0.25">
      <c r="B71" s="7" t="s">
        <v>66</v>
      </c>
      <c r="C71" s="14">
        <v>180500</v>
      </c>
      <c r="D71" s="19">
        <v>49.54</v>
      </c>
      <c r="E71" s="81">
        <f>+D71/D$70</f>
        <v>0.56591272561114925</v>
      </c>
      <c r="F71" s="19">
        <v>49.54</v>
      </c>
      <c r="G71" s="81">
        <f>+F71/F$70</f>
        <v>0.56591272561114925</v>
      </c>
      <c r="H71" s="19">
        <v>49.54</v>
      </c>
      <c r="I71" s="81">
        <f>+H71/H$70</f>
        <v>0.56591272561114925</v>
      </c>
      <c r="J71" s="19">
        <v>49.54</v>
      </c>
      <c r="K71" s="81">
        <f>+J71/J$70</f>
        <v>0.56591272561114925</v>
      </c>
      <c r="L71" s="19">
        <v>49.54</v>
      </c>
      <c r="M71" s="81">
        <f>+L71/L$70</f>
        <v>7.6504926336596973E-2</v>
      </c>
      <c r="N71" s="19">
        <v>49.54</v>
      </c>
      <c r="O71" s="81">
        <f>+N71/N$70</f>
        <v>9.3595314566408475E-2</v>
      </c>
      <c r="P71" s="19">
        <v>49.54</v>
      </c>
      <c r="Q71" s="81">
        <f>+P71/P$70</f>
        <v>0.56591272561114925</v>
      </c>
      <c r="R71" s="19">
        <v>49.54</v>
      </c>
      <c r="S71" s="81">
        <f>+R71/R$70</f>
        <v>0.56591272561114925</v>
      </c>
      <c r="T71" s="19">
        <v>35.69</v>
      </c>
      <c r="U71" s="81">
        <f>+T71/T$70</f>
        <v>0.48432623151038129</v>
      </c>
      <c r="V71" s="19">
        <v>35.69</v>
      </c>
      <c r="W71" s="81">
        <f>+V71/V$70</f>
        <v>0.48432623151038129</v>
      </c>
      <c r="X71" s="81">
        <f t="shared" si="11"/>
        <v>0.45342290575906635</v>
      </c>
      <c r="Y71" s="81">
        <f t="shared" si="12"/>
        <v>0.51152172954397057</v>
      </c>
      <c r="AA71" s="81"/>
      <c r="AB71" s="81">
        <f t="shared" si="60"/>
        <v>0</v>
      </c>
      <c r="AC71" s="81">
        <f t="shared" si="61"/>
        <v>0</v>
      </c>
      <c r="AD71" s="81">
        <f t="shared" si="62"/>
        <v>0</v>
      </c>
      <c r="AE71" s="81">
        <f t="shared" si="63"/>
        <v>0</v>
      </c>
      <c r="AF71" s="81">
        <f t="shared" si="64"/>
        <v>0</v>
      </c>
      <c r="AG71" s="81">
        <f t="shared" si="65"/>
        <v>0</v>
      </c>
      <c r="AH71" s="81">
        <f t="shared" si="66"/>
        <v>0</v>
      </c>
      <c r="AI71" s="81">
        <f t="shared" si="67"/>
        <v>-0.27957206297941062</v>
      </c>
      <c r="AJ71" s="81">
        <f t="shared" si="68"/>
        <v>0</v>
      </c>
      <c r="AK71" s="81">
        <f t="shared" si="13"/>
        <v>-3.1063562553267848E-2</v>
      </c>
      <c r="AL71" s="81">
        <f t="shared" si="14"/>
        <v>-9.3190687659803539E-2</v>
      </c>
      <c r="AN71" s="128">
        <v>251.07</v>
      </c>
    </row>
    <row r="72" spans="2:40" x14ac:dyDescent="0.25">
      <c r="B72" s="7" t="s">
        <v>47</v>
      </c>
      <c r="C72" s="14">
        <v>189500</v>
      </c>
      <c r="D72" s="19">
        <v>38</v>
      </c>
      <c r="E72" s="81">
        <f>+D72/D$70</f>
        <v>0.43408727438885086</v>
      </c>
      <c r="F72" s="19">
        <v>38</v>
      </c>
      <c r="G72" s="81">
        <f>+F72/F$70</f>
        <v>0.43408727438885086</v>
      </c>
      <c r="H72" s="19">
        <v>38</v>
      </c>
      <c r="I72" s="81">
        <f>+H72/H$70</f>
        <v>0.43408727438885086</v>
      </c>
      <c r="J72" s="19">
        <v>38</v>
      </c>
      <c r="K72" s="81">
        <f>+J72/J$70</f>
        <v>0.43408727438885086</v>
      </c>
      <c r="L72" s="19">
        <v>598</v>
      </c>
      <c r="M72" s="81">
        <f>+L72/L$70</f>
        <v>0.92349507366340311</v>
      </c>
      <c r="N72" s="19">
        <v>548</v>
      </c>
      <c r="O72" s="81">
        <f>+N72/N$70</f>
        <v>1.0353296807103722</v>
      </c>
      <c r="P72" s="19">
        <v>38</v>
      </c>
      <c r="Q72" s="81">
        <f>+P72/P$70</f>
        <v>0.43408727438885086</v>
      </c>
      <c r="R72" s="19">
        <v>38</v>
      </c>
      <c r="S72" s="81">
        <f>+R72/R$70</f>
        <v>0.43408727438885086</v>
      </c>
      <c r="T72" s="19">
        <v>38</v>
      </c>
      <c r="U72" s="81">
        <f>+T72/T$70</f>
        <v>0.51567376848961866</v>
      </c>
      <c r="V72" s="19">
        <v>38</v>
      </c>
      <c r="W72" s="81">
        <f>+V72/V$70</f>
        <v>0.51567376848961866</v>
      </c>
      <c r="X72" s="81">
        <f t="shared" ref="X72:X78" si="69">+AVERAGE(E72,G72,I72,K72,M72,O72,Q72,S72,U72,W72)</f>
        <v>0.55946959376861183</v>
      </c>
      <c r="Y72" s="81">
        <f t="shared" ref="Y72:Y78" si="70">+AVERAGE(S72,U72,W72)</f>
        <v>0.48847827045602937</v>
      </c>
      <c r="AA72" s="81"/>
      <c r="AB72" s="81">
        <f t="shared" si="60"/>
        <v>0</v>
      </c>
      <c r="AC72" s="81">
        <f t="shared" si="61"/>
        <v>0</v>
      </c>
      <c r="AD72" s="81">
        <f t="shared" si="62"/>
        <v>0</v>
      </c>
      <c r="AE72" s="81">
        <f t="shared" si="63"/>
        <v>14.736842105263158</v>
      </c>
      <c r="AF72" s="81">
        <f t="shared" si="64"/>
        <v>-8.3612040133779264E-2</v>
      </c>
      <c r="AG72" s="81">
        <f t="shared" si="65"/>
        <v>-0.93065693430656937</v>
      </c>
      <c r="AH72" s="81">
        <f t="shared" si="66"/>
        <v>0</v>
      </c>
      <c r="AI72" s="81">
        <f t="shared" si="67"/>
        <v>0</v>
      </c>
      <c r="AJ72" s="81">
        <f t="shared" si="68"/>
        <v>0</v>
      </c>
      <c r="AK72" s="81">
        <f t="shared" si="13"/>
        <v>1.5247303478692009</v>
      </c>
      <c r="AL72" s="81">
        <f t="shared" si="14"/>
        <v>0</v>
      </c>
      <c r="AN72" s="128">
        <v>1612.03</v>
      </c>
    </row>
    <row r="73" spans="2:40" x14ac:dyDescent="0.25">
      <c r="B73" s="7" t="s">
        <v>67</v>
      </c>
      <c r="C73" s="14">
        <v>189900</v>
      </c>
      <c r="D73" s="19">
        <v>0</v>
      </c>
      <c r="E73" s="81">
        <f>+D73/D$70</f>
        <v>0</v>
      </c>
      <c r="F73" s="19">
        <v>0</v>
      </c>
      <c r="G73" s="81">
        <f>+F73/F$70</f>
        <v>0</v>
      </c>
      <c r="H73" s="19">
        <v>0</v>
      </c>
      <c r="I73" s="81">
        <f>+H73/H$70</f>
        <v>0</v>
      </c>
      <c r="J73" s="19">
        <v>0</v>
      </c>
      <c r="K73" s="81">
        <f>+J73/J$70</f>
        <v>0</v>
      </c>
      <c r="L73" s="19">
        <v>0</v>
      </c>
      <c r="M73" s="81">
        <f>+L73/L$70</f>
        <v>0</v>
      </c>
      <c r="N73" s="19">
        <v>-68.239999999999995</v>
      </c>
      <c r="O73" s="81">
        <f>+N73/N$70</f>
        <v>-0.12892499527678067</v>
      </c>
      <c r="P73" s="19">
        <v>0</v>
      </c>
      <c r="Q73" s="81">
        <f>+P73/P$70</f>
        <v>0</v>
      </c>
      <c r="R73" s="19">
        <v>0</v>
      </c>
      <c r="S73" s="81">
        <f>+R73/R$70</f>
        <v>0</v>
      </c>
      <c r="T73" s="19">
        <v>0</v>
      </c>
      <c r="U73" s="81">
        <f>+T73/T$70</f>
        <v>0</v>
      </c>
      <c r="V73" s="19">
        <v>0</v>
      </c>
      <c r="W73" s="81">
        <f>+V73/V$70</f>
        <v>0</v>
      </c>
      <c r="X73" s="81">
        <f t="shared" si="69"/>
        <v>-1.2892499527678066E-2</v>
      </c>
      <c r="Y73" s="81">
        <f t="shared" si="70"/>
        <v>0</v>
      </c>
      <c r="AA73" s="81"/>
      <c r="AB73" s="81" t="e">
        <f t="shared" si="60"/>
        <v>#DIV/0!</v>
      </c>
      <c r="AC73" s="81" t="e">
        <f t="shared" si="61"/>
        <v>#DIV/0!</v>
      </c>
      <c r="AD73" s="81" t="e">
        <f t="shared" si="62"/>
        <v>#DIV/0!</v>
      </c>
      <c r="AE73" s="81" t="e">
        <f t="shared" si="63"/>
        <v>#DIV/0!</v>
      </c>
      <c r="AF73" s="81" t="e">
        <f t="shared" si="64"/>
        <v>#DIV/0!</v>
      </c>
      <c r="AG73" s="81">
        <f t="shared" si="65"/>
        <v>-1</v>
      </c>
      <c r="AH73" s="81" t="e">
        <f t="shared" si="66"/>
        <v>#DIV/0!</v>
      </c>
      <c r="AI73" s="81" t="e">
        <f t="shared" si="67"/>
        <v>#DIV/0!</v>
      </c>
      <c r="AJ73" s="81" t="e">
        <f t="shared" si="68"/>
        <v>#DIV/0!</v>
      </c>
      <c r="AK73" s="81" t="e">
        <f t="shared" si="13"/>
        <v>#DIV/0!</v>
      </c>
      <c r="AL73" s="81" t="e">
        <f t="shared" si="14"/>
        <v>#DIV/0!</v>
      </c>
      <c r="AN73" s="128">
        <v>-450.84</v>
      </c>
    </row>
    <row r="74" spans="2:40" x14ac:dyDescent="0.25">
      <c r="B74" s="6" t="s">
        <v>68</v>
      </c>
      <c r="C74" s="13">
        <v>190000</v>
      </c>
      <c r="D74" s="17">
        <f t="shared" ref="D74:P74" si="71">+SUM(D75:D78)</f>
        <v>874</v>
      </c>
      <c r="E74" s="80">
        <f>+D74/D$6</f>
        <v>4.0653791105564489E-2</v>
      </c>
      <c r="F74" s="17">
        <f t="shared" si="71"/>
        <v>872.74</v>
      </c>
      <c r="G74" s="80">
        <f>+F74/F$6</f>
        <v>3.7772694713926171E-2</v>
      </c>
      <c r="H74" s="17">
        <f t="shared" si="71"/>
        <v>1502.6699999999998</v>
      </c>
      <c r="I74" s="80">
        <f>+H74/H$6</f>
        <v>5.9608283999257397E-2</v>
      </c>
      <c r="J74" s="17">
        <f t="shared" si="71"/>
        <v>1851.1299999999999</v>
      </c>
      <c r="K74" s="80">
        <f>+J74/J$6</f>
        <v>9.9111698160485429E-2</v>
      </c>
      <c r="L74" s="17">
        <f t="shared" si="71"/>
        <v>2884.9599999999996</v>
      </c>
      <c r="M74" s="80">
        <f>+L74/L$6</f>
        <v>7.9355705259196913E-2</v>
      </c>
      <c r="N74" s="17">
        <f t="shared" si="71"/>
        <v>3104.15</v>
      </c>
      <c r="O74" s="80">
        <f>+N74/N$6</f>
        <v>4.8314032260198335E-2</v>
      </c>
      <c r="P74" s="17">
        <f t="shared" si="71"/>
        <v>4991.03</v>
      </c>
      <c r="Q74" s="80">
        <f>+P74/P$6</f>
        <v>7.0005104128284604E-2</v>
      </c>
      <c r="R74" s="17">
        <f>+SUM(R75:R78)</f>
        <v>5194.29</v>
      </c>
      <c r="S74" s="80">
        <f>+R74/R$6</f>
        <v>8.1507890241960104E-2</v>
      </c>
      <c r="T74" s="17">
        <f>+SUM(T75:T78)</f>
        <v>6762.5199999999995</v>
      </c>
      <c r="U74" s="80">
        <f>+T74/T$6</f>
        <v>0.13236665994640756</v>
      </c>
      <c r="V74" s="17">
        <f>+SUM(V75:V78)</f>
        <v>6829.1599999999989</v>
      </c>
      <c r="W74" s="80">
        <f>+V74/V$6</f>
        <v>0.12638206908268088</v>
      </c>
      <c r="X74" s="80">
        <f t="shared" si="69"/>
        <v>7.7507792889796187E-2</v>
      </c>
      <c r="Y74" s="80">
        <f t="shared" si="70"/>
        <v>0.11341887309034952</v>
      </c>
      <c r="AA74" s="80"/>
      <c r="AB74" s="80">
        <f t="shared" si="60"/>
        <v>-1.4416475972539942E-3</v>
      </c>
      <c r="AC74" s="80">
        <f t="shared" si="61"/>
        <v>0.72178426564612574</v>
      </c>
      <c r="AD74" s="80">
        <f t="shared" si="62"/>
        <v>0.23189389553261866</v>
      </c>
      <c r="AE74" s="80">
        <f t="shared" si="63"/>
        <v>0.55848589780296343</v>
      </c>
      <c r="AF74" s="80">
        <f t="shared" si="64"/>
        <v>7.5976789972824768E-2</v>
      </c>
      <c r="AG74" s="80">
        <f t="shared" si="65"/>
        <v>0.60785722339448789</v>
      </c>
      <c r="AH74" s="80">
        <f t="shared" si="66"/>
        <v>4.0725060759001695E-2</v>
      </c>
      <c r="AI74" s="80">
        <f t="shared" si="67"/>
        <v>0.30191421734250484</v>
      </c>
      <c r="AJ74" s="80">
        <f t="shared" si="68"/>
        <v>9.8543146637643103E-3</v>
      </c>
      <c r="AK74" s="80">
        <f>+AVERAGE(AB74:AJ74)</f>
        <v>0.28300555750189305</v>
      </c>
      <c r="AL74" s="80">
        <f>+AVERAGE(AH74:AJ74)</f>
        <v>0.11749786425509028</v>
      </c>
      <c r="AN74" s="143">
        <v>143303.13999999998</v>
      </c>
    </row>
    <row r="75" spans="2:40" x14ac:dyDescent="0.25">
      <c r="B75" s="8" t="s">
        <v>69</v>
      </c>
      <c r="C75" s="15">
        <v>190500</v>
      </c>
      <c r="D75" s="19">
        <v>309.88</v>
      </c>
      <c r="E75" s="81">
        <f>+D75/D$74</f>
        <v>0.35455377574370711</v>
      </c>
      <c r="F75" s="19">
        <v>27.63</v>
      </c>
      <c r="G75" s="81">
        <f>+F75/F$74</f>
        <v>3.1658913307514261E-2</v>
      </c>
      <c r="H75" s="19">
        <v>38.06</v>
      </c>
      <c r="I75" s="81">
        <f>+H75/H$74</f>
        <v>2.5328249050024294E-2</v>
      </c>
      <c r="J75" s="19">
        <v>85.61</v>
      </c>
      <c r="K75" s="81">
        <f>+J75/J$74</f>
        <v>4.624742724714094E-2</v>
      </c>
      <c r="L75" s="19">
        <v>114.97</v>
      </c>
      <c r="M75" s="81">
        <f>+L75/L$74</f>
        <v>3.985150574011425E-2</v>
      </c>
      <c r="N75" s="19">
        <v>97.15</v>
      </c>
      <c r="O75" s="81">
        <f>+N75/N$74</f>
        <v>3.1296812331878296E-2</v>
      </c>
      <c r="P75" s="19">
        <v>121.15</v>
      </c>
      <c r="Q75" s="81">
        <f>+P75/P$74</f>
        <v>2.4273546742856686E-2</v>
      </c>
      <c r="R75" s="19">
        <v>130.41</v>
      </c>
      <c r="S75" s="81">
        <f>+R75/R$74</f>
        <v>2.5106414928700554E-2</v>
      </c>
      <c r="T75" s="19">
        <v>99.99</v>
      </c>
      <c r="U75" s="81">
        <f>+T75/T$74</f>
        <v>1.4785908211731721E-2</v>
      </c>
      <c r="V75" s="19">
        <v>69.150000000000006</v>
      </c>
      <c r="W75" s="81">
        <f>+V75/V$74</f>
        <v>1.0125696278898139E-2</v>
      </c>
      <c r="X75" s="81">
        <f t="shared" si="69"/>
        <v>6.0322824958256624E-2</v>
      </c>
      <c r="Y75" s="81">
        <f t="shared" si="70"/>
        <v>1.6672673139776804E-2</v>
      </c>
      <c r="AA75" s="81"/>
      <c r="AB75" s="81">
        <f t="shared" si="60"/>
        <v>-0.91083645282044667</v>
      </c>
      <c r="AC75" s="81">
        <f t="shared" si="61"/>
        <v>0.37748823742309096</v>
      </c>
      <c r="AD75" s="81">
        <f t="shared" si="62"/>
        <v>1.2493431424067261</v>
      </c>
      <c r="AE75" s="81">
        <f t="shared" si="63"/>
        <v>0.34295058988435928</v>
      </c>
      <c r="AF75" s="81">
        <f t="shared" si="64"/>
        <v>-0.15499695572758104</v>
      </c>
      <c r="AG75" s="81">
        <f t="shared" si="65"/>
        <v>0.24704065877509004</v>
      </c>
      <c r="AH75" s="81">
        <f t="shared" si="66"/>
        <v>7.6434172513413043E-2</v>
      </c>
      <c r="AI75" s="81">
        <f t="shared" si="67"/>
        <v>-0.23326432022084198</v>
      </c>
      <c r="AJ75" s="81">
        <f t="shared" si="68"/>
        <v>-0.30843084308430835</v>
      </c>
      <c r="AK75" s="81">
        <f>+AVERAGE(AB75:AJ75)</f>
        <v>7.619202546105569E-2</v>
      </c>
      <c r="AL75" s="81">
        <f>+AVERAGE(AH75:AJ75)</f>
        <v>-0.15508699693057909</v>
      </c>
      <c r="AN75" s="128">
        <v>100258.72000000002</v>
      </c>
    </row>
    <row r="76" spans="2:40" x14ac:dyDescent="0.25">
      <c r="B76" s="8" t="s">
        <v>50</v>
      </c>
      <c r="C76" s="15">
        <v>191000</v>
      </c>
      <c r="D76" s="19">
        <v>564.29</v>
      </c>
      <c r="E76" s="81">
        <f>+D76/D$74</f>
        <v>0.64564073226544616</v>
      </c>
      <c r="F76" s="19">
        <v>845.11</v>
      </c>
      <c r="G76" s="81">
        <f>+F76/F$74</f>
        <v>0.96834108669248575</v>
      </c>
      <c r="H76" s="19">
        <v>1464.61</v>
      </c>
      <c r="I76" s="81">
        <f>+H76/H$74</f>
        <v>0.97467175094997571</v>
      </c>
      <c r="J76" s="19">
        <v>1765.52</v>
      </c>
      <c r="K76" s="81">
        <f>+J76/J$74</f>
        <v>0.95375257275285907</v>
      </c>
      <c r="L76" s="19">
        <v>2769.99</v>
      </c>
      <c r="M76" s="81">
        <f>+L76/L$74</f>
        <v>0.9601484942598858</v>
      </c>
      <c r="N76" s="19">
        <v>3007</v>
      </c>
      <c r="O76" s="81">
        <f>+N76/N$74</f>
        <v>0.96870318766812169</v>
      </c>
      <c r="P76" s="19">
        <v>4869.88</v>
      </c>
      <c r="Q76" s="81">
        <f>+P76/P$74</f>
        <v>0.97572645325714336</v>
      </c>
      <c r="R76" s="19">
        <v>5063.88</v>
      </c>
      <c r="S76" s="81">
        <f>+R76/R$74</f>
        <v>0.97489358507129953</v>
      </c>
      <c r="T76" s="19">
        <v>6558.55</v>
      </c>
      <c r="U76" s="81">
        <f>+T76/T$74</f>
        <v>0.96983816683721458</v>
      </c>
      <c r="V76" s="19">
        <v>6656.03</v>
      </c>
      <c r="W76" s="81">
        <f>+V76/V$74</f>
        <v>0.97464841942493674</v>
      </c>
      <c r="X76" s="81">
        <f t="shared" si="69"/>
        <v>0.93663644491793685</v>
      </c>
      <c r="Y76" s="81">
        <f t="shared" si="70"/>
        <v>0.97312672377781695</v>
      </c>
      <c r="AA76" s="81"/>
      <c r="AB76" s="81">
        <f t="shared" si="60"/>
        <v>0.4976519165677224</v>
      </c>
      <c r="AC76" s="81">
        <f t="shared" si="61"/>
        <v>0.73304066926198941</v>
      </c>
      <c r="AD76" s="81">
        <f t="shared" si="62"/>
        <v>0.20545401164815214</v>
      </c>
      <c r="AE76" s="81">
        <f t="shared" si="63"/>
        <v>0.56893719697312961</v>
      </c>
      <c r="AF76" s="81">
        <f t="shared" si="64"/>
        <v>8.5563485788757443E-2</v>
      </c>
      <c r="AG76" s="81">
        <f t="shared" si="65"/>
        <v>0.61951446624542739</v>
      </c>
      <c r="AH76" s="81">
        <f t="shared" si="66"/>
        <v>3.983671055549623E-2</v>
      </c>
      <c r="AI76" s="81">
        <f t="shared" si="67"/>
        <v>0.29516299754338571</v>
      </c>
      <c r="AJ76" s="81">
        <f t="shared" si="68"/>
        <v>1.4863041373474252E-2</v>
      </c>
      <c r="AK76" s="81">
        <f>+AVERAGE(AB76:AJ76)</f>
        <v>0.3400027217730594</v>
      </c>
      <c r="AL76" s="81">
        <f>+AVERAGE(AH76:AJ76)</f>
        <v>0.11662091649078539</v>
      </c>
      <c r="AN76" s="128">
        <v>52133.790000000008</v>
      </c>
    </row>
    <row r="77" spans="2:40" x14ac:dyDescent="0.25">
      <c r="B77" s="8" t="s">
        <v>65</v>
      </c>
      <c r="C77" s="15">
        <v>199500</v>
      </c>
      <c r="D77" s="19">
        <v>0</v>
      </c>
      <c r="E77" s="81">
        <f>+D77/D$74</f>
        <v>0</v>
      </c>
      <c r="F77" s="19">
        <v>0</v>
      </c>
      <c r="G77" s="81">
        <f>+F77/F$74</f>
        <v>0</v>
      </c>
      <c r="H77" s="19">
        <v>0</v>
      </c>
      <c r="I77" s="81">
        <f>+H77/H$74</f>
        <v>0</v>
      </c>
      <c r="J77" s="19">
        <v>0</v>
      </c>
      <c r="K77" s="81">
        <f>+J77/J$74</f>
        <v>0</v>
      </c>
      <c r="L77" s="19">
        <v>0</v>
      </c>
      <c r="M77" s="81">
        <f>+L77/L$74</f>
        <v>0</v>
      </c>
      <c r="N77" s="19">
        <v>0</v>
      </c>
      <c r="O77" s="81">
        <f>+N77/N$74</f>
        <v>0</v>
      </c>
      <c r="P77" s="19">
        <v>0</v>
      </c>
      <c r="Q77" s="81">
        <f>+P77/P$74</f>
        <v>0</v>
      </c>
      <c r="R77" s="19">
        <v>0</v>
      </c>
      <c r="S77" s="81">
        <f>+R77/R$74</f>
        <v>0</v>
      </c>
      <c r="T77" s="19">
        <v>103.98</v>
      </c>
      <c r="U77" s="81">
        <f>+T77/T$74</f>
        <v>1.5375924951053751E-2</v>
      </c>
      <c r="V77" s="19">
        <v>103.98</v>
      </c>
      <c r="W77" s="81">
        <f>+V77/V$74</f>
        <v>1.5225884296165271E-2</v>
      </c>
      <c r="X77" s="81">
        <f t="shared" si="69"/>
        <v>3.0601809247219024E-3</v>
      </c>
      <c r="Y77" s="81">
        <f t="shared" si="70"/>
        <v>1.0200603082406341E-2</v>
      </c>
      <c r="AA77" s="81"/>
      <c r="AB77" s="81" t="e">
        <f t="shared" si="60"/>
        <v>#DIV/0!</v>
      </c>
      <c r="AC77" s="81" t="e">
        <f t="shared" si="61"/>
        <v>#DIV/0!</v>
      </c>
      <c r="AD77" s="81" t="e">
        <f t="shared" si="62"/>
        <v>#DIV/0!</v>
      </c>
      <c r="AE77" s="81" t="e">
        <f t="shared" si="63"/>
        <v>#DIV/0!</v>
      </c>
      <c r="AF77" s="81" t="e">
        <f t="shared" si="64"/>
        <v>#DIV/0!</v>
      </c>
      <c r="AG77" s="81" t="e">
        <f t="shared" si="65"/>
        <v>#DIV/0!</v>
      </c>
      <c r="AH77" s="81" t="e">
        <f t="shared" si="66"/>
        <v>#DIV/0!</v>
      </c>
      <c r="AI77" s="81" t="e">
        <f t="shared" si="67"/>
        <v>#DIV/0!</v>
      </c>
      <c r="AJ77" s="81">
        <f t="shared" si="68"/>
        <v>0</v>
      </c>
      <c r="AK77" s="81" t="e">
        <f>+AVERAGE(AB77:AJ77)</f>
        <v>#DIV/0!</v>
      </c>
      <c r="AL77" s="81" t="e">
        <f>+AVERAGE(AH77:AJ77)</f>
        <v>#DIV/0!</v>
      </c>
      <c r="AN77" s="128">
        <v>477.02</v>
      </c>
    </row>
    <row r="78" spans="2:40" x14ac:dyDescent="0.25">
      <c r="B78" s="8" t="s">
        <v>70</v>
      </c>
      <c r="C78" s="15">
        <v>199600</v>
      </c>
      <c r="D78" s="20">
        <v>-0.17</v>
      </c>
      <c r="E78" s="82">
        <f>+D78/D$74</f>
        <v>-1.9450800915331808E-4</v>
      </c>
      <c r="F78" s="20">
        <v>0</v>
      </c>
      <c r="G78" s="82">
        <f>+F78/F$74</f>
        <v>0</v>
      </c>
      <c r="H78" s="20">
        <v>0</v>
      </c>
      <c r="I78" s="82">
        <f>+H78/H$74</f>
        <v>0</v>
      </c>
      <c r="J78" s="20">
        <v>0</v>
      </c>
      <c r="K78" s="82">
        <f>+J78/J$74</f>
        <v>0</v>
      </c>
      <c r="L78" s="20">
        <v>0</v>
      </c>
      <c r="M78" s="82">
        <f>+L78/L$74</f>
        <v>0</v>
      </c>
      <c r="N78" s="20">
        <v>0</v>
      </c>
      <c r="O78" s="82">
        <f>+N78/N$74</f>
        <v>0</v>
      </c>
      <c r="P78" s="20">
        <v>0</v>
      </c>
      <c r="Q78" s="82">
        <f>+P78/P$74</f>
        <v>0</v>
      </c>
      <c r="R78" s="20">
        <v>0</v>
      </c>
      <c r="S78" s="82">
        <f>+R78/R$74</f>
        <v>0</v>
      </c>
      <c r="T78" s="20">
        <v>0</v>
      </c>
      <c r="U78" s="82">
        <f>+T78/T$74</f>
        <v>0</v>
      </c>
      <c r="V78" s="20">
        <v>0</v>
      </c>
      <c r="W78" s="82">
        <f>+V78/V$74</f>
        <v>0</v>
      </c>
      <c r="X78" s="82">
        <f t="shared" si="69"/>
        <v>-1.9450800915331809E-5</v>
      </c>
      <c r="Y78" s="82">
        <f t="shared" si="70"/>
        <v>0</v>
      </c>
      <c r="AA78" s="82"/>
      <c r="AB78" s="82">
        <f t="shared" si="60"/>
        <v>-1</v>
      </c>
      <c r="AC78" s="82" t="e">
        <f t="shared" si="61"/>
        <v>#DIV/0!</v>
      </c>
      <c r="AD78" s="82" t="e">
        <f t="shared" si="62"/>
        <v>#DIV/0!</v>
      </c>
      <c r="AE78" s="82" t="e">
        <f t="shared" si="63"/>
        <v>#DIV/0!</v>
      </c>
      <c r="AF78" s="82" t="e">
        <f t="shared" si="64"/>
        <v>#DIV/0!</v>
      </c>
      <c r="AG78" s="82" t="e">
        <f t="shared" si="65"/>
        <v>#DIV/0!</v>
      </c>
      <c r="AH78" s="82" t="e">
        <f t="shared" si="66"/>
        <v>#DIV/0!</v>
      </c>
      <c r="AI78" s="82" t="e">
        <f t="shared" si="67"/>
        <v>#DIV/0!</v>
      </c>
      <c r="AJ78" s="82" t="e">
        <f t="shared" si="68"/>
        <v>#DIV/0!</v>
      </c>
      <c r="AK78" s="82" t="e">
        <f>+AVERAGE(AB78:AJ78)</f>
        <v>#DIV/0!</v>
      </c>
      <c r="AL78" s="82" t="e">
        <f>+AVERAGE(AH78:AJ78)</f>
        <v>#DIV/0!</v>
      </c>
      <c r="AN78" s="129">
        <v>-9566.43</v>
      </c>
    </row>
    <row r="79" spans="2:40" x14ac:dyDescent="0.25">
      <c r="B79" s="8"/>
      <c r="C79" s="15"/>
      <c r="D79" s="23"/>
      <c r="E79" s="97"/>
      <c r="F79" s="23"/>
      <c r="G79" s="97"/>
      <c r="H79" s="23"/>
      <c r="I79" s="97"/>
      <c r="J79" s="23"/>
      <c r="K79" s="97"/>
      <c r="L79" s="23"/>
      <c r="M79" s="97"/>
      <c r="N79" s="23"/>
      <c r="O79" s="97"/>
      <c r="P79" s="23"/>
      <c r="Q79" s="97"/>
      <c r="R79" s="23"/>
      <c r="S79" s="97"/>
      <c r="T79" s="23"/>
      <c r="U79" s="97"/>
      <c r="V79" s="23"/>
      <c r="W79" s="97"/>
      <c r="X79" s="97"/>
      <c r="Y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N79" s="122"/>
    </row>
    <row r="80" spans="2:40" x14ac:dyDescent="0.25">
      <c r="B80" s="115" t="s">
        <v>212</v>
      </c>
      <c r="C80" s="116"/>
      <c r="D80" s="117">
        <f>+D7+D15+D16+D17+D29+D32+D39+D68</f>
        <v>12935.140000000001</v>
      </c>
      <c r="E80" s="118"/>
      <c r="F80" s="117">
        <f>+F7+F15+F16+F17+F29+F32+F39+F68</f>
        <v>14224.980000000001</v>
      </c>
      <c r="G80" s="118"/>
      <c r="H80" s="117">
        <f>+H7+H15+H16+H17+H29+H32+H39+H68</f>
        <v>17245.210000000003</v>
      </c>
      <c r="I80" s="118"/>
      <c r="J80" s="117">
        <f>+J7+J15+J16+J17+J29+J32+J39+J68</f>
        <v>9344.3000000000011</v>
      </c>
      <c r="K80" s="119"/>
      <c r="L80" s="117">
        <f>+L7+L15+L16+L17+L29+L32+L39+L68</f>
        <v>22713.7</v>
      </c>
      <c r="M80" s="119"/>
      <c r="N80" s="117">
        <f>+N7+N15+N16+N17+N29+N32+N39+N68</f>
        <v>33518.479999999996</v>
      </c>
      <c r="O80" s="119"/>
      <c r="P80" s="117">
        <f>+P7+P15+P16+P17+P29+P32+P39+P68</f>
        <v>30419.54</v>
      </c>
      <c r="Q80" s="119"/>
      <c r="R80" s="117">
        <f>+R7+R15+R16+R17+R29+R32+R39+R68</f>
        <v>22990.98</v>
      </c>
      <c r="S80" s="119"/>
      <c r="T80" s="117">
        <f>+T7+T15+T16+T17+T29+T32+T39+T68</f>
        <v>20903.88</v>
      </c>
      <c r="U80" s="119"/>
      <c r="V80" s="117">
        <f>+V7+V15+V16+V17+V29+V32+V39+V68</f>
        <v>26434</v>
      </c>
      <c r="W80" s="97"/>
      <c r="X80" s="97"/>
      <c r="Y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N80" s="141">
        <f>+AN7+AN39+AN68</f>
        <v>516560.82000000007</v>
      </c>
    </row>
    <row r="81" spans="2:40" x14ac:dyDescent="0.25">
      <c r="B81" s="115" t="s">
        <v>213</v>
      </c>
      <c r="C81" s="116"/>
      <c r="D81" s="117">
        <f>+D13+D19+D21+D23++D28+D35+D37+D55+D63+D69+D70+D38+D74</f>
        <v>8563.4699999999993</v>
      </c>
      <c r="E81" s="118"/>
      <c r="F81" s="117">
        <f>+F13+F19+F21+F23++F28+F35+F37+F55+F63+F69+F70+F38+F74</f>
        <v>8880.0699999999979</v>
      </c>
      <c r="G81" s="118"/>
      <c r="H81" s="117">
        <f>+H13+H19+H21+H23++H28+H35+H37+H55+H63+H69+H70+H38+H74</f>
        <v>7963.87</v>
      </c>
      <c r="I81" s="118"/>
      <c r="J81" s="117">
        <f>+J13+J19+J21+J23++J28+J35+J37+J55+J63+J69+J70+J38+J74</f>
        <v>9332.909999999998</v>
      </c>
      <c r="K81" s="119"/>
      <c r="L81" s="117">
        <f>+L13+L19+L21+L23++L28+L35+L37+L55+L63+L69+L70+L38+L74</f>
        <v>13641.089999999997</v>
      </c>
      <c r="M81" s="119"/>
      <c r="N81" s="117">
        <f>+N13+N19+N21+N23++N28+N35+N37+N55+N63+N69+N70+N38+N74</f>
        <v>30730.97</v>
      </c>
      <c r="O81" s="119"/>
      <c r="P81" s="117">
        <f>+P13+P19+P21+P23++P28+P35+P37+P55+P63+P69+P70+P38+P74</f>
        <v>40875.69</v>
      </c>
      <c r="Q81" s="119"/>
      <c r="R81" s="117">
        <f>+R13+R19+R21+R23++R28+R35+R37+R55+R63+R69+R70+R38+R74</f>
        <v>40736.469999999994</v>
      </c>
      <c r="S81" s="119"/>
      <c r="T81" s="117">
        <f>+T13+T19+T21+T23++T28+T35+T37+T55+T63+T69+T70+T38+T74</f>
        <v>30185.42</v>
      </c>
      <c r="U81" s="119"/>
      <c r="V81" s="117">
        <f>+V13+V19+V21+V23++V28+V35+V37+V55+V63+V69+V70+V38+V74</f>
        <v>27601.829999999998</v>
      </c>
      <c r="W81" s="97"/>
      <c r="X81" s="97"/>
      <c r="Y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N81" s="142">
        <f>+AN12+AN55+AN63+AN69+AN70+AN74</f>
        <v>3413528.79</v>
      </c>
    </row>
    <row r="82" spans="2:40" x14ac:dyDescent="0.25">
      <c r="B82" s="115" t="s">
        <v>214</v>
      </c>
      <c r="C82" s="116"/>
      <c r="D82" s="117">
        <f>+D80+D81</f>
        <v>21498.61</v>
      </c>
      <c r="E82" s="118"/>
      <c r="F82" s="117">
        <f>+F80+F81</f>
        <v>23105.05</v>
      </c>
      <c r="G82" s="118"/>
      <c r="H82" s="117">
        <f>+H80+H81</f>
        <v>25209.08</v>
      </c>
      <c r="I82" s="118"/>
      <c r="J82" s="117">
        <f>+J80+J81</f>
        <v>18677.21</v>
      </c>
      <c r="K82" s="119"/>
      <c r="L82" s="117">
        <f>+L80+L81</f>
        <v>36354.789999999994</v>
      </c>
      <c r="M82" s="119"/>
      <c r="N82" s="117">
        <f>+N80+N81</f>
        <v>64249.45</v>
      </c>
      <c r="O82" s="119"/>
      <c r="P82" s="117">
        <f>+P80+P81</f>
        <v>71295.23000000001</v>
      </c>
      <c r="Q82" s="119"/>
      <c r="R82" s="117">
        <f>+R80+R81</f>
        <v>63727.45</v>
      </c>
      <c r="S82" s="119"/>
      <c r="T82" s="117">
        <f>+T80+T81</f>
        <v>51089.3</v>
      </c>
      <c r="U82" s="119"/>
      <c r="V82" s="117">
        <f>+V80+V81</f>
        <v>54035.83</v>
      </c>
      <c r="W82" s="97"/>
      <c r="X82" s="97"/>
      <c r="Y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N82" s="117">
        <f>+AN80+AN81</f>
        <v>3930089.6100000003</v>
      </c>
    </row>
    <row r="83" spans="2:40" x14ac:dyDescent="0.25">
      <c r="B83" s="115"/>
      <c r="C83" s="116"/>
      <c r="D83" s="117">
        <f>+D82-D6</f>
        <v>0</v>
      </c>
      <c r="E83" s="118"/>
      <c r="F83" s="117">
        <f>+F82-F6</f>
        <v>0</v>
      </c>
      <c r="G83" s="118"/>
      <c r="H83" s="117">
        <f>+H82-H6</f>
        <v>0</v>
      </c>
      <c r="I83" s="118"/>
      <c r="J83" s="117">
        <f>+J82-J6</f>
        <v>0</v>
      </c>
      <c r="K83" s="119"/>
      <c r="L83" s="117">
        <f>+L82-L6</f>
        <v>0</v>
      </c>
      <c r="M83" s="119"/>
      <c r="N83" s="117">
        <f>+N82-N6</f>
        <v>0</v>
      </c>
      <c r="O83" s="119"/>
      <c r="P83" s="117">
        <f>+P82-P6</f>
        <v>0</v>
      </c>
      <c r="Q83" s="119"/>
      <c r="R83" s="117">
        <f>+R82-R6</f>
        <v>0</v>
      </c>
      <c r="S83" s="119"/>
      <c r="T83" s="117">
        <f>+T82-T6</f>
        <v>0</v>
      </c>
      <c r="U83" s="119"/>
      <c r="V83" s="117">
        <f>+V82-V6</f>
        <v>0</v>
      </c>
      <c r="W83" s="97"/>
      <c r="X83" s="97"/>
      <c r="Y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N83" s="117">
        <f>+AN82-AN6</f>
        <v>0.13000000081956387</v>
      </c>
    </row>
    <row r="84" spans="2:40" x14ac:dyDescent="0.25">
      <c r="B84" s="2"/>
      <c r="C84" s="15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N84" s="122"/>
    </row>
    <row r="85" spans="2:40" x14ac:dyDescent="0.25">
      <c r="B85" s="9" t="s">
        <v>178</v>
      </c>
      <c r="C85" s="13">
        <v>200000</v>
      </c>
      <c r="D85" s="124">
        <f t="shared" ref="D85:V85" si="72">+D86+D89+D98+D102+D109+D115+D118</f>
        <v>2475.3200000000002</v>
      </c>
      <c r="E85" s="84">
        <f>+E86+E89+E98+E102+E109+E115+E118</f>
        <v>1.0000000000000002</v>
      </c>
      <c r="F85" s="124">
        <f t="shared" si="72"/>
        <v>2438.889999999999</v>
      </c>
      <c r="G85" s="84">
        <f>+G86+G89+G98+G102+G109+G115+G118</f>
        <v>1</v>
      </c>
      <c r="H85" s="124">
        <f t="shared" si="72"/>
        <v>5385.5800000000017</v>
      </c>
      <c r="I85" s="84">
        <f>+I86+I89+I98+I102+I109+I115+I118</f>
        <v>0.99999999999999978</v>
      </c>
      <c r="J85" s="124">
        <f t="shared" si="72"/>
        <v>1236.3800000000001</v>
      </c>
      <c r="K85" s="84">
        <f>+K86+K89+K98+K102+K109+K115+K118</f>
        <v>0.99999999999999989</v>
      </c>
      <c r="L85" s="124">
        <f t="shared" si="72"/>
        <v>2832.8799999999997</v>
      </c>
      <c r="M85" s="84">
        <f>+M86+M89+M98+M102+M109+M115+M118</f>
        <v>1</v>
      </c>
      <c r="N85" s="124">
        <f t="shared" si="72"/>
        <v>5929.99</v>
      </c>
      <c r="O85" s="84">
        <f>+O86+O89+O98+O102+O109+O115+O118</f>
        <v>1.0000000000000002</v>
      </c>
      <c r="P85" s="124">
        <f t="shared" si="72"/>
        <v>3273.8599999999997</v>
      </c>
      <c r="Q85" s="84">
        <f>+Q86+Q89+Q98+Q102+Q109+Q115+Q118</f>
        <v>1</v>
      </c>
      <c r="R85" s="124">
        <f t="shared" si="72"/>
        <v>2297.2800000000002</v>
      </c>
      <c r="S85" s="84">
        <f>+S86+S89+S98+S102+S109+S115+S118</f>
        <v>1</v>
      </c>
      <c r="T85" s="124">
        <f t="shared" si="72"/>
        <v>2585.48</v>
      </c>
      <c r="U85" s="84">
        <f>+U86+U89+U98+U102+U109+U115+U118</f>
        <v>1</v>
      </c>
      <c r="V85" s="124">
        <f t="shared" si="72"/>
        <v>3035.5900000000006</v>
      </c>
      <c r="W85" s="176">
        <f>+W86+W89+W98+W102+W109+W115+W118</f>
        <v>0.99999999999999989</v>
      </c>
      <c r="X85" s="85">
        <f t="shared" ref="X85:X122" si="73">+AVERAGE(E85,G85,I85,K85,M85,O85,Q85,S85,U85,W85)</f>
        <v>1</v>
      </c>
      <c r="Y85" s="85">
        <f>+AVERAGE(S85,U85,W85)</f>
        <v>1</v>
      </c>
      <c r="AA85" s="85"/>
      <c r="AB85" s="85">
        <f t="shared" ref="AB85:AB122" si="74">+(F85-D85)/D85</f>
        <v>-1.4717289077776287E-2</v>
      </c>
      <c r="AC85" s="85">
        <f t="shared" ref="AC85:AC122" si="75">+(H85-F85)/F85</f>
        <v>1.2082094723419277</v>
      </c>
      <c r="AD85" s="85">
        <f t="shared" ref="AD85:AD122" si="76">+(J85-H85)/H85</f>
        <v>-0.77042769766673236</v>
      </c>
      <c r="AE85" s="85">
        <f t="shared" ref="AE85:AE122" si="77">+(L85-J85)/J85</f>
        <v>1.2912696743719563</v>
      </c>
      <c r="AF85" s="85">
        <f t="shared" ref="AF85:AF122" si="78">+(N85-L85)/L85</f>
        <v>1.0932725706701309</v>
      </c>
      <c r="AG85" s="85">
        <f t="shared" ref="AG85:AG122" si="79">+(P85-N85)/N85</f>
        <v>-0.44791475196416863</v>
      </c>
      <c r="AH85" s="85">
        <f t="shared" ref="AH85:AH122" si="80">+(R85-P85)/P85</f>
        <v>-0.29829620081494002</v>
      </c>
      <c r="AI85" s="85">
        <f t="shared" ref="AI85:AI122" si="81">+(T85-R85)/R85</f>
        <v>0.12545270929098751</v>
      </c>
      <c r="AJ85" s="181">
        <f t="shared" ref="AJ85:AJ122" si="82">+(V85-T85)/T85</f>
        <v>0.17409146464099531</v>
      </c>
      <c r="AK85" s="181">
        <f>+AVERAGE(AB85:AJ85)</f>
        <v>0.26232666131026444</v>
      </c>
      <c r="AL85" s="85">
        <f>+AVERAGE(AH85:AJ85)</f>
        <v>4.1599103901426848E-4</v>
      </c>
      <c r="AN85" s="135">
        <v>2753616.790000001</v>
      </c>
    </row>
    <row r="86" spans="2:40" x14ac:dyDescent="0.25">
      <c r="B86" s="6" t="s">
        <v>71</v>
      </c>
      <c r="C86" s="13">
        <v>210000</v>
      </c>
      <c r="D86" s="125">
        <f>+SUM(D87:D88)</f>
        <v>0</v>
      </c>
      <c r="E86" s="80">
        <f>+D86/D$85</f>
        <v>0</v>
      </c>
      <c r="F86" s="125">
        <f>+SUM(F87:F88)</f>
        <v>0</v>
      </c>
      <c r="G86" s="80">
        <f>+F86/F$85</f>
        <v>0</v>
      </c>
      <c r="H86" s="125">
        <f>+SUM(H87:H88)</f>
        <v>3021.56</v>
      </c>
      <c r="I86" s="80">
        <f>+H86/H$85</f>
        <v>0.56104634969678269</v>
      </c>
      <c r="J86" s="125">
        <f t="shared" ref="J86:V86" si="83">+SUM(J87:J88)</f>
        <v>0.2</v>
      </c>
      <c r="K86" s="80">
        <f>+J86/J$85</f>
        <v>1.6176256490722918E-4</v>
      </c>
      <c r="L86" s="125">
        <f t="shared" si="83"/>
        <v>133.86000000000001</v>
      </c>
      <c r="M86" s="80">
        <f>+L86/L$85</f>
        <v>4.7252266244952143E-2</v>
      </c>
      <c r="N86" s="125">
        <f t="shared" si="83"/>
        <v>71.48</v>
      </c>
      <c r="O86" s="80">
        <f>+N86/N$85</f>
        <v>1.2053983227627704E-2</v>
      </c>
      <c r="P86" s="125">
        <f t="shared" si="83"/>
        <v>0</v>
      </c>
      <c r="Q86" s="80">
        <f>+P86/P$85</f>
        <v>0</v>
      </c>
      <c r="R86" s="125">
        <f t="shared" si="83"/>
        <v>0</v>
      </c>
      <c r="S86" s="80">
        <f>+R86/R$85</f>
        <v>0</v>
      </c>
      <c r="T86" s="125">
        <f t="shared" si="83"/>
        <v>29.15</v>
      </c>
      <c r="U86" s="80">
        <f>+T86/T$85</f>
        <v>1.127450222009066E-2</v>
      </c>
      <c r="V86" s="125">
        <f t="shared" si="83"/>
        <v>0</v>
      </c>
      <c r="W86" s="177">
        <f>+V86/V$85</f>
        <v>0</v>
      </c>
      <c r="X86" s="80">
        <f t="shared" si="73"/>
        <v>6.3178886395436035E-2</v>
      </c>
      <c r="Y86" s="80">
        <f t="shared" ref="Y86:Y122" si="84">+AVERAGE(S86,U86,W86)</f>
        <v>3.7581674066968864E-3</v>
      </c>
      <c r="AA86" s="80"/>
      <c r="AB86" s="80" t="e">
        <f t="shared" si="74"/>
        <v>#DIV/0!</v>
      </c>
      <c r="AC86" s="80" t="e">
        <f t="shared" si="75"/>
        <v>#DIV/0!</v>
      </c>
      <c r="AD86" s="80">
        <f t="shared" si="76"/>
        <v>-0.99993380902580131</v>
      </c>
      <c r="AE86" s="80">
        <f t="shared" si="77"/>
        <v>668.30000000000007</v>
      </c>
      <c r="AF86" s="80">
        <f t="shared" si="78"/>
        <v>-0.46600926340953236</v>
      </c>
      <c r="AG86" s="80">
        <f t="shared" si="79"/>
        <v>-1</v>
      </c>
      <c r="AH86" s="80" t="e">
        <f t="shared" si="80"/>
        <v>#DIV/0!</v>
      </c>
      <c r="AI86" s="80" t="e">
        <f t="shared" si="81"/>
        <v>#DIV/0!</v>
      </c>
      <c r="AJ86" s="177">
        <f t="shared" si="82"/>
        <v>-1</v>
      </c>
      <c r="AK86" s="177" t="e">
        <f t="shared" ref="AK86:AK122" si="85">+AVERAGE(AB86:AJ86)</f>
        <v>#DIV/0!</v>
      </c>
      <c r="AL86" s="80" t="e">
        <f t="shared" ref="AL86:AL122" si="86">+AVERAGE(AH86:AJ86)</f>
        <v>#DIV/0!</v>
      </c>
      <c r="AN86" s="134">
        <v>2545060.3999999994</v>
      </c>
    </row>
    <row r="87" spans="2:40" x14ac:dyDescent="0.25">
      <c r="B87" s="7" t="s">
        <v>72</v>
      </c>
      <c r="C87" s="14">
        <v>210500</v>
      </c>
      <c r="D87" s="126">
        <v>0</v>
      </c>
      <c r="E87" s="81" t="e">
        <f>+D87/D$86</f>
        <v>#DIV/0!</v>
      </c>
      <c r="F87" s="126">
        <v>0</v>
      </c>
      <c r="G87" s="81" t="e">
        <f>+F87/F$86</f>
        <v>#DIV/0!</v>
      </c>
      <c r="H87" s="126">
        <v>3021.56</v>
      </c>
      <c r="I87" s="81">
        <f>+H87/H$86</f>
        <v>1</v>
      </c>
      <c r="J87" s="126">
        <v>0.2</v>
      </c>
      <c r="K87" s="81">
        <f>+J87/J$86</f>
        <v>1</v>
      </c>
      <c r="L87" s="126">
        <v>0</v>
      </c>
      <c r="M87" s="81">
        <f>+L87/L$86</f>
        <v>0</v>
      </c>
      <c r="N87" s="126"/>
      <c r="O87" s="81">
        <f>+N87/N$86</f>
        <v>0</v>
      </c>
      <c r="P87" s="126">
        <v>0</v>
      </c>
      <c r="Q87" s="81" t="e">
        <f>+P87/P$86</f>
        <v>#DIV/0!</v>
      </c>
      <c r="R87" s="126">
        <v>0</v>
      </c>
      <c r="S87" s="81" t="e">
        <f>+R87/R$86</f>
        <v>#DIV/0!</v>
      </c>
      <c r="T87" s="126">
        <v>29.15</v>
      </c>
      <c r="U87" s="81">
        <f>+T87/T$86</f>
        <v>1</v>
      </c>
      <c r="V87" s="126">
        <v>0</v>
      </c>
      <c r="W87" s="178" t="e">
        <f>+V87/V$86</f>
        <v>#DIV/0!</v>
      </c>
      <c r="X87" s="81" t="e">
        <f t="shared" si="73"/>
        <v>#DIV/0!</v>
      </c>
      <c r="Y87" s="81" t="e">
        <f t="shared" si="84"/>
        <v>#DIV/0!</v>
      </c>
      <c r="AA87" s="81"/>
      <c r="AB87" s="81" t="e">
        <f t="shared" si="74"/>
        <v>#DIV/0!</v>
      </c>
      <c r="AC87" s="81" t="e">
        <f t="shared" si="75"/>
        <v>#DIV/0!</v>
      </c>
      <c r="AD87" s="81">
        <f t="shared" si="76"/>
        <v>-0.99993380902580131</v>
      </c>
      <c r="AE87" s="81">
        <f t="shared" si="77"/>
        <v>-1</v>
      </c>
      <c r="AF87" s="81" t="e">
        <f t="shared" si="78"/>
        <v>#DIV/0!</v>
      </c>
      <c r="AG87" s="81" t="e">
        <f t="shared" si="79"/>
        <v>#DIV/0!</v>
      </c>
      <c r="AH87" s="81" t="e">
        <f t="shared" si="80"/>
        <v>#DIV/0!</v>
      </c>
      <c r="AI87" s="81" t="e">
        <f t="shared" si="81"/>
        <v>#DIV/0!</v>
      </c>
      <c r="AJ87" s="178">
        <f t="shared" si="82"/>
        <v>-1</v>
      </c>
      <c r="AK87" s="178" t="e">
        <f t="shared" si="85"/>
        <v>#DIV/0!</v>
      </c>
      <c r="AL87" s="81" t="e">
        <f t="shared" si="86"/>
        <v>#DIV/0!</v>
      </c>
      <c r="AN87" s="132">
        <v>39545.75</v>
      </c>
    </row>
    <row r="88" spans="2:40" x14ac:dyDescent="0.25">
      <c r="B88" s="7" t="s">
        <v>171</v>
      </c>
      <c r="C88" s="14">
        <v>211500</v>
      </c>
      <c r="D88" s="126">
        <v>0</v>
      </c>
      <c r="E88" s="81" t="e">
        <f>+D88/D$86</f>
        <v>#DIV/0!</v>
      </c>
      <c r="F88" s="126">
        <v>0</v>
      </c>
      <c r="G88" s="81" t="e">
        <f>+F88/F$86</f>
        <v>#DIV/0!</v>
      </c>
      <c r="H88" s="126">
        <v>0</v>
      </c>
      <c r="I88" s="81">
        <f>+H88/H$86</f>
        <v>0</v>
      </c>
      <c r="J88" s="126">
        <v>0</v>
      </c>
      <c r="K88" s="81">
        <f>+J88/J$86</f>
        <v>0</v>
      </c>
      <c r="L88" s="126">
        <v>133.86000000000001</v>
      </c>
      <c r="M88" s="81">
        <f>+L88/L$86</f>
        <v>1</v>
      </c>
      <c r="N88" s="126">
        <v>71.48</v>
      </c>
      <c r="O88" s="81">
        <f>+N88/N$86</f>
        <v>1</v>
      </c>
      <c r="P88" s="126">
        <v>0</v>
      </c>
      <c r="Q88" s="81" t="e">
        <f>+P88/P$86</f>
        <v>#DIV/0!</v>
      </c>
      <c r="R88" s="126">
        <v>0</v>
      </c>
      <c r="S88" s="81" t="e">
        <f>+R88/R$86</f>
        <v>#DIV/0!</v>
      </c>
      <c r="T88" s="126">
        <v>0</v>
      </c>
      <c r="U88" s="81">
        <f>+T88/T$86</f>
        <v>0</v>
      </c>
      <c r="V88" s="126">
        <v>0</v>
      </c>
      <c r="W88" s="178" t="e">
        <f>+V88/V$86</f>
        <v>#DIV/0!</v>
      </c>
      <c r="X88" s="81" t="e">
        <f t="shared" si="73"/>
        <v>#DIV/0!</v>
      </c>
      <c r="Y88" s="81" t="e">
        <f t="shared" si="84"/>
        <v>#DIV/0!</v>
      </c>
      <c r="AA88" s="81"/>
      <c r="AB88" s="81" t="e">
        <f t="shared" si="74"/>
        <v>#DIV/0!</v>
      </c>
      <c r="AC88" s="81" t="e">
        <f t="shared" si="75"/>
        <v>#DIV/0!</v>
      </c>
      <c r="AD88" s="81" t="e">
        <f t="shared" si="76"/>
        <v>#DIV/0!</v>
      </c>
      <c r="AE88" s="81" t="e">
        <f t="shared" si="77"/>
        <v>#DIV/0!</v>
      </c>
      <c r="AF88" s="81">
        <f t="shared" si="78"/>
        <v>-0.46600926340953236</v>
      </c>
      <c r="AG88" s="81">
        <f t="shared" si="79"/>
        <v>-1</v>
      </c>
      <c r="AH88" s="81" t="e">
        <f t="shared" si="80"/>
        <v>#DIV/0!</v>
      </c>
      <c r="AI88" s="81" t="e">
        <f t="shared" si="81"/>
        <v>#DIV/0!</v>
      </c>
      <c r="AJ88" s="178" t="e">
        <f t="shared" si="82"/>
        <v>#DIV/0!</v>
      </c>
      <c r="AK88" s="178" t="e">
        <f t="shared" si="85"/>
        <v>#DIV/0!</v>
      </c>
      <c r="AL88" s="81" t="e">
        <f t="shared" si="86"/>
        <v>#DIV/0!</v>
      </c>
      <c r="AN88" s="132">
        <v>4120.8100000000004</v>
      </c>
    </row>
    <row r="89" spans="2:40" x14ac:dyDescent="0.25">
      <c r="B89" s="6" t="s">
        <v>73</v>
      </c>
      <c r="C89" s="13">
        <v>230000</v>
      </c>
      <c r="D89" s="125">
        <f t="shared" ref="D89:T89" si="87">+SUM(D90:D97)</f>
        <v>709.94</v>
      </c>
      <c r="E89" s="80">
        <f>+D89/D$85</f>
        <v>0.28680736228043241</v>
      </c>
      <c r="F89" s="125">
        <f t="shared" si="87"/>
        <v>518.31999999999994</v>
      </c>
      <c r="G89" s="80">
        <f>+F89/F$85</f>
        <v>0.21252291001234175</v>
      </c>
      <c r="H89" s="125">
        <f t="shared" si="87"/>
        <v>670.24000000000012</v>
      </c>
      <c r="I89" s="80">
        <f>+H89/H$85</f>
        <v>0.1244508483765908</v>
      </c>
      <c r="J89" s="125">
        <f t="shared" si="87"/>
        <v>724.46999999999991</v>
      </c>
      <c r="K89" s="80">
        <f>+J89/J$85</f>
        <v>0.58596062699170148</v>
      </c>
      <c r="L89" s="125">
        <f t="shared" si="87"/>
        <v>1760.6</v>
      </c>
      <c r="M89" s="80">
        <f>+L89/L$85</f>
        <v>0.62148767332184918</v>
      </c>
      <c r="N89" s="125">
        <f t="shared" si="87"/>
        <v>2497.4300000000003</v>
      </c>
      <c r="O89" s="80">
        <f>+N89/N$85</f>
        <v>0.42115248086421736</v>
      </c>
      <c r="P89" s="125">
        <f t="shared" si="87"/>
        <v>1506.9099999999999</v>
      </c>
      <c r="Q89" s="80">
        <f>+P89/P$85</f>
        <v>0.46028541232673359</v>
      </c>
      <c r="R89" s="125">
        <f t="shared" si="87"/>
        <v>1128.4100000000001</v>
      </c>
      <c r="S89" s="80">
        <f>+R89/R$85</f>
        <v>0.49119393369550074</v>
      </c>
      <c r="T89" s="125">
        <f t="shared" si="87"/>
        <v>748.85</v>
      </c>
      <c r="U89" s="80">
        <f>+T89/T$85</f>
        <v>0.28963674056654859</v>
      </c>
      <c r="V89" s="125">
        <f>+SUM(V90:V97)</f>
        <v>784.21</v>
      </c>
      <c r="W89" s="177">
        <f>+V89/V$85</f>
        <v>0.25833857668525717</v>
      </c>
      <c r="X89" s="80">
        <f t="shared" si="73"/>
        <v>0.37518365651211733</v>
      </c>
      <c r="Y89" s="80">
        <f t="shared" si="84"/>
        <v>0.34638975031576885</v>
      </c>
      <c r="AA89" s="80"/>
      <c r="AB89" s="80">
        <f t="shared" si="74"/>
        <v>-0.2699101332506974</v>
      </c>
      <c r="AC89" s="80">
        <f t="shared" si="75"/>
        <v>0.29310078715851251</v>
      </c>
      <c r="AD89" s="80">
        <f t="shared" si="76"/>
        <v>8.0911315349725149E-2</v>
      </c>
      <c r="AE89" s="80">
        <f t="shared" si="77"/>
        <v>1.4301903460460754</v>
      </c>
      <c r="AF89" s="80">
        <f t="shared" si="78"/>
        <v>0.41851073497671271</v>
      </c>
      <c r="AG89" s="80">
        <f t="shared" si="79"/>
        <v>-0.39661572096114817</v>
      </c>
      <c r="AH89" s="80">
        <f t="shared" si="80"/>
        <v>-0.25117624808382705</v>
      </c>
      <c r="AI89" s="80">
        <f t="shared" si="81"/>
        <v>-0.33636710061059372</v>
      </c>
      <c r="AJ89" s="177">
        <f t="shared" si="82"/>
        <v>4.7219069239500581E-2</v>
      </c>
      <c r="AK89" s="178">
        <f t="shared" si="85"/>
        <v>0.11287367220714001</v>
      </c>
      <c r="AL89" s="81">
        <f t="shared" si="86"/>
        <v>-0.18010809315164009</v>
      </c>
      <c r="AN89" s="134">
        <v>76215.119999999923</v>
      </c>
    </row>
    <row r="90" spans="2:40" x14ac:dyDescent="0.25">
      <c r="B90" s="7" t="s">
        <v>74</v>
      </c>
      <c r="C90" s="14">
        <v>230500</v>
      </c>
      <c r="D90" s="126">
        <v>185.07</v>
      </c>
      <c r="E90" s="81">
        <f t="shared" ref="E90:E97" si="88">+D90/D$89</f>
        <v>0.2606840014649125</v>
      </c>
      <c r="F90" s="126">
        <v>96.96</v>
      </c>
      <c r="G90" s="81">
        <f t="shared" ref="G90:G97" si="89">+F90/F$89</f>
        <v>0.18706590523228894</v>
      </c>
      <c r="H90" s="126">
        <v>117.53</v>
      </c>
      <c r="I90" s="81">
        <f t="shared" ref="I90:I97" si="90">+H90/H$89</f>
        <v>0.17535509668178559</v>
      </c>
      <c r="J90" s="126">
        <v>139.65</v>
      </c>
      <c r="K90" s="81">
        <f t="shared" ref="K90:K97" si="91">+J90/J$89</f>
        <v>0.19276160503540524</v>
      </c>
      <c r="L90" s="126">
        <v>42.89</v>
      </c>
      <c r="M90" s="81">
        <f t="shared" ref="M90:M97" si="92">+L90/L$89</f>
        <v>2.436101329092355E-2</v>
      </c>
      <c r="N90" s="126">
        <v>0</v>
      </c>
      <c r="O90" s="81">
        <f>+N90/N$89</f>
        <v>0</v>
      </c>
      <c r="P90" s="126">
        <v>0</v>
      </c>
      <c r="Q90" s="81">
        <f>+P90/P$89</f>
        <v>0</v>
      </c>
      <c r="R90" s="126">
        <v>0</v>
      </c>
      <c r="S90" s="81">
        <f t="shared" ref="S90:S97" si="93">+R90/R$89</f>
        <v>0</v>
      </c>
      <c r="T90" s="126">
        <v>0</v>
      </c>
      <c r="U90" s="81">
        <f t="shared" ref="U90:U97" si="94">+T90/T$89</f>
        <v>0</v>
      </c>
      <c r="V90" s="126">
        <v>0</v>
      </c>
      <c r="W90" s="178">
        <f t="shared" ref="W90:W97" si="95">+V90/V$89</f>
        <v>0</v>
      </c>
      <c r="X90" s="81">
        <f t="shared" si="73"/>
        <v>8.4022762170531576E-2</v>
      </c>
      <c r="Y90" s="81">
        <f t="shared" si="84"/>
        <v>0</v>
      </c>
      <c r="AA90" s="81"/>
      <c r="AB90" s="81">
        <f t="shared" si="74"/>
        <v>-0.47609012805965312</v>
      </c>
      <c r="AC90" s="81">
        <f t="shared" si="75"/>
        <v>0.21214933993399349</v>
      </c>
      <c r="AD90" s="81">
        <f t="shared" si="76"/>
        <v>0.18820726622989878</v>
      </c>
      <c r="AE90" s="81">
        <f t="shared" si="77"/>
        <v>-0.69287504475474404</v>
      </c>
      <c r="AF90" s="81">
        <f t="shared" si="78"/>
        <v>-1</v>
      </c>
      <c r="AG90" s="81" t="e">
        <f t="shared" si="79"/>
        <v>#DIV/0!</v>
      </c>
      <c r="AH90" s="81" t="e">
        <f t="shared" si="80"/>
        <v>#DIV/0!</v>
      </c>
      <c r="AI90" s="81" t="e">
        <f t="shared" si="81"/>
        <v>#DIV/0!</v>
      </c>
      <c r="AJ90" s="178" t="e">
        <f t="shared" si="82"/>
        <v>#DIV/0!</v>
      </c>
      <c r="AK90" s="178" t="e">
        <f t="shared" si="85"/>
        <v>#DIV/0!</v>
      </c>
      <c r="AL90" s="81" t="e">
        <f t="shared" si="86"/>
        <v>#DIV/0!</v>
      </c>
      <c r="AN90" s="132">
        <v>9309.8999999999978</v>
      </c>
    </row>
    <row r="91" spans="2:40" x14ac:dyDescent="0.25">
      <c r="B91" s="7" t="s">
        <v>75</v>
      </c>
      <c r="C91" s="14">
        <v>232500</v>
      </c>
      <c r="D91" s="126">
        <v>205.4</v>
      </c>
      <c r="E91" s="81">
        <f t="shared" si="88"/>
        <v>0.28932022424430232</v>
      </c>
      <c r="F91" s="126">
        <v>57.1</v>
      </c>
      <c r="G91" s="81">
        <f t="shared" si="89"/>
        <v>0.11016360549467512</v>
      </c>
      <c r="H91" s="126">
        <v>214.56</v>
      </c>
      <c r="I91" s="81">
        <f t="shared" si="90"/>
        <v>0.32012413463833844</v>
      </c>
      <c r="J91" s="126">
        <v>157.88</v>
      </c>
      <c r="K91" s="81">
        <f t="shared" si="91"/>
        <v>0.21792482780515413</v>
      </c>
      <c r="L91" s="126">
        <v>549.88</v>
      </c>
      <c r="M91" s="81">
        <f t="shared" si="92"/>
        <v>0.31232534363285247</v>
      </c>
      <c r="N91" s="126">
        <v>996.84</v>
      </c>
      <c r="O91" s="81">
        <f t="shared" ref="O91:Q97" si="96">+N91/N$89</f>
        <v>0.39914632241944714</v>
      </c>
      <c r="P91" s="126">
        <v>541.19000000000005</v>
      </c>
      <c r="Q91" s="81">
        <f t="shared" si="96"/>
        <v>0.35913890013338562</v>
      </c>
      <c r="R91" s="126">
        <v>384.13</v>
      </c>
      <c r="S91" s="81">
        <f t="shared" si="93"/>
        <v>0.34041704699532971</v>
      </c>
      <c r="T91" s="126">
        <v>261.57</v>
      </c>
      <c r="U91" s="81">
        <f t="shared" si="94"/>
        <v>0.34929558656606796</v>
      </c>
      <c r="V91" s="126">
        <v>270.69</v>
      </c>
      <c r="W91" s="178">
        <f t="shared" si="95"/>
        <v>0.34517539944657677</v>
      </c>
      <c r="X91" s="81">
        <f t="shared" si="73"/>
        <v>0.30430313913761298</v>
      </c>
      <c r="Y91" s="81">
        <f t="shared" si="84"/>
        <v>0.34496267766932481</v>
      </c>
      <c r="AA91" s="81"/>
      <c r="AB91" s="81">
        <f t="shared" si="74"/>
        <v>-0.72200584225900688</v>
      </c>
      <c r="AC91" s="81">
        <f t="shared" si="75"/>
        <v>2.7576182136602454</v>
      </c>
      <c r="AD91" s="81">
        <f t="shared" si="76"/>
        <v>-0.26416853094705445</v>
      </c>
      <c r="AE91" s="81">
        <f t="shared" si="77"/>
        <v>2.482898403851026</v>
      </c>
      <c r="AF91" s="81">
        <f t="shared" si="78"/>
        <v>0.8128318905943116</v>
      </c>
      <c r="AG91" s="81">
        <f t="shared" si="79"/>
        <v>-0.45709441836202397</v>
      </c>
      <c r="AH91" s="81">
        <f t="shared" si="80"/>
        <v>-0.29021230990964364</v>
      </c>
      <c r="AI91" s="81">
        <f t="shared" si="81"/>
        <v>-0.31905865201884781</v>
      </c>
      <c r="AJ91" s="178">
        <f t="shared" si="82"/>
        <v>3.4866383759605477E-2</v>
      </c>
      <c r="AK91" s="178">
        <f t="shared" si="85"/>
        <v>0.44840834870762347</v>
      </c>
      <c r="AL91" s="81">
        <f t="shared" si="86"/>
        <v>-0.19146819272296201</v>
      </c>
      <c r="AN91" s="132">
        <v>22520.850000000002</v>
      </c>
    </row>
    <row r="92" spans="2:40" x14ac:dyDescent="0.25">
      <c r="B92" s="7" t="s">
        <v>82</v>
      </c>
      <c r="C92" s="14">
        <v>233500</v>
      </c>
      <c r="D92" s="126">
        <v>52.74</v>
      </c>
      <c r="E92" s="81">
        <f t="shared" si="88"/>
        <v>7.4287967997295548E-2</v>
      </c>
      <c r="F92" s="126">
        <v>64.900000000000006</v>
      </c>
      <c r="G92" s="81">
        <f t="shared" si="89"/>
        <v>0.12521222410865876</v>
      </c>
      <c r="H92" s="126">
        <v>86.87</v>
      </c>
      <c r="I92" s="81">
        <f t="shared" si="90"/>
        <v>0.12961028885175457</v>
      </c>
      <c r="J92" s="126">
        <v>104.57</v>
      </c>
      <c r="K92" s="81">
        <f t="shared" si="91"/>
        <v>0.14434000027606389</v>
      </c>
      <c r="L92" s="126">
        <v>104.41</v>
      </c>
      <c r="M92" s="81">
        <f t="shared" si="92"/>
        <v>5.9303646484153129E-2</v>
      </c>
      <c r="N92" s="126">
        <v>117.34</v>
      </c>
      <c r="O92" s="81">
        <f t="shared" si="96"/>
        <v>4.6984299860256339E-2</v>
      </c>
      <c r="P92" s="126">
        <v>147.63999999999999</v>
      </c>
      <c r="Q92" s="81">
        <f t="shared" si="96"/>
        <v>9.7975326993649262E-2</v>
      </c>
      <c r="R92" s="126">
        <v>98.23</v>
      </c>
      <c r="S92" s="81">
        <f t="shared" si="93"/>
        <v>8.7051692204074757E-2</v>
      </c>
      <c r="T92" s="126">
        <v>95.75</v>
      </c>
      <c r="U92" s="81">
        <f t="shared" si="94"/>
        <v>0.12786272284169059</v>
      </c>
      <c r="V92" s="126">
        <v>92.7</v>
      </c>
      <c r="W92" s="178">
        <f t="shared" si="95"/>
        <v>0.11820813302559263</v>
      </c>
      <c r="X92" s="81">
        <f t="shared" si="73"/>
        <v>0.10108363026431895</v>
      </c>
      <c r="Y92" s="81">
        <f t="shared" si="84"/>
        <v>0.11104084935711933</v>
      </c>
      <c r="AA92" s="81"/>
      <c r="AB92" s="81">
        <f t="shared" si="74"/>
        <v>0.23056503602578693</v>
      </c>
      <c r="AC92" s="81">
        <f t="shared" si="75"/>
        <v>0.33852080123266559</v>
      </c>
      <c r="AD92" s="81">
        <f t="shared" si="76"/>
        <v>0.2037527339703003</v>
      </c>
      <c r="AE92" s="81">
        <f t="shared" si="77"/>
        <v>-1.5300755474801243E-3</v>
      </c>
      <c r="AF92" s="81">
        <f t="shared" si="78"/>
        <v>0.12383871276697642</v>
      </c>
      <c r="AG92" s="81">
        <f t="shared" si="79"/>
        <v>0.25822396454746877</v>
      </c>
      <c r="AH92" s="81">
        <f t="shared" si="80"/>
        <v>-0.33466540232999176</v>
      </c>
      <c r="AI92" s="81">
        <f t="shared" si="81"/>
        <v>-2.5246869591774447E-2</v>
      </c>
      <c r="AJ92" s="178">
        <f t="shared" si="82"/>
        <v>-3.1853785900783263E-2</v>
      </c>
      <c r="AK92" s="178">
        <f t="shared" si="85"/>
        <v>8.4622790574796519E-2</v>
      </c>
      <c r="AL92" s="81">
        <f t="shared" si="86"/>
        <v>-0.13058868594084982</v>
      </c>
      <c r="AN92" s="132">
        <v>2886.35</v>
      </c>
    </row>
    <row r="93" spans="2:40" x14ac:dyDescent="0.25">
      <c r="B93" s="7" t="s">
        <v>44</v>
      </c>
      <c r="C93" s="14">
        <v>234000</v>
      </c>
      <c r="D93" s="126">
        <v>177.5</v>
      </c>
      <c r="E93" s="81">
        <f t="shared" si="88"/>
        <v>0.25002112854607428</v>
      </c>
      <c r="F93" s="126">
        <v>222.87</v>
      </c>
      <c r="G93" s="81">
        <f t="shared" si="89"/>
        <v>0.42998533724340182</v>
      </c>
      <c r="H93" s="126">
        <v>174.87</v>
      </c>
      <c r="I93" s="81">
        <f t="shared" si="90"/>
        <v>0.26090654094055854</v>
      </c>
      <c r="J93" s="126">
        <v>229.58</v>
      </c>
      <c r="K93" s="81">
        <f t="shared" si="91"/>
        <v>0.31689372920893899</v>
      </c>
      <c r="L93" s="126">
        <v>534.4</v>
      </c>
      <c r="M93" s="81">
        <f t="shared" si="92"/>
        <v>0.3035328865159605</v>
      </c>
      <c r="N93" s="126">
        <v>749.86</v>
      </c>
      <c r="O93" s="81">
        <f t="shared" si="96"/>
        <v>0.30025265973420673</v>
      </c>
      <c r="P93" s="126">
        <v>413.5</v>
      </c>
      <c r="Q93" s="81">
        <f t="shared" si="96"/>
        <v>0.27440258542315071</v>
      </c>
      <c r="R93" s="126">
        <v>277.87</v>
      </c>
      <c r="S93" s="81">
        <f t="shared" si="93"/>
        <v>0.24624914702989159</v>
      </c>
      <c r="T93" s="126">
        <v>119.25</v>
      </c>
      <c r="U93" s="81">
        <f t="shared" si="94"/>
        <v>0.15924417440074781</v>
      </c>
      <c r="V93" s="126">
        <v>125.1</v>
      </c>
      <c r="W93" s="178">
        <f t="shared" si="95"/>
        <v>0.15952359699570268</v>
      </c>
      <c r="X93" s="81">
        <f t="shared" si="73"/>
        <v>0.2701011786038634</v>
      </c>
      <c r="Y93" s="81">
        <f t="shared" si="84"/>
        <v>0.18833897280878067</v>
      </c>
      <c r="AA93" s="81"/>
      <c r="AB93" s="81">
        <f t="shared" si="74"/>
        <v>0.25560563380281692</v>
      </c>
      <c r="AC93" s="81">
        <f t="shared" si="75"/>
        <v>-0.21537219006595773</v>
      </c>
      <c r="AD93" s="81">
        <f t="shared" si="76"/>
        <v>0.31286098244410138</v>
      </c>
      <c r="AE93" s="81">
        <f t="shared" si="77"/>
        <v>1.3277288962453171</v>
      </c>
      <c r="AF93" s="81">
        <f t="shared" si="78"/>
        <v>0.403181137724551</v>
      </c>
      <c r="AG93" s="81">
        <f t="shared" si="79"/>
        <v>-0.44856373189662069</v>
      </c>
      <c r="AH93" s="81">
        <f t="shared" si="80"/>
        <v>-0.3280048367593712</v>
      </c>
      <c r="AI93" s="81">
        <f t="shared" si="81"/>
        <v>-0.57084248029654161</v>
      </c>
      <c r="AJ93" s="178">
        <f t="shared" si="82"/>
        <v>4.905660377358486E-2</v>
      </c>
      <c r="AK93" s="178">
        <f t="shared" si="85"/>
        <v>8.7294446107986701E-2</v>
      </c>
      <c r="AL93" s="81">
        <f t="shared" si="86"/>
        <v>-0.28326357109410932</v>
      </c>
      <c r="AN93" s="132">
        <v>17810.989999999987</v>
      </c>
    </row>
    <row r="94" spans="2:40" x14ac:dyDescent="0.25">
      <c r="B94" s="7" t="s">
        <v>83</v>
      </c>
      <c r="C94" s="14">
        <v>234100</v>
      </c>
      <c r="D94" s="126">
        <v>70.91</v>
      </c>
      <c r="E94" s="81">
        <f t="shared" si="88"/>
        <v>9.9881680141983814E-2</v>
      </c>
      <c r="F94" s="126">
        <v>61.68</v>
      </c>
      <c r="G94" s="81">
        <f t="shared" si="89"/>
        <v>0.11899984565519371</v>
      </c>
      <c r="H94" s="126">
        <v>63.6</v>
      </c>
      <c r="I94" s="81">
        <f t="shared" si="90"/>
        <v>9.4891382191453794E-2</v>
      </c>
      <c r="J94" s="126">
        <v>86.5</v>
      </c>
      <c r="K94" s="81">
        <f t="shared" si="91"/>
        <v>0.11939762861126066</v>
      </c>
      <c r="L94" s="126">
        <v>243.43</v>
      </c>
      <c r="M94" s="81">
        <f t="shared" si="92"/>
        <v>0.13826536408042714</v>
      </c>
      <c r="N94" s="126">
        <v>300.20999999999998</v>
      </c>
      <c r="O94" s="81">
        <f t="shared" si="96"/>
        <v>0.12020757338544021</v>
      </c>
      <c r="P94" s="126">
        <v>162.91999999999999</v>
      </c>
      <c r="Q94" s="81">
        <f t="shared" si="96"/>
        <v>0.10811528226635964</v>
      </c>
      <c r="R94" s="126">
        <v>143.38999999999999</v>
      </c>
      <c r="S94" s="81">
        <f t="shared" si="93"/>
        <v>0.12707260658803093</v>
      </c>
      <c r="T94" s="126">
        <v>10.85</v>
      </c>
      <c r="U94" s="81">
        <f t="shared" si="94"/>
        <v>1.4488882953862588E-2</v>
      </c>
      <c r="V94" s="126">
        <v>15.66</v>
      </c>
      <c r="W94" s="178">
        <f t="shared" si="95"/>
        <v>1.9969140918886522E-2</v>
      </c>
      <c r="X94" s="81">
        <f t="shared" si="73"/>
        <v>9.6128938679289913E-2</v>
      </c>
      <c r="Y94" s="81">
        <f t="shared" si="84"/>
        <v>5.384354348692668E-2</v>
      </c>
      <c r="AA94" s="81"/>
      <c r="AB94" s="81">
        <f t="shared" si="74"/>
        <v>-0.13016499788464247</v>
      </c>
      <c r="AC94" s="81">
        <f t="shared" si="75"/>
        <v>3.1128404669260729E-2</v>
      </c>
      <c r="AD94" s="81">
        <f t="shared" si="76"/>
        <v>0.36006289308176098</v>
      </c>
      <c r="AE94" s="81">
        <f t="shared" si="77"/>
        <v>1.8142196531791908</v>
      </c>
      <c r="AF94" s="81">
        <f t="shared" si="78"/>
        <v>0.23324980487203703</v>
      </c>
      <c r="AG94" s="81">
        <f t="shared" si="79"/>
        <v>-0.45731321408347492</v>
      </c>
      <c r="AH94" s="81">
        <f t="shared" si="80"/>
        <v>-0.11987478517063591</v>
      </c>
      <c r="AI94" s="81">
        <f t="shared" si="81"/>
        <v>-0.92433224074203224</v>
      </c>
      <c r="AJ94" s="178">
        <f t="shared" si="82"/>
        <v>0.44331797235023046</v>
      </c>
      <c r="AK94" s="178">
        <f t="shared" si="85"/>
        <v>0.13892149891907715</v>
      </c>
      <c r="AL94" s="81">
        <f t="shared" si="86"/>
        <v>-0.20029635118747921</v>
      </c>
      <c r="AN94" s="132">
        <v>1020.8899999999999</v>
      </c>
    </row>
    <row r="95" spans="2:40" x14ac:dyDescent="0.25">
      <c r="B95" s="7" t="s">
        <v>84</v>
      </c>
      <c r="C95" s="14">
        <v>234200</v>
      </c>
      <c r="D95" s="126">
        <v>15.71</v>
      </c>
      <c r="E95" s="81">
        <f t="shared" si="88"/>
        <v>2.2128630588500436E-2</v>
      </c>
      <c r="F95" s="126">
        <v>11</v>
      </c>
      <c r="G95" s="81">
        <f t="shared" si="89"/>
        <v>2.1222410865874366E-2</v>
      </c>
      <c r="H95" s="126">
        <v>12.74</v>
      </c>
      <c r="I95" s="81">
        <f t="shared" si="90"/>
        <v>1.900811649558367E-2</v>
      </c>
      <c r="J95" s="126">
        <v>5.0199999999999996</v>
      </c>
      <c r="K95" s="81">
        <f t="shared" si="91"/>
        <v>6.9292034176708494E-3</v>
      </c>
      <c r="L95" s="126">
        <v>11.97</v>
      </c>
      <c r="M95" s="81">
        <f t="shared" si="92"/>
        <v>6.7988185845734416E-3</v>
      </c>
      <c r="N95" s="126">
        <v>18.850000000000001</v>
      </c>
      <c r="O95" s="81">
        <f t="shared" si="96"/>
        <v>7.5477590963510489E-3</v>
      </c>
      <c r="P95" s="126">
        <v>9.33</v>
      </c>
      <c r="Q95" s="81">
        <f t="shared" si="96"/>
        <v>6.1914779250253835E-3</v>
      </c>
      <c r="R95" s="126">
        <v>5.0199999999999996</v>
      </c>
      <c r="S95" s="81">
        <f t="shared" si="93"/>
        <v>4.4487376042395927E-3</v>
      </c>
      <c r="T95" s="126">
        <v>2.39</v>
      </c>
      <c r="U95" s="81">
        <f t="shared" si="94"/>
        <v>3.19156039260199E-3</v>
      </c>
      <c r="V95" s="126">
        <v>3.15</v>
      </c>
      <c r="W95" s="178">
        <f t="shared" si="95"/>
        <v>4.016781219316254E-3</v>
      </c>
      <c r="X95" s="81">
        <f t="shared" si="73"/>
        <v>1.0148349618973705E-2</v>
      </c>
      <c r="Y95" s="81">
        <f t="shared" si="84"/>
        <v>3.8856930720526117E-3</v>
      </c>
      <c r="AA95" s="81"/>
      <c r="AB95" s="81">
        <f t="shared" si="74"/>
        <v>-0.29980903882877152</v>
      </c>
      <c r="AC95" s="81">
        <f t="shared" si="75"/>
        <v>0.1581818181818182</v>
      </c>
      <c r="AD95" s="81">
        <f t="shared" si="76"/>
        <v>-0.60596546310832033</v>
      </c>
      <c r="AE95" s="81">
        <f t="shared" si="77"/>
        <v>1.3844621513944226</v>
      </c>
      <c r="AF95" s="81">
        <f t="shared" si="78"/>
        <v>0.57477025898078538</v>
      </c>
      <c r="AG95" s="81">
        <f t="shared" si="79"/>
        <v>-0.50503978779840852</v>
      </c>
      <c r="AH95" s="81">
        <f t="shared" si="80"/>
        <v>-0.46195069667738481</v>
      </c>
      <c r="AI95" s="81">
        <f t="shared" si="81"/>
        <v>-0.5239043824701195</v>
      </c>
      <c r="AJ95" s="178">
        <f t="shared" si="82"/>
        <v>0.31799163179916307</v>
      </c>
      <c r="AK95" s="178">
        <f t="shared" si="85"/>
        <v>4.3040546081316204E-3</v>
      </c>
      <c r="AL95" s="81">
        <f t="shared" si="86"/>
        <v>-0.22262114911611372</v>
      </c>
      <c r="AN95" s="132">
        <v>167.68</v>
      </c>
    </row>
    <row r="96" spans="2:40" x14ac:dyDescent="0.25">
      <c r="B96" s="7" t="s">
        <v>85</v>
      </c>
      <c r="C96" s="14">
        <v>234500</v>
      </c>
      <c r="D96" s="126">
        <v>2.61</v>
      </c>
      <c r="E96" s="81">
        <f t="shared" si="88"/>
        <v>3.6763670169310076E-3</v>
      </c>
      <c r="F96" s="126">
        <v>3.81</v>
      </c>
      <c r="G96" s="81">
        <f t="shared" si="89"/>
        <v>7.3506713999073941E-3</v>
      </c>
      <c r="H96" s="126">
        <v>7.0000000000000007E-2</v>
      </c>
      <c r="I96" s="81">
        <f t="shared" si="90"/>
        <v>1.0444020052518499E-4</v>
      </c>
      <c r="J96" s="126">
        <v>0.35</v>
      </c>
      <c r="K96" s="81">
        <f t="shared" si="91"/>
        <v>4.8311179206868472E-4</v>
      </c>
      <c r="L96" s="126">
        <v>2.12</v>
      </c>
      <c r="M96" s="81">
        <f t="shared" si="92"/>
        <v>1.204134953992957E-3</v>
      </c>
      <c r="N96" s="126">
        <v>6.3</v>
      </c>
      <c r="O96" s="81">
        <f t="shared" si="96"/>
        <v>2.5225932258361593E-3</v>
      </c>
      <c r="P96" s="126">
        <v>16.52</v>
      </c>
      <c r="Q96" s="81">
        <f t="shared" si="96"/>
        <v>1.09628312241607E-2</v>
      </c>
      <c r="R96" s="126">
        <v>15.23</v>
      </c>
      <c r="S96" s="81">
        <f t="shared" si="93"/>
        <v>1.3496867273420121E-2</v>
      </c>
      <c r="T96" s="126">
        <v>14.94</v>
      </c>
      <c r="U96" s="81">
        <f t="shared" si="94"/>
        <v>1.995059090605595E-2</v>
      </c>
      <c r="V96" s="126">
        <v>15.77</v>
      </c>
      <c r="W96" s="178">
        <f t="shared" si="95"/>
        <v>2.0109409469402328E-2</v>
      </c>
      <c r="X96" s="81">
        <f t="shared" si="73"/>
        <v>7.9861017462300489E-3</v>
      </c>
      <c r="Y96" s="81">
        <f t="shared" si="84"/>
        <v>1.78522892162928E-2</v>
      </c>
      <c r="AA96" s="81"/>
      <c r="AB96" s="81">
        <f t="shared" si="74"/>
        <v>0.45977011494252884</v>
      </c>
      <c r="AC96" s="81">
        <f t="shared" si="75"/>
        <v>-0.98162729658792658</v>
      </c>
      <c r="AD96" s="81">
        <f t="shared" si="76"/>
        <v>3.9999999999999991</v>
      </c>
      <c r="AE96" s="81">
        <f t="shared" si="77"/>
        <v>5.0571428571428578</v>
      </c>
      <c r="AF96" s="81">
        <f t="shared" si="78"/>
        <v>1.9716981132075468</v>
      </c>
      <c r="AG96" s="81">
        <f t="shared" si="79"/>
        <v>1.622222222222222</v>
      </c>
      <c r="AH96" s="81">
        <f t="shared" si="80"/>
        <v>-7.8087167070217872E-2</v>
      </c>
      <c r="AI96" s="81">
        <f t="shared" si="81"/>
        <v>-1.9041365725541753E-2</v>
      </c>
      <c r="AJ96" s="178">
        <f t="shared" si="82"/>
        <v>5.5555555555555559E-2</v>
      </c>
      <c r="AK96" s="178">
        <f t="shared" si="85"/>
        <v>1.3430703370763359</v>
      </c>
      <c r="AL96" s="81">
        <f t="shared" si="86"/>
        <v>-1.3857659080068023E-2</v>
      </c>
      <c r="AN96" s="132">
        <v>4324.83</v>
      </c>
    </row>
    <row r="97" spans="2:40" x14ac:dyDescent="0.25">
      <c r="B97" s="7" t="s">
        <v>86</v>
      </c>
      <c r="C97" s="14">
        <v>235000</v>
      </c>
      <c r="D97" s="126">
        <v>0</v>
      </c>
      <c r="E97" s="81">
        <f t="shared" si="88"/>
        <v>0</v>
      </c>
      <c r="F97" s="126">
        <v>0</v>
      </c>
      <c r="G97" s="81">
        <f t="shared" si="89"/>
        <v>0</v>
      </c>
      <c r="H97" s="126">
        <v>0</v>
      </c>
      <c r="I97" s="81">
        <f t="shared" si="90"/>
        <v>0</v>
      </c>
      <c r="J97" s="126">
        <v>0.92</v>
      </c>
      <c r="K97" s="81">
        <f t="shared" si="91"/>
        <v>1.2698938534376858E-3</v>
      </c>
      <c r="L97" s="126">
        <v>271.5</v>
      </c>
      <c r="M97" s="81">
        <f t="shared" si="92"/>
        <v>0.15420879245711691</v>
      </c>
      <c r="N97" s="126">
        <v>308.02999999999997</v>
      </c>
      <c r="O97" s="81">
        <f t="shared" si="96"/>
        <v>0.12333879227846223</v>
      </c>
      <c r="P97" s="126">
        <v>215.81</v>
      </c>
      <c r="Q97" s="81">
        <f t="shared" si="96"/>
        <v>0.14321359603426881</v>
      </c>
      <c r="R97" s="126">
        <v>204.54</v>
      </c>
      <c r="S97" s="81">
        <f t="shared" si="93"/>
        <v>0.18126390230501324</v>
      </c>
      <c r="T97" s="126">
        <v>244.1</v>
      </c>
      <c r="U97" s="81">
        <f t="shared" si="94"/>
        <v>0.3259664819389731</v>
      </c>
      <c r="V97" s="126">
        <v>261.14</v>
      </c>
      <c r="W97" s="178">
        <f t="shared" si="95"/>
        <v>0.33299753892452272</v>
      </c>
      <c r="X97" s="81">
        <f t="shared" si="73"/>
        <v>0.12622589977917947</v>
      </c>
      <c r="Y97" s="81">
        <f t="shared" si="84"/>
        <v>0.28007597438950299</v>
      </c>
      <c r="AA97" s="81"/>
      <c r="AB97" s="81" t="e">
        <f t="shared" si="74"/>
        <v>#DIV/0!</v>
      </c>
      <c r="AC97" s="81" t="e">
        <f t="shared" si="75"/>
        <v>#DIV/0!</v>
      </c>
      <c r="AD97" s="81" t="e">
        <f t="shared" si="76"/>
        <v>#DIV/0!</v>
      </c>
      <c r="AE97" s="81">
        <f t="shared" si="77"/>
        <v>294.10869565217388</v>
      </c>
      <c r="AF97" s="81">
        <f t="shared" si="78"/>
        <v>0.13454880294659291</v>
      </c>
      <c r="AG97" s="81">
        <f t="shared" si="79"/>
        <v>-0.29938642340031807</v>
      </c>
      <c r="AH97" s="81">
        <f t="shared" si="80"/>
        <v>-5.2221861822899819E-2</v>
      </c>
      <c r="AI97" s="81">
        <f t="shared" si="81"/>
        <v>0.19340960203383203</v>
      </c>
      <c r="AJ97" s="178">
        <f t="shared" si="82"/>
        <v>6.9807455960671824E-2</v>
      </c>
      <c r="AK97" s="178" t="e">
        <f t="shared" si="85"/>
        <v>#DIV/0!</v>
      </c>
      <c r="AL97" s="81">
        <f t="shared" si="86"/>
        <v>7.0331732057201349E-2</v>
      </c>
      <c r="AN97" s="132">
        <v>2369.4899999999998</v>
      </c>
    </row>
    <row r="98" spans="2:40" x14ac:dyDescent="0.25">
      <c r="B98" s="6" t="s">
        <v>87</v>
      </c>
      <c r="C98" s="13">
        <v>240000</v>
      </c>
      <c r="D98" s="125">
        <f t="shared" ref="D98:V98" si="97">+SUM(D99:D101)</f>
        <v>191.48</v>
      </c>
      <c r="E98" s="80">
        <f>+D98/D$85</f>
        <v>7.7355655026420819E-2</v>
      </c>
      <c r="F98" s="125">
        <f t="shared" si="97"/>
        <v>292.65999999999997</v>
      </c>
      <c r="G98" s="80">
        <f>+F98/F$85</f>
        <v>0.11999721184637277</v>
      </c>
      <c r="H98" s="125">
        <f t="shared" si="97"/>
        <v>225.95999999999998</v>
      </c>
      <c r="I98" s="80">
        <f>+H98/H$85</f>
        <v>4.1956483795617165E-2</v>
      </c>
      <c r="J98" s="125">
        <f t="shared" si="97"/>
        <v>152.21</v>
      </c>
      <c r="K98" s="80">
        <f>+J98/J$85</f>
        <v>0.12310940002264675</v>
      </c>
      <c r="L98" s="125">
        <f t="shared" si="97"/>
        <v>506.31</v>
      </c>
      <c r="M98" s="80">
        <f>+L98/L$85</f>
        <v>0.1787262432577448</v>
      </c>
      <c r="N98" s="125">
        <f t="shared" si="97"/>
        <v>2783.2599999999998</v>
      </c>
      <c r="O98" s="80">
        <f>+N98/N$85</f>
        <v>0.46935323668336709</v>
      </c>
      <c r="P98" s="125">
        <f t="shared" si="97"/>
        <v>1182.3199999999997</v>
      </c>
      <c r="Q98" s="80">
        <f>+P98/P$85</f>
        <v>0.36113945006811526</v>
      </c>
      <c r="R98" s="125">
        <f t="shared" si="97"/>
        <v>464.4</v>
      </c>
      <c r="S98" s="80">
        <f>+R98/R$85</f>
        <v>0.2021521103217718</v>
      </c>
      <c r="T98" s="125">
        <f t="shared" si="97"/>
        <v>1268.44</v>
      </c>
      <c r="U98" s="80">
        <f>+T98/T$85</f>
        <v>0.4906013583551217</v>
      </c>
      <c r="V98" s="125">
        <f t="shared" si="97"/>
        <v>1681.68</v>
      </c>
      <c r="W98" s="177">
        <f>+V98/V$85</f>
        <v>0.55398785738521994</v>
      </c>
      <c r="X98" s="80">
        <f t="shared" si="73"/>
        <v>0.2618379006762398</v>
      </c>
      <c r="Y98" s="80">
        <f t="shared" si="84"/>
        <v>0.41558044202070449</v>
      </c>
      <c r="AA98" s="80"/>
      <c r="AB98" s="80">
        <f t="shared" si="74"/>
        <v>0.52841027783580519</v>
      </c>
      <c r="AC98" s="80">
        <f t="shared" si="75"/>
        <v>-0.22790951957903369</v>
      </c>
      <c r="AD98" s="80">
        <f t="shared" si="76"/>
        <v>-0.32638520092051682</v>
      </c>
      <c r="AE98" s="80">
        <f t="shared" si="77"/>
        <v>2.3263911700939492</v>
      </c>
      <c r="AF98" s="80">
        <f t="shared" si="78"/>
        <v>4.4971460172621516</v>
      </c>
      <c r="AG98" s="80">
        <f t="shared" si="79"/>
        <v>-0.575203179005914</v>
      </c>
      <c r="AH98" s="80">
        <f t="shared" si="80"/>
        <v>-0.60721293727586434</v>
      </c>
      <c r="AI98" s="80">
        <f t="shared" si="81"/>
        <v>1.7313522825150736</v>
      </c>
      <c r="AJ98" s="177">
        <f t="shared" si="82"/>
        <v>0.325786004856359</v>
      </c>
      <c r="AK98" s="177">
        <f t="shared" si="85"/>
        <v>0.85248610175355655</v>
      </c>
      <c r="AL98" s="80">
        <f t="shared" si="86"/>
        <v>0.48330845003185607</v>
      </c>
      <c r="AN98" s="134">
        <v>28543.900000000005</v>
      </c>
    </row>
    <row r="99" spans="2:40" x14ac:dyDescent="0.25">
      <c r="B99" s="7" t="s">
        <v>88</v>
      </c>
      <c r="C99" s="14">
        <v>240400</v>
      </c>
      <c r="D99" s="126">
        <v>191.48</v>
      </c>
      <c r="E99" s="81">
        <f>+D99/D$98</f>
        <v>1</v>
      </c>
      <c r="F99" s="126">
        <v>290.95999999999998</v>
      </c>
      <c r="G99" s="81">
        <f>+F99/F$98</f>
        <v>0.9941912116449122</v>
      </c>
      <c r="H99" s="126">
        <v>205.95</v>
      </c>
      <c r="I99" s="81">
        <f>+H99/H$98</f>
        <v>0.91144450345193839</v>
      </c>
      <c r="J99" s="126">
        <v>134.56</v>
      </c>
      <c r="K99" s="81">
        <f>+J99/J$98</f>
        <v>0.88404178437684777</v>
      </c>
      <c r="L99" s="126">
        <v>192.34</v>
      </c>
      <c r="M99" s="81">
        <f>+L99/L$98</f>
        <v>0.37988584069048609</v>
      </c>
      <c r="N99" s="126">
        <v>724.69</v>
      </c>
      <c r="O99" s="81">
        <f>+N99/N$98</f>
        <v>0.26037452483778017</v>
      </c>
      <c r="P99" s="126">
        <v>571.14</v>
      </c>
      <c r="Q99" s="81">
        <f>+P99/P$98</f>
        <v>0.48306718993165987</v>
      </c>
      <c r="R99" s="126">
        <v>425.57</v>
      </c>
      <c r="S99" s="81">
        <f>+R99/R$98</f>
        <v>0.91638673557278216</v>
      </c>
      <c r="T99" s="126">
        <v>412.84</v>
      </c>
      <c r="U99" s="81">
        <f>+T99/T$98</f>
        <v>0.32547065686985588</v>
      </c>
      <c r="V99" s="126">
        <v>499.41</v>
      </c>
      <c r="W99" s="178">
        <f>+V99/V$98</f>
        <v>0.29697088625660056</v>
      </c>
      <c r="X99" s="81">
        <f t="shared" si="73"/>
        <v>0.64518333336328626</v>
      </c>
      <c r="Y99" s="81">
        <f t="shared" si="84"/>
        <v>0.51294275956641278</v>
      </c>
      <c r="AA99" s="81"/>
      <c r="AB99" s="81">
        <f t="shared" si="74"/>
        <v>0.5195320660121161</v>
      </c>
      <c r="AC99" s="81">
        <f t="shared" si="75"/>
        <v>-0.29217074511960406</v>
      </c>
      <c r="AD99" s="81">
        <f t="shared" si="76"/>
        <v>-0.34663753338188874</v>
      </c>
      <c r="AE99" s="81">
        <f t="shared" si="77"/>
        <v>0.42939952437574319</v>
      </c>
      <c r="AF99" s="81">
        <f t="shared" si="78"/>
        <v>2.7677550171571177</v>
      </c>
      <c r="AG99" s="81">
        <f t="shared" si="79"/>
        <v>-0.21188370199671591</v>
      </c>
      <c r="AH99" s="81">
        <f t="shared" si="80"/>
        <v>-0.25487621248730608</v>
      </c>
      <c r="AI99" s="81">
        <f t="shared" si="81"/>
        <v>-2.9912822802359233E-2</v>
      </c>
      <c r="AJ99" s="178">
        <f t="shared" si="82"/>
        <v>0.20969382811743062</v>
      </c>
      <c r="AK99" s="178">
        <f t="shared" si="85"/>
        <v>0.3100999355416148</v>
      </c>
      <c r="AL99" s="81">
        <f t="shared" si="86"/>
        <v>-2.5031735724078231E-2</v>
      </c>
      <c r="AN99" s="132">
        <v>7327.1899999999987</v>
      </c>
    </row>
    <row r="100" spans="2:40" x14ac:dyDescent="0.25">
      <c r="B100" s="7" t="s">
        <v>89</v>
      </c>
      <c r="C100" s="14">
        <v>240800</v>
      </c>
      <c r="D100" s="126">
        <v>0</v>
      </c>
      <c r="E100" s="81">
        <f>+D100/D$98</f>
        <v>0</v>
      </c>
      <c r="F100" s="126">
        <v>0</v>
      </c>
      <c r="G100" s="81">
        <f>+F100/F$98</f>
        <v>0</v>
      </c>
      <c r="H100" s="126"/>
      <c r="I100" s="81">
        <f>+H100/H$98</f>
        <v>0</v>
      </c>
      <c r="J100" s="126">
        <v>0</v>
      </c>
      <c r="K100" s="81">
        <f>+J100/J$98</f>
        <v>0</v>
      </c>
      <c r="L100" s="126">
        <v>284.17</v>
      </c>
      <c r="M100" s="81">
        <f>+L100/L$98</f>
        <v>0.56125693744938876</v>
      </c>
      <c r="N100" s="126">
        <v>1998.1</v>
      </c>
      <c r="O100" s="81">
        <f t="shared" ref="O100:Q101" si="98">+N100/N$98</f>
        <v>0.71789915422921324</v>
      </c>
      <c r="P100" s="126">
        <v>558.80999999999995</v>
      </c>
      <c r="Q100" s="81">
        <f t="shared" si="98"/>
        <v>0.47263854117328646</v>
      </c>
      <c r="R100" s="126">
        <v>0</v>
      </c>
      <c r="S100" s="81">
        <f>+R100/R$98</f>
        <v>0</v>
      </c>
      <c r="T100" s="126">
        <v>812.18</v>
      </c>
      <c r="U100" s="81">
        <f>+T100/T$98</f>
        <v>0.64029831919523184</v>
      </c>
      <c r="V100" s="126">
        <v>1139.69</v>
      </c>
      <c r="W100" s="178">
        <f>+V100/V$98</f>
        <v>0.67770919556633846</v>
      </c>
      <c r="X100" s="81">
        <f t="shared" si="73"/>
        <v>0.30698021476134585</v>
      </c>
      <c r="Y100" s="81">
        <f t="shared" si="84"/>
        <v>0.4393358382538568</v>
      </c>
      <c r="AA100" s="81"/>
      <c r="AB100" s="81" t="e">
        <f t="shared" si="74"/>
        <v>#DIV/0!</v>
      </c>
      <c r="AC100" s="81" t="e">
        <f t="shared" si="75"/>
        <v>#DIV/0!</v>
      </c>
      <c r="AD100" s="81" t="e">
        <f t="shared" si="76"/>
        <v>#DIV/0!</v>
      </c>
      <c r="AE100" s="81" t="e">
        <f t="shared" si="77"/>
        <v>#DIV/0!</v>
      </c>
      <c r="AF100" s="81">
        <f t="shared" si="78"/>
        <v>6.0313544709152964</v>
      </c>
      <c r="AG100" s="81">
        <f t="shared" si="79"/>
        <v>-0.72032931284720481</v>
      </c>
      <c r="AH100" s="81">
        <f t="shared" si="80"/>
        <v>-1</v>
      </c>
      <c r="AI100" s="81" t="e">
        <f t="shared" si="81"/>
        <v>#DIV/0!</v>
      </c>
      <c r="AJ100" s="178">
        <f t="shared" si="82"/>
        <v>0.40324804846216372</v>
      </c>
      <c r="AK100" s="178" t="e">
        <f t="shared" si="85"/>
        <v>#DIV/0!</v>
      </c>
      <c r="AL100" s="81" t="e">
        <f t="shared" si="86"/>
        <v>#DIV/0!</v>
      </c>
      <c r="AN100" s="132">
        <v>6393.0199999999986</v>
      </c>
    </row>
    <row r="101" spans="2:40" x14ac:dyDescent="0.25">
      <c r="B101" s="7" t="s">
        <v>90</v>
      </c>
      <c r="C101" s="14">
        <v>241200</v>
      </c>
      <c r="D101" s="126">
        <v>0</v>
      </c>
      <c r="E101" s="81">
        <f>+D101/D$98</f>
        <v>0</v>
      </c>
      <c r="F101" s="126">
        <v>1.7</v>
      </c>
      <c r="G101" s="81">
        <f>+F101/F$98</f>
        <v>5.8087883550878155E-3</v>
      </c>
      <c r="H101" s="126">
        <v>20.010000000000002</v>
      </c>
      <c r="I101" s="81">
        <f>+H101/H$98</f>
        <v>8.8555496548061621E-2</v>
      </c>
      <c r="J101" s="126">
        <v>17.649999999999999</v>
      </c>
      <c r="K101" s="81">
        <f>+J101/J$98</f>
        <v>0.11595821562315221</v>
      </c>
      <c r="L101" s="126">
        <v>29.8</v>
      </c>
      <c r="M101" s="81">
        <f>+L101/L$98</f>
        <v>5.8857221860125222E-2</v>
      </c>
      <c r="N101" s="126">
        <v>60.47</v>
      </c>
      <c r="O101" s="81">
        <f t="shared" si="98"/>
        <v>2.172632093300662E-2</v>
      </c>
      <c r="P101" s="126">
        <v>52.37</v>
      </c>
      <c r="Q101" s="81">
        <f t="shared" si="98"/>
        <v>4.42942688950538E-2</v>
      </c>
      <c r="R101" s="126">
        <v>38.83</v>
      </c>
      <c r="S101" s="81">
        <f>+R101/R$98</f>
        <v>8.361326442721792E-2</v>
      </c>
      <c r="T101" s="126">
        <v>43.42</v>
      </c>
      <c r="U101" s="81">
        <f>+T101/T$98</f>
        <v>3.4231023934912175E-2</v>
      </c>
      <c r="V101" s="126">
        <v>42.58</v>
      </c>
      <c r="W101" s="178">
        <f>+V101/V$98</f>
        <v>2.5319918177061033E-2</v>
      </c>
      <c r="X101" s="81">
        <f t="shared" si="73"/>
        <v>4.7836451875367836E-2</v>
      </c>
      <c r="Y101" s="81">
        <f t="shared" si="84"/>
        <v>4.7721402179730373E-2</v>
      </c>
      <c r="AA101" s="81"/>
      <c r="AB101" s="81" t="e">
        <f t="shared" si="74"/>
        <v>#DIV/0!</v>
      </c>
      <c r="AC101" s="81">
        <f t="shared" si="75"/>
        <v>10.770588235294118</v>
      </c>
      <c r="AD101" s="81">
        <f t="shared" si="76"/>
        <v>-0.11794102948525752</v>
      </c>
      <c r="AE101" s="81">
        <f t="shared" si="77"/>
        <v>0.68838526912181319</v>
      </c>
      <c r="AF101" s="81">
        <f t="shared" si="78"/>
        <v>1.0291946308724831</v>
      </c>
      <c r="AG101" s="81">
        <f t="shared" si="79"/>
        <v>-0.13395071936497438</v>
      </c>
      <c r="AH101" s="81">
        <f t="shared" si="80"/>
        <v>-0.25854496849341224</v>
      </c>
      <c r="AI101" s="81">
        <f t="shared" si="81"/>
        <v>0.11820757146536193</v>
      </c>
      <c r="AJ101" s="178">
        <f t="shared" si="82"/>
        <v>-1.9345923537540381E-2</v>
      </c>
      <c r="AK101" s="178" t="e">
        <f t="shared" si="85"/>
        <v>#DIV/0!</v>
      </c>
      <c r="AL101" s="81">
        <f t="shared" si="86"/>
        <v>-5.3227773521863565E-2</v>
      </c>
      <c r="AN101" s="132">
        <v>1418.9800000000002</v>
      </c>
    </row>
    <row r="102" spans="2:40" x14ac:dyDescent="0.25">
      <c r="B102" s="6" t="s">
        <v>91</v>
      </c>
      <c r="C102" s="13">
        <v>250000</v>
      </c>
      <c r="D102" s="125">
        <f t="shared" ref="D102:V102" si="99">+SUM(D103:D108)</f>
        <v>130.46</v>
      </c>
      <c r="E102" s="80">
        <f>+D102/D$85</f>
        <v>5.270429681818916E-2</v>
      </c>
      <c r="F102" s="125">
        <f t="shared" si="99"/>
        <v>139.13</v>
      </c>
      <c r="G102" s="80">
        <f>+F102/F$85</f>
        <v>5.7046443259023596E-2</v>
      </c>
      <c r="H102" s="125">
        <f t="shared" si="99"/>
        <v>176.35000000000127</v>
      </c>
      <c r="I102" s="80">
        <f>+H102/H$85</f>
        <v>3.2744848280036917E-2</v>
      </c>
      <c r="J102" s="125">
        <f t="shared" si="99"/>
        <v>259.14</v>
      </c>
      <c r="K102" s="80">
        <f>+J102/J$85</f>
        <v>0.20959575535029681</v>
      </c>
      <c r="L102" s="125">
        <f t="shared" si="99"/>
        <v>264.72000000000003</v>
      </c>
      <c r="M102" s="80">
        <f>+L102/L$85</f>
        <v>9.3445539521617604E-2</v>
      </c>
      <c r="N102" s="125">
        <f t="shared" si="99"/>
        <v>403.66999999999996</v>
      </c>
      <c r="O102" s="80">
        <f>+N102/N$85</f>
        <v>6.8072627441192982E-2</v>
      </c>
      <c r="P102" s="125">
        <f t="shared" si="99"/>
        <v>462.30999999999995</v>
      </c>
      <c r="Q102" s="80">
        <f>+P102/P$85</f>
        <v>0.14121251366888016</v>
      </c>
      <c r="R102" s="125">
        <f t="shared" si="99"/>
        <v>490.07</v>
      </c>
      <c r="S102" s="80">
        <f>+R102/R$85</f>
        <v>0.21332619445605236</v>
      </c>
      <c r="T102" s="125">
        <f t="shared" si="99"/>
        <v>386.19</v>
      </c>
      <c r="U102" s="80">
        <f>+T102/T$85</f>
        <v>0.14936878258582545</v>
      </c>
      <c r="V102" s="125">
        <f t="shared" si="99"/>
        <v>438.92</v>
      </c>
      <c r="W102" s="177">
        <f>+V102/V$85</f>
        <v>0.14459133150392509</v>
      </c>
      <c r="X102" s="80">
        <f t="shared" si="73"/>
        <v>0.11621083328850404</v>
      </c>
      <c r="Y102" s="80">
        <f t="shared" si="84"/>
        <v>0.16909543618193432</v>
      </c>
      <c r="AA102" s="80"/>
      <c r="AB102" s="80">
        <f t="shared" si="74"/>
        <v>6.6457151617353882E-2</v>
      </c>
      <c r="AC102" s="80">
        <f t="shared" si="75"/>
        <v>0.26751958599871545</v>
      </c>
      <c r="AD102" s="80">
        <f t="shared" si="76"/>
        <v>0.46946413382476959</v>
      </c>
      <c r="AE102" s="80">
        <f t="shared" si="77"/>
        <v>2.1532762213475502E-2</v>
      </c>
      <c r="AF102" s="80">
        <f t="shared" si="78"/>
        <v>0.52489422786340256</v>
      </c>
      <c r="AG102" s="80">
        <f t="shared" si="79"/>
        <v>0.14526717368147246</v>
      </c>
      <c r="AH102" s="80">
        <f t="shared" si="80"/>
        <v>6.0046289286409663E-2</v>
      </c>
      <c r="AI102" s="80">
        <f t="shared" si="81"/>
        <v>-0.21196971861162692</v>
      </c>
      <c r="AJ102" s="177">
        <f t="shared" si="82"/>
        <v>0.13653900929594245</v>
      </c>
      <c r="AK102" s="177">
        <f t="shared" si="85"/>
        <v>0.16441673501887943</v>
      </c>
      <c r="AL102" s="80">
        <f t="shared" si="86"/>
        <v>-5.1281400097582626E-3</v>
      </c>
      <c r="AN102" s="134">
        <v>42518.890000000021</v>
      </c>
    </row>
    <row r="103" spans="2:40" x14ac:dyDescent="0.25">
      <c r="B103" s="7" t="s">
        <v>92</v>
      </c>
      <c r="C103" s="14">
        <v>250500</v>
      </c>
      <c r="D103" s="126">
        <v>0.06</v>
      </c>
      <c r="E103" s="81">
        <f t="shared" ref="E103:E108" si="100">+D103/D$102</f>
        <v>4.5991108385712092E-4</v>
      </c>
      <c r="F103" s="126">
        <v>0</v>
      </c>
      <c r="G103" s="81">
        <f t="shared" ref="G103:G108" si="101">+F103/F$102</f>
        <v>0</v>
      </c>
      <c r="H103" s="126">
        <v>0</v>
      </c>
      <c r="I103" s="81">
        <f t="shared" ref="I103:I108" si="102">+H103/H$102</f>
        <v>0</v>
      </c>
      <c r="J103" s="126">
        <v>0.02</v>
      </c>
      <c r="K103" s="81">
        <f t="shared" ref="K103:K108" si="103">+J103/J$102</f>
        <v>7.7178359188083667E-5</v>
      </c>
      <c r="L103" s="126">
        <v>1.08</v>
      </c>
      <c r="M103" s="81">
        <f t="shared" ref="M103:M108" si="104">+L103/L$102</f>
        <v>4.0797824116047144E-3</v>
      </c>
      <c r="N103" s="126">
        <v>5.39</v>
      </c>
      <c r="O103" s="81">
        <f>+N103/N$102</f>
        <v>1.3352490896028935E-2</v>
      </c>
      <c r="P103" s="126">
        <v>0</v>
      </c>
      <c r="Q103" s="81">
        <f>+P103/P$102</f>
        <v>0</v>
      </c>
      <c r="R103" s="126">
        <v>0</v>
      </c>
      <c r="S103" s="81">
        <f t="shared" ref="S103:S108" si="105">+R103/R$102</f>
        <v>0</v>
      </c>
      <c r="T103" s="126">
        <v>0</v>
      </c>
      <c r="U103" s="81">
        <f t="shared" ref="U103:U108" si="106">+T103/T$102</f>
        <v>0</v>
      </c>
      <c r="V103" s="126">
        <v>0</v>
      </c>
      <c r="W103" s="178">
        <f t="shared" ref="W103:W108" si="107">+V103/V$102</f>
        <v>0</v>
      </c>
      <c r="X103" s="81">
        <f t="shared" si="73"/>
        <v>1.7969362750678854E-3</v>
      </c>
      <c r="Y103" s="81">
        <f t="shared" si="84"/>
        <v>0</v>
      </c>
      <c r="AA103" s="81"/>
      <c r="AB103" s="81">
        <f t="shared" si="74"/>
        <v>-1</v>
      </c>
      <c r="AC103" s="81" t="e">
        <f t="shared" si="75"/>
        <v>#DIV/0!</v>
      </c>
      <c r="AD103" s="81" t="e">
        <f t="shared" si="76"/>
        <v>#DIV/0!</v>
      </c>
      <c r="AE103" s="81">
        <f t="shared" si="77"/>
        <v>53</v>
      </c>
      <c r="AF103" s="81">
        <f t="shared" si="78"/>
        <v>3.99074074074074</v>
      </c>
      <c r="AG103" s="81">
        <f t="shared" si="79"/>
        <v>-1</v>
      </c>
      <c r="AH103" s="81" t="e">
        <f t="shared" si="80"/>
        <v>#DIV/0!</v>
      </c>
      <c r="AI103" s="81" t="e">
        <f t="shared" si="81"/>
        <v>#DIV/0!</v>
      </c>
      <c r="AJ103" s="178" t="e">
        <f t="shared" si="82"/>
        <v>#DIV/0!</v>
      </c>
      <c r="AK103" s="178" t="e">
        <f t="shared" si="85"/>
        <v>#DIV/0!</v>
      </c>
      <c r="AL103" s="81" t="e">
        <f t="shared" si="86"/>
        <v>#DIV/0!</v>
      </c>
      <c r="AN103" s="132">
        <v>9936.6500000000015</v>
      </c>
    </row>
    <row r="104" spans="2:40" x14ac:dyDescent="0.25">
      <c r="B104" s="7" t="s">
        <v>93</v>
      </c>
      <c r="C104" s="14">
        <v>251000</v>
      </c>
      <c r="D104" s="126">
        <v>57.38</v>
      </c>
      <c r="E104" s="81">
        <f t="shared" si="100"/>
        <v>0.43982829986202665</v>
      </c>
      <c r="F104" s="126">
        <v>52.27</v>
      </c>
      <c r="G104" s="81">
        <f t="shared" si="101"/>
        <v>0.375691799036872</v>
      </c>
      <c r="H104" s="126">
        <v>61.06</v>
      </c>
      <c r="I104" s="81">
        <f t="shared" si="102"/>
        <v>0.34624326623192264</v>
      </c>
      <c r="J104" s="126">
        <v>87.52</v>
      </c>
      <c r="K104" s="81">
        <f t="shared" si="103"/>
        <v>0.33773249980705411</v>
      </c>
      <c r="L104" s="126">
        <v>91.1</v>
      </c>
      <c r="M104" s="81">
        <f t="shared" si="104"/>
        <v>0.34413720157147171</v>
      </c>
      <c r="N104" s="126">
        <v>134</v>
      </c>
      <c r="O104" s="81">
        <f t="shared" ref="O104:Q108" si="108">+N104/N$102</f>
        <v>0.3319543191220552</v>
      </c>
      <c r="P104" s="126">
        <v>164.76</v>
      </c>
      <c r="Q104" s="81">
        <f t="shared" si="108"/>
        <v>0.35638424433821464</v>
      </c>
      <c r="R104" s="126">
        <v>175.81</v>
      </c>
      <c r="S104" s="81">
        <f t="shared" si="105"/>
        <v>0.35874466912889996</v>
      </c>
      <c r="T104" s="126">
        <v>123.88</v>
      </c>
      <c r="U104" s="81">
        <f t="shared" si="106"/>
        <v>0.3207747481809472</v>
      </c>
      <c r="V104" s="126">
        <v>123.7</v>
      </c>
      <c r="W104" s="178">
        <f t="shared" si="107"/>
        <v>0.2818281235760503</v>
      </c>
      <c r="X104" s="81">
        <f t="shared" si="73"/>
        <v>0.34933191708555145</v>
      </c>
      <c r="Y104" s="81">
        <f t="shared" si="84"/>
        <v>0.32044918029529912</v>
      </c>
      <c r="AA104" s="81"/>
      <c r="AB104" s="81">
        <f t="shared" si="74"/>
        <v>-8.9055420006971059E-2</v>
      </c>
      <c r="AC104" s="81">
        <f t="shared" si="75"/>
        <v>0.16816529558063897</v>
      </c>
      <c r="AD104" s="81">
        <f t="shared" si="76"/>
        <v>0.4333442515558466</v>
      </c>
      <c r="AE104" s="81">
        <f t="shared" si="77"/>
        <v>4.0904936014625214E-2</v>
      </c>
      <c r="AF104" s="81">
        <f t="shared" si="78"/>
        <v>0.4709110867178925</v>
      </c>
      <c r="AG104" s="81">
        <f t="shared" si="79"/>
        <v>0.22955223880597009</v>
      </c>
      <c r="AH104" s="81">
        <f t="shared" si="80"/>
        <v>6.70672493323623E-2</v>
      </c>
      <c r="AI104" s="81">
        <f t="shared" si="81"/>
        <v>-0.29537568966497929</v>
      </c>
      <c r="AJ104" s="178">
        <f t="shared" si="82"/>
        <v>-1.4530190506941605E-3</v>
      </c>
      <c r="AK104" s="178">
        <f t="shared" si="85"/>
        <v>0.11378454769829902</v>
      </c>
      <c r="AL104" s="81">
        <f t="shared" si="86"/>
        <v>-7.6587153127770383E-2</v>
      </c>
      <c r="AN104" s="132">
        <v>6835.9199999999983</v>
      </c>
    </row>
    <row r="105" spans="2:40" x14ac:dyDescent="0.25">
      <c r="B105" s="7" t="s">
        <v>94</v>
      </c>
      <c r="C105" s="14">
        <v>251500</v>
      </c>
      <c r="D105" s="126">
        <v>6.48</v>
      </c>
      <c r="E105" s="81">
        <f t="shared" si="100"/>
        <v>4.9670397056569067E-2</v>
      </c>
      <c r="F105" s="126">
        <v>5.5</v>
      </c>
      <c r="G105" s="81">
        <f t="shared" si="101"/>
        <v>3.95313735355423E-2</v>
      </c>
      <c r="H105" s="126">
        <v>6.3200000000012819</v>
      </c>
      <c r="I105" s="81">
        <f t="shared" si="102"/>
        <v>3.5837822512056909E-2</v>
      </c>
      <c r="J105" s="126">
        <v>9.43</v>
      </c>
      <c r="K105" s="81">
        <f t="shared" si="103"/>
        <v>3.6389596357181447E-2</v>
      </c>
      <c r="L105" s="126">
        <v>9.2100000000000009</v>
      </c>
      <c r="M105" s="81">
        <f t="shared" si="104"/>
        <v>3.4791477787851313E-2</v>
      </c>
      <c r="N105" s="126">
        <v>13.52</v>
      </c>
      <c r="O105" s="81">
        <f t="shared" si="108"/>
        <v>3.3492704436792434E-2</v>
      </c>
      <c r="P105" s="126">
        <v>17.34</v>
      </c>
      <c r="Q105" s="81">
        <f t="shared" si="108"/>
        <v>3.7507300296337961E-2</v>
      </c>
      <c r="R105" s="126">
        <v>19.8</v>
      </c>
      <c r="S105" s="81">
        <f t="shared" si="105"/>
        <v>4.0402391495092539E-2</v>
      </c>
      <c r="T105" s="126">
        <v>14.09</v>
      </c>
      <c r="U105" s="81">
        <f t="shared" si="106"/>
        <v>3.6484631916932082E-2</v>
      </c>
      <c r="V105" s="126">
        <v>13.92</v>
      </c>
      <c r="W105" s="178">
        <f t="shared" si="107"/>
        <v>3.1714207600473887E-2</v>
      </c>
      <c r="X105" s="81">
        <f t="shared" si="73"/>
        <v>3.7582190299482995E-2</v>
      </c>
      <c r="Y105" s="81">
        <f t="shared" si="84"/>
        <v>3.6200410337499503E-2</v>
      </c>
      <c r="AA105" s="81"/>
      <c r="AB105" s="81">
        <f t="shared" si="74"/>
        <v>-0.15123456790123463</v>
      </c>
      <c r="AC105" s="81">
        <f t="shared" si="75"/>
        <v>0.14909090909114217</v>
      </c>
      <c r="AD105" s="81">
        <f t="shared" si="76"/>
        <v>0.49208860759463402</v>
      </c>
      <c r="AE105" s="81">
        <f t="shared" si="77"/>
        <v>-2.3329798515376338E-2</v>
      </c>
      <c r="AF105" s="81">
        <f t="shared" si="78"/>
        <v>0.46796959826275769</v>
      </c>
      <c r="AG105" s="81">
        <f t="shared" si="79"/>
        <v>0.28254437869822491</v>
      </c>
      <c r="AH105" s="81">
        <f t="shared" si="80"/>
        <v>0.14186851211072671</v>
      </c>
      <c r="AI105" s="81">
        <f t="shared" si="81"/>
        <v>-0.28838383838383841</v>
      </c>
      <c r="AJ105" s="178">
        <f t="shared" si="82"/>
        <v>-1.2065294535131294E-2</v>
      </c>
      <c r="AK105" s="178">
        <f t="shared" si="85"/>
        <v>0.11761650071354496</v>
      </c>
      <c r="AL105" s="81">
        <f t="shared" si="86"/>
        <v>-5.2860206936081004E-2</v>
      </c>
      <c r="AN105" s="132">
        <v>814.36999999999989</v>
      </c>
    </row>
    <row r="106" spans="2:40" x14ac:dyDescent="0.25">
      <c r="B106" s="7" t="s">
        <v>165</v>
      </c>
      <c r="C106" s="14">
        <v>252000</v>
      </c>
      <c r="D106" s="126">
        <v>0</v>
      </c>
      <c r="E106" s="81">
        <f t="shared" si="100"/>
        <v>0</v>
      </c>
      <c r="F106" s="126">
        <v>0</v>
      </c>
      <c r="G106" s="81">
        <f t="shared" si="101"/>
        <v>0</v>
      </c>
      <c r="H106" s="126">
        <v>0</v>
      </c>
      <c r="I106" s="81">
        <f t="shared" si="102"/>
        <v>0</v>
      </c>
      <c r="J106" s="126">
        <v>0</v>
      </c>
      <c r="K106" s="81">
        <f t="shared" si="103"/>
        <v>0</v>
      </c>
      <c r="L106" s="126">
        <v>0</v>
      </c>
      <c r="M106" s="81">
        <f t="shared" si="104"/>
        <v>0</v>
      </c>
      <c r="N106" s="126"/>
      <c r="O106" s="81">
        <f t="shared" si="108"/>
        <v>0</v>
      </c>
      <c r="P106" s="126">
        <v>280.20999999999998</v>
      </c>
      <c r="Q106" s="81">
        <f t="shared" si="108"/>
        <v>0.60610845536544744</v>
      </c>
      <c r="R106" s="126">
        <v>0</v>
      </c>
      <c r="S106" s="81">
        <f t="shared" si="105"/>
        <v>0</v>
      </c>
      <c r="T106" s="126">
        <v>0</v>
      </c>
      <c r="U106" s="81">
        <f t="shared" si="106"/>
        <v>0</v>
      </c>
      <c r="V106" s="126">
        <v>0</v>
      </c>
      <c r="W106" s="178">
        <f t="shared" si="107"/>
        <v>0</v>
      </c>
      <c r="X106" s="81">
        <f t="shared" si="73"/>
        <v>6.0610845536544743E-2</v>
      </c>
      <c r="Y106" s="81">
        <f t="shared" si="84"/>
        <v>0</v>
      </c>
      <c r="AA106" s="81"/>
      <c r="AB106" s="81" t="e">
        <f t="shared" si="74"/>
        <v>#DIV/0!</v>
      </c>
      <c r="AC106" s="81" t="e">
        <f t="shared" si="75"/>
        <v>#DIV/0!</v>
      </c>
      <c r="AD106" s="81" t="e">
        <f t="shared" si="76"/>
        <v>#DIV/0!</v>
      </c>
      <c r="AE106" s="81" t="e">
        <f t="shared" si="77"/>
        <v>#DIV/0!</v>
      </c>
      <c r="AF106" s="81" t="e">
        <f t="shared" si="78"/>
        <v>#DIV/0!</v>
      </c>
      <c r="AG106" s="81" t="e">
        <f t="shared" si="79"/>
        <v>#DIV/0!</v>
      </c>
      <c r="AH106" s="81">
        <f t="shared" si="80"/>
        <v>-1</v>
      </c>
      <c r="AI106" s="81" t="e">
        <f t="shared" si="81"/>
        <v>#DIV/0!</v>
      </c>
      <c r="AJ106" s="178" t="e">
        <f t="shared" si="82"/>
        <v>#DIV/0!</v>
      </c>
      <c r="AK106" s="178" t="e">
        <f t="shared" si="85"/>
        <v>#DIV/0!</v>
      </c>
      <c r="AL106" s="81" t="e">
        <f t="shared" si="86"/>
        <v>#DIV/0!</v>
      </c>
      <c r="AN106" s="132">
        <v>9.2899999999999991</v>
      </c>
    </row>
    <row r="107" spans="2:40" x14ac:dyDescent="0.25">
      <c r="B107" s="7" t="s">
        <v>95</v>
      </c>
      <c r="C107" s="14">
        <v>252500</v>
      </c>
      <c r="D107" s="126">
        <v>66.540000000000006</v>
      </c>
      <c r="E107" s="81">
        <f t="shared" si="100"/>
        <v>0.51004139199754717</v>
      </c>
      <c r="F107" s="126">
        <v>81.36</v>
      </c>
      <c r="G107" s="81">
        <f t="shared" si="101"/>
        <v>0.58477682742758574</v>
      </c>
      <c r="H107" s="126">
        <v>108.97</v>
      </c>
      <c r="I107" s="81">
        <f t="shared" si="102"/>
        <v>0.6179189112560205</v>
      </c>
      <c r="J107" s="126">
        <v>162.16999999999999</v>
      </c>
      <c r="K107" s="81">
        <f t="shared" si="103"/>
        <v>0.62580072547657639</v>
      </c>
      <c r="L107" s="126">
        <v>163.33000000000001</v>
      </c>
      <c r="M107" s="81">
        <f t="shared" si="104"/>
        <v>0.61699153822907216</v>
      </c>
      <c r="N107" s="126">
        <v>250.76</v>
      </c>
      <c r="O107" s="81">
        <f t="shared" si="108"/>
        <v>0.62120048554512353</v>
      </c>
      <c r="P107" s="126">
        <v>0</v>
      </c>
      <c r="Q107" s="81">
        <f t="shared" si="108"/>
        <v>0</v>
      </c>
      <c r="R107" s="126">
        <v>294.45999999999998</v>
      </c>
      <c r="S107" s="81">
        <f t="shared" si="105"/>
        <v>0.60085293937600748</v>
      </c>
      <c r="T107" s="126">
        <v>248.22</v>
      </c>
      <c r="U107" s="81">
        <f t="shared" si="106"/>
        <v>0.64274061990212072</v>
      </c>
      <c r="V107" s="126">
        <v>301.3</v>
      </c>
      <c r="W107" s="178">
        <f t="shared" si="107"/>
        <v>0.68645766882347581</v>
      </c>
      <c r="X107" s="81">
        <f t="shared" si="73"/>
        <v>0.55067811080335294</v>
      </c>
      <c r="Y107" s="81">
        <f t="shared" si="84"/>
        <v>0.64335040936720134</v>
      </c>
      <c r="AA107" s="81"/>
      <c r="AB107" s="81">
        <f t="shared" si="74"/>
        <v>0.22272317403065814</v>
      </c>
      <c r="AC107" s="81">
        <f t="shared" si="75"/>
        <v>0.33935594886922321</v>
      </c>
      <c r="AD107" s="81">
        <f t="shared" si="76"/>
        <v>0.48820776360466173</v>
      </c>
      <c r="AE107" s="81">
        <f t="shared" si="77"/>
        <v>7.1529876055992179E-3</v>
      </c>
      <c r="AF107" s="81">
        <f t="shared" si="78"/>
        <v>0.53529663870691224</v>
      </c>
      <c r="AG107" s="81">
        <f t="shared" si="79"/>
        <v>-1</v>
      </c>
      <c r="AH107" s="81" t="e">
        <f t="shared" si="80"/>
        <v>#DIV/0!</v>
      </c>
      <c r="AI107" s="81">
        <f t="shared" si="81"/>
        <v>-0.15703321333967257</v>
      </c>
      <c r="AJ107" s="178">
        <f t="shared" si="82"/>
        <v>0.21384255902022406</v>
      </c>
      <c r="AK107" s="178" t="e">
        <f t="shared" si="85"/>
        <v>#DIV/0!</v>
      </c>
      <c r="AL107" s="81" t="e">
        <f t="shared" si="86"/>
        <v>#DIV/0!</v>
      </c>
      <c r="AN107" s="132">
        <v>13668.650000000001</v>
      </c>
    </row>
    <row r="108" spans="2:40" x14ac:dyDescent="0.25">
      <c r="B108" s="7" t="s">
        <v>96</v>
      </c>
      <c r="C108" s="14">
        <v>253500</v>
      </c>
      <c r="D108" s="126">
        <v>0</v>
      </c>
      <c r="E108" s="81">
        <f t="shared" si="100"/>
        <v>0</v>
      </c>
      <c r="F108" s="126">
        <v>0</v>
      </c>
      <c r="G108" s="81">
        <f t="shared" si="101"/>
        <v>0</v>
      </c>
      <c r="H108" s="126">
        <v>0</v>
      </c>
      <c r="I108" s="81">
        <f t="shared" si="102"/>
        <v>0</v>
      </c>
      <c r="J108" s="126"/>
      <c r="K108" s="81">
        <f t="shared" si="103"/>
        <v>0</v>
      </c>
      <c r="L108" s="126">
        <v>0</v>
      </c>
      <c r="M108" s="81">
        <f t="shared" si="104"/>
        <v>0</v>
      </c>
      <c r="N108" s="126"/>
      <c r="O108" s="81">
        <f t="shared" si="108"/>
        <v>0</v>
      </c>
      <c r="P108" s="126">
        <v>0</v>
      </c>
      <c r="Q108" s="81">
        <f t="shared" si="108"/>
        <v>0</v>
      </c>
      <c r="R108" s="126">
        <v>0</v>
      </c>
      <c r="S108" s="81">
        <f t="shared" si="105"/>
        <v>0</v>
      </c>
      <c r="T108" s="126">
        <v>0</v>
      </c>
      <c r="U108" s="81">
        <f t="shared" si="106"/>
        <v>0</v>
      </c>
      <c r="V108" s="126">
        <v>0</v>
      </c>
      <c r="W108" s="178">
        <f t="shared" si="107"/>
        <v>0</v>
      </c>
      <c r="X108" s="81">
        <f t="shared" si="73"/>
        <v>0</v>
      </c>
      <c r="Y108" s="81">
        <f t="shared" si="84"/>
        <v>0</v>
      </c>
      <c r="AA108" s="81"/>
      <c r="AB108" s="81" t="e">
        <f t="shared" si="74"/>
        <v>#DIV/0!</v>
      </c>
      <c r="AC108" s="81" t="e">
        <f t="shared" si="75"/>
        <v>#DIV/0!</v>
      </c>
      <c r="AD108" s="81" t="e">
        <f t="shared" si="76"/>
        <v>#DIV/0!</v>
      </c>
      <c r="AE108" s="81" t="e">
        <f t="shared" si="77"/>
        <v>#DIV/0!</v>
      </c>
      <c r="AF108" s="81" t="e">
        <f t="shared" si="78"/>
        <v>#DIV/0!</v>
      </c>
      <c r="AG108" s="81" t="e">
        <f t="shared" si="79"/>
        <v>#DIV/0!</v>
      </c>
      <c r="AH108" s="81" t="e">
        <f t="shared" si="80"/>
        <v>#DIV/0!</v>
      </c>
      <c r="AI108" s="81" t="e">
        <f t="shared" si="81"/>
        <v>#DIV/0!</v>
      </c>
      <c r="AJ108" s="178" t="e">
        <f t="shared" si="82"/>
        <v>#DIV/0!</v>
      </c>
      <c r="AK108" s="178" t="e">
        <f t="shared" si="85"/>
        <v>#DIV/0!</v>
      </c>
      <c r="AL108" s="81" t="e">
        <f t="shared" si="86"/>
        <v>#DIV/0!</v>
      </c>
      <c r="AN108" s="132"/>
    </row>
    <row r="109" spans="2:40" x14ac:dyDescent="0.25">
      <c r="B109" s="6" t="s">
        <v>97</v>
      </c>
      <c r="C109" s="13">
        <v>260000</v>
      </c>
      <c r="D109" s="125">
        <f>+SUM(D110:D114)</f>
        <v>1166.1400000000001</v>
      </c>
      <c r="E109" s="80">
        <f>+D109/D$85</f>
        <v>0.47110676599389173</v>
      </c>
      <c r="F109" s="125">
        <f t="shared" ref="F109:V109" si="109">+SUM(F110:F114)</f>
        <v>1387</v>
      </c>
      <c r="G109" s="80">
        <f>+F109/F$85</f>
        <v>0.56870133544358314</v>
      </c>
      <c r="H109" s="125">
        <f t="shared" si="109"/>
        <v>1112.81</v>
      </c>
      <c r="I109" s="80">
        <f>+H109/H$85</f>
        <v>0.20662769840945627</v>
      </c>
      <c r="J109" s="125">
        <f t="shared" si="109"/>
        <v>63.96</v>
      </c>
      <c r="K109" s="80">
        <f>+J109/J$85</f>
        <v>5.1731668257331886E-2</v>
      </c>
      <c r="L109" s="125">
        <f t="shared" si="109"/>
        <v>90</v>
      </c>
      <c r="M109" s="80">
        <f>+L109/L$85</f>
        <v>3.176978904860072E-2</v>
      </c>
      <c r="N109" s="125">
        <f t="shared" si="109"/>
        <v>108.99000000000001</v>
      </c>
      <c r="O109" s="80">
        <f>+N109/N$85</f>
        <v>1.8379457638208498E-2</v>
      </c>
      <c r="P109" s="125">
        <f t="shared" si="109"/>
        <v>82.46</v>
      </c>
      <c r="Q109" s="80">
        <f>+P109/P$85</f>
        <v>2.5187393474369706E-2</v>
      </c>
      <c r="R109" s="125">
        <f t="shared" si="109"/>
        <v>34.700000000000003</v>
      </c>
      <c r="S109" s="80">
        <f>+R109/R$85</f>
        <v>1.5104819612759437E-2</v>
      </c>
      <c r="T109" s="125">
        <f t="shared" si="109"/>
        <v>68.790000000000006</v>
      </c>
      <c r="U109" s="80">
        <f>+T109/T$85</f>
        <v>2.660627813790863E-2</v>
      </c>
      <c r="V109" s="125">
        <f t="shared" si="109"/>
        <v>100.44</v>
      </c>
      <c r="W109" s="177">
        <f>+V109/V$85</f>
        <v>3.308747228710069E-2</v>
      </c>
      <c r="X109" s="80">
        <f t="shared" si="73"/>
        <v>0.14483026783032107</v>
      </c>
      <c r="Y109" s="80">
        <f t="shared" si="84"/>
        <v>2.4932856679256252E-2</v>
      </c>
      <c r="AA109" s="80"/>
      <c r="AB109" s="80">
        <f t="shared" si="74"/>
        <v>0.18939406932272274</v>
      </c>
      <c r="AC109" s="80">
        <f t="shared" si="75"/>
        <v>-0.19768565248738287</v>
      </c>
      <c r="AD109" s="80">
        <f t="shared" si="76"/>
        <v>-0.9425238809859724</v>
      </c>
      <c r="AE109" s="80">
        <f t="shared" si="77"/>
        <v>0.4071294559099437</v>
      </c>
      <c r="AF109" s="80">
        <f t="shared" si="78"/>
        <v>0.2110000000000001</v>
      </c>
      <c r="AG109" s="80">
        <f t="shared" si="79"/>
        <v>-0.24341682723185626</v>
      </c>
      <c r="AH109" s="80">
        <f t="shared" si="80"/>
        <v>-0.57918991025951971</v>
      </c>
      <c r="AI109" s="80">
        <f t="shared" si="81"/>
        <v>0.98242074927953893</v>
      </c>
      <c r="AJ109" s="177">
        <f t="shared" si="82"/>
        <v>0.46009594417793265</v>
      </c>
      <c r="AK109" s="177">
        <f t="shared" si="85"/>
        <v>3.1913771969489649E-2</v>
      </c>
      <c r="AL109" s="80">
        <f t="shared" si="86"/>
        <v>0.28777559439931727</v>
      </c>
      <c r="AN109" s="134">
        <v>52675.780000000006</v>
      </c>
    </row>
    <row r="110" spans="2:40" x14ac:dyDescent="0.25">
      <c r="B110" s="7" t="s">
        <v>98</v>
      </c>
      <c r="C110" s="14">
        <v>260500</v>
      </c>
      <c r="D110" s="126">
        <v>0</v>
      </c>
      <c r="E110" s="81">
        <f>+D110/D$109</f>
        <v>0</v>
      </c>
      <c r="F110" s="126">
        <v>0</v>
      </c>
      <c r="G110" s="81">
        <f>+F110/F$109</f>
        <v>0</v>
      </c>
      <c r="H110" s="126">
        <v>0</v>
      </c>
      <c r="I110" s="81">
        <f>+H110/H$109</f>
        <v>0</v>
      </c>
      <c r="J110" s="126">
        <v>16.96</v>
      </c>
      <c r="K110" s="81">
        <f>+J110/J$109</f>
        <v>0.26516572858036275</v>
      </c>
      <c r="L110" s="126">
        <v>43</v>
      </c>
      <c r="M110" s="81">
        <f>+L110/L$109</f>
        <v>0.4777777777777778</v>
      </c>
      <c r="N110" s="126">
        <v>61.99</v>
      </c>
      <c r="O110" s="81">
        <f>+N110/N$109</f>
        <v>0.56876777686026236</v>
      </c>
      <c r="P110" s="126">
        <v>82.46</v>
      </c>
      <c r="Q110" s="81">
        <f>+P110/P$109</f>
        <v>1</v>
      </c>
      <c r="R110" s="126">
        <v>34.700000000000003</v>
      </c>
      <c r="S110" s="81">
        <f>+R110/R$109</f>
        <v>1</v>
      </c>
      <c r="T110" s="126">
        <v>68.790000000000006</v>
      </c>
      <c r="U110" s="81">
        <f>+T110/T$109</f>
        <v>1</v>
      </c>
      <c r="V110" s="126">
        <v>100.44</v>
      </c>
      <c r="W110" s="178">
        <f>+V110/V$109</f>
        <v>1</v>
      </c>
      <c r="X110" s="81">
        <f t="shared" si="73"/>
        <v>0.53117112832184021</v>
      </c>
      <c r="Y110" s="81">
        <f t="shared" si="84"/>
        <v>1</v>
      </c>
      <c r="AA110" s="81"/>
      <c r="AB110" s="81" t="e">
        <f t="shared" si="74"/>
        <v>#DIV/0!</v>
      </c>
      <c r="AC110" s="81" t="e">
        <f t="shared" si="75"/>
        <v>#DIV/0!</v>
      </c>
      <c r="AD110" s="81" t="e">
        <f t="shared" si="76"/>
        <v>#DIV/0!</v>
      </c>
      <c r="AE110" s="81">
        <f t="shared" si="77"/>
        <v>1.5353773584905659</v>
      </c>
      <c r="AF110" s="81">
        <f t="shared" si="78"/>
        <v>0.44162790697674426</v>
      </c>
      <c r="AG110" s="81">
        <f t="shared" si="79"/>
        <v>0.3302145507339892</v>
      </c>
      <c r="AH110" s="81">
        <f t="shared" si="80"/>
        <v>-0.57918991025951971</v>
      </c>
      <c r="AI110" s="81">
        <f t="shared" si="81"/>
        <v>0.98242074927953893</v>
      </c>
      <c r="AJ110" s="178">
        <f t="shared" si="82"/>
        <v>0.46009594417793265</v>
      </c>
      <c r="AK110" s="178" t="e">
        <f t="shared" si="85"/>
        <v>#DIV/0!</v>
      </c>
      <c r="AL110" s="81">
        <f t="shared" si="86"/>
        <v>0.28777559439931727</v>
      </c>
      <c r="AN110" s="132">
        <v>8975.69</v>
      </c>
    </row>
    <row r="111" spans="2:40" x14ac:dyDescent="0.25">
      <c r="B111" s="7" t="s">
        <v>99</v>
      </c>
      <c r="C111" s="14">
        <v>261000</v>
      </c>
      <c r="D111" s="126">
        <v>0</v>
      </c>
      <c r="E111" s="81">
        <f>+D111/D$109</f>
        <v>0</v>
      </c>
      <c r="F111" s="126">
        <v>0</v>
      </c>
      <c r="G111" s="81">
        <f>+F111/F$109</f>
        <v>0</v>
      </c>
      <c r="H111" s="126">
        <v>0</v>
      </c>
      <c r="I111" s="81">
        <f>+H111/H$109</f>
        <v>0</v>
      </c>
      <c r="J111" s="126">
        <v>0</v>
      </c>
      <c r="K111" s="81">
        <f>+J111/J$109</f>
        <v>0</v>
      </c>
      <c r="L111" s="126">
        <v>0</v>
      </c>
      <c r="M111" s="81">
        <f>+L111/L$109</f>
        <v>0</v>
      </c>
      <c r="N111" s="126">
        <v>0</v>
      </c>
      <c r="O111" s="81">
        <f t="shared" ref="O111:Q114" si="110">+N111/N$109</f>
        <v>0</v>
      </c>
      <c r="P111" s="126">
        <v>0</v>
      </c>
      <c r="Q111" s="81">
        <f t="shared" si="110"/>
        <v>0</v>
      </c>
      <c r="R111" s="126">
        <v>0</v>
      </c>
      <c r="S111" s="81">
        <f>+R111/R$109</f>
        <v>0</v>
      </c>
      <c r="T111" s="126">
        <v>0</v>
      </c>
      <c r="U111" s="81">
        <f>+T111/T$109</f>
        <v>0</v>
      </c>
      <c r="V111" s="126">
        <v>0</v>
      </c>
      <c r="W111" s="178">
        <f>+V111/V$109</f>
        <v>0</v>
      </c>
      <c r="X111" s="81">
        <f t="shared" si="73"/>
        <v>0</v>
      </c>
      <c r="Y111" s="81">
        <f t="shared" si="84"/>
        <v>0</v>
      </c>
      <c r="AA111" s="81"/>
      <c r="AB111" s="81" t="e">
        <f t="shared" si="74"/>
        <v>#DIV/0!</v>
      </c>
      <c r="AC111" s="81" t="e">
        <f t="shared" si="75"/>
        <v>#DIV/0!</v>
      </c>
      <c r="AD111" s="81" t="e">
        <f t="shared" si="76"/>
        <v>#DIV/0!</v>
      </c>
      <c r="AE111" s="81" t="e">
        <f t="shared" si="77"/>
        <v>#DIV/0!</v>
      </c>
      <c r="AF111" s="81" t="e">
        <f t="shared" si="78"/>
        <v>#DIV/0!</v>
      </c>
      <c r="AG111" s="81" t="e">
        <f t="shared" si="79"/>
        <v>#DIV/0!</v>
      </c>
      <c r="AH111" s="81" t="e">
        <f t="shared" si="80"/>
        <v>#DIV/0!</v>
      </c>
      <c r="AI111" s="81" t="e">
        <f t="shared" si="81"/>
        <v>#DIV/0!</v>
      </c>
      <c r="AJ111" s="178" t="e">
        <f t="shared" si="82"/>
        <v>#DIV/0!</v>
      </c>
      <c r="AK111" s="178" t="e">
        <f t="shared" si="85"/>
        <v>#DIV/0!</v>
      </c>
      <c r="AL111" s="81" t="e">
        <f t="shared" si="86"/>
        <v>#DIV/0!</v>
      </c>
      <c r="AN111" s="132">
        <v>11952.46</v>
      </c>
    </row>
    <row r="112" spans="2:40" x14ac:dyDescent="0.25">
      <c r="B112" s="7" t="s">
        <v>100</v>
      </c>
      <c r="C112" s="14">
        <v>261500</v>
      </c>
      <c r="D112" s="126">
        <v>1121.99</v>
      </c>
      <c r="E112" s="81">
        <f>+D112/D$109</f>
        <v>0.9621400517948101</v>
      </c>
      <c r="F112" s="126">
        <v>1387</v>
      </c>
      <c r="G112" s="81">
        <f>+F112/F$109</f>
        <v>1</v>
      </c>
      <c r="H112" s="126">
        <v>1112.81</v>
      </c>
      <c r="I112" s="81">
        <f>+H112/H$109</f>
        <v>1</v>
      </c>
      <c r="J112" s="126">
        <v>0</v>
      </c>
      <c r="K112" s="81">
        <f>+J112/J$109</f>
        <v>0</v>
      </c>
      <c r="L112" s="126">
        <v>0</v>
      </c>
      <c r="M112" s="81">
        <f>+L112/L$109</f>
        <v>0</v>
      </c>
      <c r="N112" s="126">
        <v>0</v>
      </c>
      <c r="O112" s="81">
        <f t="shared" si="110"/>
        <v>0</v>
      </c>
      <c r="P112" s="126">
        <v>0</v>
      </c>
      <c r="Q112" s="81">
        <f t="shared" si="110"/>
        <v>0</v>
      </c>
      <c r="R112" s="126">
        <v>0</v>
      </c>
      <c r="S112" s="81">
        <f>+R112/R$109</f>
        <v>0</v>
      </c>
      <c r="T112" s="126">
        <v>0</v>
      </c>
      <c r="U112" s="81">
        <f>+T112/T$109</f>
        <v>0</v>
      </c>
      <c r="V112" s="126">
        <v>0</v>
      </c>
      <c r="W112" s="178">
        <f>+V112/V$109</f>
        <v>0</v>
      </c>
      <c r="X112" s="81">
        <f t="shared" si="73"/>
        <v>0.29621400517948099</v>
      </c>
      <c r="Y112" s="81">
        <f t="shared" si="84"/>
        <v>0</v>
      </c>
      <c r="AA112" s="81"/>
      <c r="AB112" s="81">
        <f t="shared" si="74"/>
        <v>0.23619640103744238</v>
      </c>
      <c r="AC112" s="81">
        <f t="shared" si="75"/>
        <v>-0.19768565248738287</v>
      </c>
      <c r="AD112" s="81">
        <f t="shared" si="76"/>
        <v>-1</v>
      </c>
      <c r="AE112" s="81" t="e">
        <f t="shared" si="77"/>
        <v>#DIV/0!</v>
      </c>
      <c r="AF112" s="81" t="e">
        <f t="shared" si="78"/>
        <v>#DIV/0!</v>
      </c>
      <c r="AG112" s="81" t="e">
        <f t="shared" si="79"/>
        <v>#DIV/0!</v>
      </c>
      <c r="AH112" s="81" t="e">
        <f t="shared" si="80"/>
        <v>#DIV/0!</v>
      </c>
      <c r="AI112" s="81" t="e">
        <f t="shared" si="81"/>
        <v>#DIV/0!</v>
      </c>
      <c r="AJ112" s="178" t="e">
        <f t="shared" si="82"/>
        <v>#DIV/0!</v>
      </c>
      <c r="AK112" s="178" t="e">
        <f t="shared" si="85"/>
        <v>#DIV/0!</v>
      </c>
      <c r="AL112" s="81" t="e">
        <f t="shared" si="86"/>
        <v>#DIV/0!</v>
      </c>
      <c r="AN112" s="132">
        <v>27042.02</v>
      </c>
    </row>
    <row r="113" spans="2:40" x14ac:dyDescent="0.25">
      <c r="B113" s="7" t="s">
        <v>101</v>
      </c>
      <c r="C113" s="14">
        <v>263500</v>
      </c>
      <c r="D113" s="126">
        <v>44.15</v>
      </c>
      <c r="E113" s="81">
        <f>+D113/D$109</f>
        <v>3.7859948205189765E-2</v>
      </c>
      <c r="F113" s="126">
        <v>0</v>
      </c>
      <c r="G113" s="81">
        <f>+F113/F$109</f>
        <v>0</v>
      </c>
      <c r="H113" s="126">
        <v>0</v>
      </c>
      <c r="I113" s="81">
        <f>+H113/H$109</f>
        <v>0</v>
      </c>
      <c r="J113" s="126">
        <v>0</v>
      </c>
      <c r="K113" s="81">
        <f>+J113/J$109</f>
        <v>0</v>
      </c>
      <c r="L113" s="126">
        <v>0</v>
      </c>
      <c r="M113" s="81">
        <f>+L113/L$109</f>
        <v>0</v>
      </c>
      <c r="N113" s="126">
        <v>0</v>
      </c>
      <c r="O113" s="81">
        <f t="shared" si="110"/>
        <v>0</v>
      </c>
      <c r="P113" s="126">
        <v>0</v>
      </c>
      <c r="Q113" s="81">
        <f t="shared" si="110"/>
        <v>0</v>
      </c>
      <c r="R113" s="126">
        <v>0</v>
      </c>
      <c r="S113" s="81">
        <f>+R113/R$109</f>
        <v>0</v>
      </c>
      <c r="T113" s="126">
        <v>0</v>
      </c>
      <c r="U113" s="81">
        <f>+T113/T$109</f>
        <v>0</v>
      </c>
      <c r="V113" s="126">
        <v>0</v>
      </c>
      <c r="W113" s="178">
        <f>+V113/V$109</f>
        <v>0</v>
      </c>
      <c r="X113" s="81">
        <f t="shared" si="73"/>
        <v>3.7859948205189765E-3</v>
      </c>
      <c r="Y113" s="81">
        <f t="shared" si="84"/>
        <v>0</v>
      </c>
      <c r="AA113" s="81"/>
      <c r="AB113" s="81">
        <f t="shared" si="74"/>
        <v>-1</v>
      </c>
      <c r="AC113" s="81" t="e">
        <f t="shared" si="75"/>
        <v>#DIV/0!</v>
      </c>
      <c r="AD113" s="81" t="e">
        <f t="shared" si="76"/>
        <v>#DIV/0!</v>
      </c>
      <c r="AE113" s="81" t="e">
        <f t="shared" si="77"/>
        <v>#DIV/0!</v>
      </c>
      <c r="AF113" s="81" t="e">
        <f t="shared" si="78"/>
        <v>#DIV/0!</v>
      </c>
      <c r="AG113" s="81" t="e">
        <f t="shared" si="79"/>
        <v>#DIV/0!</v>
      </c>
      <c r="AH113" s="81" t="e">
        <f t="shared" si="80"/>
        <v>#DIV/0!</v>
      </c>
      <c r="AI113" s="81" t="e">
        <f t="shared" si="81"/>
        <v>#DIV/0!</v>
      </c>
      <c r="AJ113" s="178" t="e">
        <f t="shared" si="82"/>
        <v>#DIV/0!</v>
      </c>
      <c r="AK113" s="178" t="e">
        <f t="shared" si="85"/>
        <v>#DIV/0!</v>
      </c>
      <c r="AL113" s="81" t="e">
        <f t="shared" si="86"/>
        <v>#DIV/0!</v>
      </c>
      <c r="AN113" s="132">
        <v>2064.9500000000003</v>
      </c>
    </row>
    <row r="114" spans="2:40" x14ac:dyDescent="0.25">
      <c r="B114" s="7" t="s">
        <v>169</v>
      </c>
      <c r="C114" s="14">
        <v>264000</v>
      </c>
      <c r="D114" s="126">
        <v>0</v>
      </c>
      <c r="E114" s="81">
        <f>+D114/D$109</f>
        <v>0</v>
      </c>
      <c r="F114" s="126">
        <v>0</v>
      </c>
      <c r="G114" s="81">
        <f>+F114/F$109</f>
        <v>0</v>
      </c>
      <c r="H114" s="126">
        <v>0</v>
      </c>
      <c r="I114" s="81">
        <f>+H114/H$109</f>
        <v>0</v>
      </c>
      <c r="J114" s="126">
        <v>47</v>
      </c>
      <c r="K114" s="81">
        <f>+J114/J$109</f>
        <v>0.73483427141963731</v>
      </c>
      <c r="L114" s="126">
        <v>47</v>
      </c>
      <c r="M114" s="81">
        <f>+L114/L$109</f>
        <v>0.52222222222222225</v>
      </c>
      <c r="N114" s="126">
        <v>47</v>
      </c>
      <c r="O114" s="81">
        <f t="shared" si="110"/>
        <v>0.43123222313973758</v>
      </c>
      <c r="P114" s="126">
        <v>0</v>
      </c>
      <c r="Q114" s="81">
        <f t="shared" si="110"/>
        <v>0</v>
      </c>
      <c r="R114" s="126">
        <v>0</v>
      </c>
      <c r="S114" s="81">
        <f>+R114/R$109</f>
        <v>0</v>
      </c>
      <c r="T114" s="126">
        <v>0</v>
      </c>
      <c r="U114" s="81">
        <f>+T114/T$109</f>
        <v>0</v>
      </c>
      <c r="V114" s="126">
        <v>0</v>
      </c>
      <c r="W114" s="178">
        <f>+V114/V$109</f>
        <v>0</v>
      </c>
      <c r="X114" s="81">
        <f t="shared" si="73"/>
        <v>0.16882887167815971</v>
      </c>
      <c r="Y114" s="81">
        <f t="shared" si="84"/>
        <v>0</v>
      </c>
      <c r="AA114" s="81"/>
      <c r="AB114" s="81" t="e">
        <f t="shared" si="74"/>
        <v>#DIV/0!</v>
      </c>
      <c r="AC114" s="81" t="e">
        <f t="shared" si="75"/>
        <v>#DIV/0!</v>
      </c>
      <c r="AD114" s="81" t="e">
        <f t="shared" si="76"/>
        <v>#DIV/0!</v>
      </c>
      <c r="AE114" s="81">
        <f t="shared" si="77"/>
        <v>0</v>
      </c>
      <c r="AF114" s="81">
        <f t="shared" si="78"/>
        <v>0</v>
      </c>
      <c r="AG114" s="81">
        <f t="shared" si="79"/>
        <v>-1</v>
      </c>
      <c r="AH114" s="81" t="e">
        <f t="shared" si="80"/>
        <v>#DIV/0!</v>
      </c>
      <c r="AI114" s="81" t="e">
        <f t="shared" si="81"/>
        <v>#DIV/0!</v>
      </c>
      <c r="AJ114" s="178" t="e">
        <f t="shared" si="82"/>
        <v>#DIV/0!</v>
      </c>
      <c r="AK114" s="178" t="e">
        <f t="shared" si="85"/>
        <v>#DIV/0!</v>
      </c>
      <c r="AL114" s="81" t="e">
        <f t="shared" si="86"/>
        <v>#DIV/0!</v>
      </c>
      <c r="AN114" s="132">
        <v>439.08000000000004</v>
      </c>
    </row>
    <row r="115" spans="2:40" x14ac:dyDescent="0.25">
      <c r="B115" s="6" t="s">
        <v>62</v>
      </c>
      <c r="C115" s="13">
        <v>270000</v>
      </c>
      <c r="D115" s="125">
        <f>+SUM(D116:D117)</f>
        <v>273.39</v>
      </c>
      <c r="E115" s="80">
        <f>+D115/D$85</f>
        <v>0.11044632613157085</v>
      </c>
      <c r="F115" s="125">
        <f t="shared" ref="F115:L115" si="111">+SUM(F116:F117)</f>
        <v>99.169999999999106</v>
      </c>
      <c r="G115" s="80">
        <f>+F115/F$85</f>
        <v>4.0661940472919711E-2</v>
      </c>
      <c r="H115" s="125">
        <f t="shared" si="111"/>
        <v>136.58000000000001</v>
      </c>
      <c r="I115" s="80">
        <f>+H115/H$85</f>
        <v>2.5360314023744883E-2</v>
      </c>
      <c r="J115" s="125">
        <f t="shared" si="111"/>
        <v>36.4</v>
      </c>
      <c r="K115" s="80">
        <f>+J115/J$85</f>
        <v>2.9440786813115703E-2</v>
      </c>
      <c r="L115" s="125">
        <f t="shared" si="111"/>
        <v>77.39</v>
      </c>
      <c r="M115" s="80">
        <f>+L115/L$85</f>
        <v>2.7318488605235666E-2</v>
      </c>
      <c r="N115" s="125">
        <f>+SUM(N116:N117)</f>
        <v>64.7</v>
      </c>
      <c r="O115" s="80">
        <f>+N115/N$85</f>
        <v>1.0910642345096705E-2</v>
      </c>
      <c r="P115" s="125">
        <v>17.649999999999999</v>
      </c>
      <c r="Q115" s="80">
        <f>+P115/P$85</f>
        <v>5.3911896049311826E-3</v>
      </c>
      <c r="R115" s="125">
        <v>66.42</v>
      </c>
      <c r="S115" s="80">
        <f>+R115/R$85</f>
        <v>2.891245298788132E-2</v>
      </c>
      <c r="T115" s="125">
        <f>+SUM(T116:T117)</f>
        <v>84.06</v>
      </c>
      <c r="U115" s="80">
        <f>+T115/T$85</f>
        <v>3.2512338134505006E-2</v>
      </c>
      <c r="V115" s="125">
        <f>+SUM(V116:V117)</f>
        <v>30.34</v>
      </c>
      <c r="W115" s="177">
        <f>+V115/V$85</f>
        <v>9.9947621384969629E-3</v>
      </c>
      <c r="X115" s="80">
        <f t="shared" si="73"/>
        <v>3.2094924125749803E-2</v>
      </c>
      <c r="Y115" s="80">
        <f t="shared" si="84"/>
        <v>2.3806517753627767E-2</v>
      </c>
      <c r="AA115" s="80"/>
      <c r="AB115" s="80">
        <f t="shared" si="74"/>
        <v>-0.63725812941219828</v>
      </c>
      <c r="AC115" s="80">
        <f t="shared" si="75"/>
        <v>0.37723101744480431</v>
      </c>
      <c r="AD115" s="80">
        <f t="shared" si="76"/>
        <v>-0.73348952994581929</v>
      </c>
      <c r="AE115" s="80">
        <f t="shared" si="77"/>
        <v>1.1260989010989011</v>
      </c>
      <c r="AF115" s="80">
        <f t="shared" si="78"/>
        <v>-0.1639746737304561</v>
      </c>
      <c r="AG115" s="80">
        <f t="shared" si="79"/>
        <v>-0.72720247295208662</v>
      </c>
      <c r="AH115" s="80">
        <f t="shared" si="80"/>
        <v>2.7631728045325783</v>
      </c>
      <c r="AI115" s="80">
        <f t="shared" si="81"/>
        <v>0.26558265582655827</v>
      </c>
      <c r="AJ115" s="177">
        <f t="shared" si="82"/>
        <v>-0.63906733285748274</v>
      </c>
      <c r="AK115" s="177">
        <f t="shared" si="85"/>
        <v>0.1812325822227554</v>
      </c>
      <c r="AL115" s="80">
        <f t="shared" si="86"/>
        <v>0.79656270916721794</v>
      </c>
      <c r="AN115" s="134">
        <v>2665.88</v>
      </c>
    </row>
    <row r="116" spans="2:40" x14ac:dyDescent="0.25">
      <c r="B116" s="7" t="s">
        <v>102</v>
      </c>
      <c r="C116" s="14">
        <v>270500</v>
      </c>
      <c r="D116" s="126">
        <v>273.39</v>
      </c>
      <c r="E116" s="81">
        <f>+D116/D$115</f>
        <v>1</v>
      </c>
      <c r="F116" s="126">
        <v>99.169999999999106</v>
      </c>
      <c r="G116" s="81">
        <f>+F116/F$115</f>
        <v>1</v>
      </c>
      <c r="H116" s="126">
        <v>136.58000000000001</v>
      </c>
      <c r="I116" s="81">
        <f>+H116/H$115</f>
        <v>1</v>
      </c>
      <c r="J116" s="126">
        <v>36.4</v>
      </c>
      <c r="K116" s="81">
        <f>+J116/J$115</f>
        <v>1</v>
      </c>
      <c r="L116" s="126">
        <v>0</v>
      </c>
      <c r="M116" s="81">
        <f>+L116/L$115</f>
        <v>0</v>
      </c>
      <c r="N116" s="126">
        <v>64.7</v>
      </c>
      <c r="O116" s="81">
        <f>+N116/N$115</f>
        <v>1</v>
      </c>
      <c r="P116" s="126">
        <v>0</v>
      </c>
      <c r="Q116" s="81">
        <f>+P116/P$115</f>
        <v>0</v>
      </c>
      <c r="R116" s="126">
        <v>0</v>
      </c>
      <c r="S116" s="81">
        <f>+R116/R$115</f>
        <v>0</v>
      </c>
      <c r="T116" s="126">
        <v>0</v>
      </c>
      <c r="U116" s="81">
        <f>+T116/T$115</f>
        <v>0</v>
      </c>
      <c r="V116" s="126">
        <v>0</v>
      </c>
      <c r="W116" s="178">
        <f>+V116/V$115</f>
        <v>0</v>
      </c>
      <c r="X116" s="81">
        <f t="shared" si="73"/>
        <v>0.5</v>
      </c>
      <c r="Y116" s="81">
        <f>+AVERAGE(S116,U116,W116)</f>
        <v>0</v>
      </c>
      <c r="AA116" s="81"/>
      <c r="AB116" s="81">
        <f t="shared" si="74"/>
        <v>-0.63725812941219828</v>
      </c>
      <c r="AC116" s="81">
        <f t="shared" si="75"/>
        <v>0.37723101744480431</v>
      </c>
      <c r="AD116" s="81">
        <f t="shared" si="76"/>
        <v>-0.73348952994581929</v>
      </c>
      <c r="AE116" s="81">
        <f t="shared" si="77"/>
        <v>-1</v>
      </c>
      <c r="AF116" s="81" t="e">
        <f t="shared" si="78"/>
        <v>#DIV/0!</v>
      </c>
      <c r="AG116" s="81">
        <f t="shared" si="79"/>
        <v>-1</v>
      </c>
      <c r="AH116" s="81" t="e">
        <f t="shared" si="80"/>
        <v>#DIV/0!</v>
      </c>
      <c r="AI116" s="81" t="e">
        <f t="shared" si="81"/>
        <v>#DIV/0!</v>
      </c>
      <c r="AJ116" s="178" t="e">
        <f t="shared" si="82"/>
        <v>#DIV/0!</v>
      </c>
      <c r="AK116" s="178" t="e">
        <f t="shared" si="85"/>
        <v>#DIV/0!</v>
      </c>
      <c r="AL116" s="81" t="e">
        <f t="shared" si="86"/>
        <v>#DIV/0!</v>
      </c>
      <c r="AN116" s="132">
        <v>805.49</v>
      </c>
    </row>
    <row r="117" spans="2:40" x14ac:dyDescent="0.25">
      <c r="B117" s="7" t="s">
        <v>170</v>
      </c>
      <c r="C117" s="14">
        <v>271500</v>
      </c>
      <c r="D117" s="126">
        <v>0</v>
      </c>
      <c r="E117" s="81">
        <f>+D117/D$115</f>
        <v>0</v>
      </c>
      <c r="F117" s="126">
        <v>0</v>
      </c>
      <c r="G117" s="81">
        <f>+F117/F$115</f>
        <v>0</v>
      </c>
      <c r="H117" s="126">
        <v>0</v>
      </c>
      <c r="I117" s="81">
        <f>+H117/H$115</f>
        <v>0</v>
      </c>
      <c r="J117" s="126">
        <v>0</v>
      </c>
      <c r="K117" s="81">
        <f>+J117/J$115</f>
        <v>0</v>
      </c>
      <c r="L117" s="126">
        <v>77.39</v>
      </c>
      <c r="M117" s="81">
        <f>+L117/L$115</f>
        <v>1</v>
      </c>
      <c r="N117" s="126">
        <v>0</v>
      </c>
      <c r="O117" s="81">
        <f>+N117/N$115</f>
        <v>0</v>
      </c>
      <c r="P117" s="126">
        <v>0</v>
      </c>
      <c r="Q117" s="81">
        <f>+P117/P$115</f>
        <v>0</v>
      </c>
      <c r="R117" s="126">
        <v>0</v>
      </c>
      <c r="S117" s="81">
        <f>+R117/R$115</f>
        <v>0</v>
      </c>
      <c r="T117" s="126">
        <v>84.06</v>
      </c>
      <c r="U117" s="81">
        <f>+T117/T$115</f>
        <v>1</v>
      </c>
      <c r="V117" s="126">
        <v>30.34</v>
      </c>
      <c r="W117" s="178">
        <f>+V117/V$115</f>
        <v>1</v>
      </c>
      <c r="X117" s="81">
        <f t="shared" si="73"/>
        <v>0.3</v>
      </c>
      <c r="Y117" s="81">
        <f>+AVERAGE(S117,U117,W117)</f>
        <v>0.66666666666666663</v>
      </c>
      <c r="AA117" s="81"/>
      <c r="AB117" s="81" t="e">
        <f t="shared" si="74"/>
        <v>#DIV/0!</v>
      </c>
      <c r="AC117" s="81" t="e">
        <f t="shared" si="75"/>
        <v>#DIV/0!</v>
      </c>
      <c r="AD117" s="81" t="e">
        <f t="shared" si="76"/>
        <v>#DIV/0!</v>
      </c>
      <c r="AE117" s="81" t="e">
        <f t="shared" si="77"/>
        <v>#DIV/0!</v>
      </c>
      <c r="AF117" s="81">
        <f t="shared" si="78"/>
        <v>-1</v>
      </c>
      <c r="AG117" s="81" t="e">
        <f t="shared" si="79"/>
        <v>#DIV/0!</v>
      </c>
      <c r="AH117" s="81" t="e">
        <f t="shared" si="80"/>
        <v>#DIV/0!</v>
      </c>
      <c r="AI117" s="81" t="e">
        <f t="shared" si="81"/>
        <v>#DIV/0!</v>
      </c>
      <c r="AJ117" s="178">
        <f t="shared" si="82"/>
        <v>-0.63906733285748274</v>
      </c>
      <c r="AK117" s="178" t="e">
        <f t="shared" si="85"/>
        <v>#DIV/0!</v>
      </c>
      <c r="AL117" s="81" t="e">
        <f t="shared" si="86"/>
        <v>#DIV/0!</v>
      </c>
      <c r="AN117" s="132">
        <v>1860.3899999999996</v>
      </c>
    </row>
    <row r="118" spans="2:40" x14ac:dyDescent="0.25">
      <c r="B118" s="6" t="s">
        <v>103</v>
      </c>
      <c r="C118" s="13">
        <v>280000</v>
      </c>
      <c r="D118" s="125">
        <f t="shared" ref="D118:L118" si="112">+SUM(D119:D122)</f>
        <v>3.91</v>
      </c>
      <c r="E118" s="80">
        <f>+D118/D$85</f>
        <v>1.5795937494950147E-3</v>
      </c>
      <c r="F118" s="125">
        <f t="shared" si="112"/>
        <v>2.61</v>
      </c>
      <c r="G118" s="80">
        <f>+F118/F$85</f>
        <v>1.0701589657590136E-3</v>
      </c>
      <c r="H118" s="125">
        <f t="shared" si="112"/>
        <v>42.08</v>
      </c>
      <c r="I118" s="80">
        <f>+H118/H$85</f>
        <v>7.8134574177711573E-3</v>
      </c>
      <c r="J118" s="125">
        <f t="shared" si="112"/>
        <v>0</v>
      </c>
      <c r="K118" s="80">
        <f>+J118/J$85</f>
        <v>0</v>
      </c>
      <c r="L118" s="125">
        <f t="shared" si="112"/>
        <v>0</v>
      </c>
      <c r="M118" s="80">
        <f>+L118/L$85</f>
        <v>0</v>
      </c>
      <c r="N118" s="125">
        <f>+SUM(N119:N122)</f>
        <v>0.46</v>
      </c>
      <c r="O118" s="80">
        <f>+N118/N$85</f>
        <v>7.7571800289713818E-5</v>
      </c>
      <c r="P118" s="125">
        <f>+SUM(P119:P122)</f>
        <v>22.21</v>
      </c>
      <c r="Q118" s="80">
        <f>+P118/P$85</f>
        <v>6.7840408569700607E-3</v>
      </c>
      <c r="R118" s="125">
        <f>+SUM(R119:R122)</f>
        <v>113.28</v>
      </c>
      <c r="S118" s="80">
        <f>+R118/R$85</f>
        <v>4.9310488926034263E-2</v>
      </c>
      <c r="T118" s="125">
        <f>+SUM(T119:T122)</f>
        <v>0</v>
      </c>
      <c r="U118" s="80">
        <f>+T118/T$85</f>
        <v>0</v>
      </c>
      <c r="V118" s="125">
        <f>+SUM(V119:V122)</f>
        <v>0</v>
      </c>
      <c r="W118" s="177">
        <f>+V118/V$85</f>
        <v>0</v>
      </c>
      <c r="X118" s="80">
        <f t="shared" si="73"/>
        <v>6.6635311716319225E-3</v>
      </c>
      <c r="Y118" s="80">
        <f t="shared" si="84"/>
        <v>1.643682964201142E-2</v>
      </c>
      <c r="AA118" s="80"/>
      <c r="AB118" s="80">
        <f t="shared" si="74"/>
        <v>-0.33248081841432231</v>
      </c>
      <c r="AC118" s="80">
        <f t="shared" si="75"/>
        <v>15.122605363984675</v>
      </c>
      <c r="AD118" s="80">
        <f t="shared" si="76"/>
        <v>-1</v>
      </c>
      <c r="AE118" s="80" t="e">
        <f t="shared" si="77"/>
        <v>#DIV/0!</v>
      </c>
      <c r="AF118" s="80" t="e">
        <f t="shared" si="78"/>
        <v>#DIV/0!</v>
      </c>
      <c r="AG118" s="80">
        <f t="shared" si="79"/>
        <v>47.282608695652172</v>
      </c>
      <c r="AH118" s="80">
        <f t="shared" si="80"/>
        <v>4.1004052228725794</v>
      </c>
      <c r="AI118" s="80">
        <f t="shared" si="81"/>
        <v>-1</v>
      </c>
      <c r="AJ118" s="177" t="e">
        <f t="shared" si="82"/>
        <v>#DIV/0!</v>
      </c>
      <c r="AK118" s="177" t="e">
        <f t="shared" si="85"/>
        <v>#DIV/0!</v>
      </c>
      <c r="AL118" s="80" t="e">
        <f t="shared" si="86"/>
        <v>#DIV/0!</v>
      </c>
      <c r="AN118" s="134">
        <v>1588.6899999999994</v>
      </c>
    </row>
    <row r="119" spans="2:40" x14ac:dyDescent="0.25">
      <c r="B119" s="7" t="s">
        <v>104</v>
      </c>
      <c r="C119" s="14">
        <v>280500</v>
      </c>
      <c r="D119" s="126">
        <v>0</v>
      </c>
      <c r="E119" s="81">
        <f>+D119/D$118</f>
        <v>0</v>
      </c>
      <c r="F119" s="126">
        <v>0</v>
      </c>
      <c r="G119" s="81">
        <f>+F119/F$118</f>
        <v>0</v>
      </c>
      <c r="H119" s="126">
        <v>42</v>
      </c>
      <c r="I119" s="81">
        <f>+H119/H$118</f>
        <v>0.99809885931558939</v>
      </c>
      <c r="J119" s="126">
        <v>0</v>
      </c>
      <c r="K119" s="81" t="e">
        <f>+J119/J$118</f>
        <v>#DIV/0!</v>
      </c>
      <c r="L119" s="126">
        <v>0</v>
      </c>
      <c r="M119" s="81" t="e">
        <f>+L119/L$118</f>
        <v>#DIV/0!</v>
      </c>
      <c r="N119" s="126">
        <v>0</v>
      </c>
      <c r="O119" s="81">
        <f>+N119/N$118</f>
        <v>0</v>
      </c>
      <c r="P119" s="126">
        <v>22.21</v>
      </c>
      <c r="Q119" s="81">
        <f>+P119/P$118</f>
        <v>1</v>
      </c>
      <c r="R119" s="126">
        <v>0</v>
      </c>
      <c r="S119" s="81">
        <f>+R119/R$118</f>
        <v>0</v>
      </c>
      <c r="T119" s="126">
        <v>0</v>
      </c>
      <c r="U119" s="81" t="e">
        <f>+T119/T$118</f>
        <v>#DIV/0!</v>
      </c>
      <c r="V119" s="126">
        <v>0</v>
      </c>
      <c r="W119" s="178" t="e">
        <f>+V119/V$118</f>
        <v>#DIV/0!</v>
      </c>
      <c r="X119" s="81" t="e">
        <f>+AVERAGE(E119,G119,I119,K119,M119,O119,Q119,S119,U119,W119)</f>
        <v>#DIV/0!</v>
      </c>
      <c r="Y119" s="81" t="e">
        <f t="shared" si="84"/>
        <v>#DIV/0!</v>
      </c>
      <c r="AA119" s="81"/>
      <c r="AB119" s="81" t="e">
        <f t="shared" si="74"/>
        <v>#DIV/0!</v>
      </c>
      <c r="AC119" s="81" t="e">
        <f t="shared" si="75"/>
        <v>#DIV/0!</v>
      </c>
      <c r="AD119" s="81">
        <f t="shared" si="76"/>
        <v>-1</v>
      </c>
      <c r="AE119" s="81" t="e">
        <f t="shared" si="77"/>
        <v>#DIV/0!</v>
      </c>
      <c r="AF119" s="81" t="e">
        <f t="shared" si="78"/>
        <v>#DIV/0!</v>
      </c>
      <c r="AG119" s="81" t="e">
        <f t="shared" si="79"/>
        <v>#DIV/0!</v>
      </c>
      <c r="AH119" s="81">
        <f t="shared" si="80"/>
        <v>-1</v>
      </c>
      <c r="AI119" s="81" t="e">
        <f t="shared" si="81"/>
        <v>#DIV/0!</v>
      </c>
      <c r="AJ119" s="178" t="e">
        <f t="shared" si="82"/>
        <v>#DIV/0!</v>
      </c>
      <c r="AK119" s="178" t="e">
        <f t="shared" si="85"/>
        <v>#DIV/0!</v>
      </c>
      <c r="AL119" s="81" t="e">
        <f t="shared" si="86"/>
        <v>#DIV/0!</v>
      </c>
      <c r="AN119" s="132">
        <v>149.69999999999999</v>
      </c>
    </row>
    <row r="120" spans="2:40" x14ac:dyDescent="0.25">
      <c r="B120" s="7" t="s">
        <v>105</v>
      </c>
      <c r="C120" s="14">
        <v>281500</v>
      </c>
      <c r="D120" s="126">
        <v>3.91</v>
      </c>
      <c r="E120" s="81">
        <f>+D120/D$118</f>
        <v>1</v>
      </c>
      <c r="F120" s="126">
        <v>2.61</v>
      </c>
      <c r="G120" s="81">
        <f>+F120/F$118</f>
        <v>1</v>
      </c>
      <c r="H120" s="126">
        <v>0.08</v>
      </c>
      <c r="I120" s="81">
        <f>+H120/H$118</f>
        <v>1.9011406844106466E-3</v>
      </c>
      <c r="J120" s="126">
        <v>0</v>
      </c>
      <c r="K120" s="81" t="e">
        <f>+J120/J$118</f>
        <v>#DIV/0!</v>
      </c>
      <c r="L120" s="126">
        <v>0</v>
      </c>
      <c r="M120" s="81" t="e">
        <f>+L120/L$118</f>
        <v>#DIV/0!</v>
      </c>
      <c r="N120" s="126">
        <v>0.46</v>
      </c>
      <c r="O120" s="81">
        <f t="shared" ref="O120:Q122" si="113">+N120/N$118</f>
        <v>1</v>
      </c>
      <c r="P120" s="126">
        <v>0</v>
      </c>
      <c r="Q120" s="81">
        <f t="shared" si="113"/>
        <v>0</v>
      </c>
      <c r="R120" s="126">
        <v>0</v>
      </c>
      <c r="S120" s="81">
        <f>+R120/R$118</f>
        <v>0</v>
      </c>
      <c r="T120" s="126">
        <v>0</v>
      </c>
      <c r="U120" s="81" t="e">
        <f>+T120/T$118</f>
        <v>#DIV/0!</v>
      </c>
      <c r="V120" s="126">
        <v>0</v>
      </c>
      <c r="W120" s="178" t="e">
        <f>+V120/V$118</f>
        <v>#DIV/0!</v>
      </c>
      <c r="X120" s="81" t="e">
        <f t="shared" si="73"/>
        <v>#DIV/0!</v>
      </c>
      <c r="Y120" s="81" t="e">
        <f t="shared" si="84"/>
        <v>#DIV/0!</v>
      </c>
      <c r="AA120" s="81"/>
      <c r="AB120" s="81">
        <f t="shared" si="74"/>
        <v>-0.33248081841432231</v>
      </c>
      <c r="AC120" s="81">
        <f t="shared" si="75"/>
        <v>-0.96934865900383138</v>
      </c>
      <c r="AD120" s="81">
        <f t="shared" si="76"/>
        <v>-1</v>
      </c>
      <c r="AE120" s="81" t="e">
        <f t="shared" si="77"/>
        <v>#DIV/0!</v>
      </c>
      <c r="AF120" s="81" t="e">
        <f t="shared" si="78"/>
        <v>#DIV/0!</v>
      </c>
      <c r="AG120" s="81">
        <f t="shared" si="79"/>
        <v>-1</v>
      </c>
      <c r="AH120" s="81" t="e">
        <f t="shared" si="80"/>
        <v>#DIV/0!</v>
      </c>
      <c r="AI120" s="81" t="e">
        <f t="shared" si="81"/>
        <v>#DIV/0!</v>
      </c>
      <c r="AJ120" s="178" t="e">
        <f t="shared" si="82"/>
        <v>#DIV/0!</v>
      </c>
      <c r="AK120" s="178" t="e">
        <f t="shared" si="85"/>
        <v>#DIV/0!</v>
      </c>
      <c r="AL120" s="81" t="e">
        <f t="shared" si="86"/>
        <v>#DIV/0!</v>
      </c>
      <c r="AN120" s="132">
        <v>0.87</v>
      </c>
    </row>
    <row r="121" spans="2:40" x14ac:dyDescent="0.25">
      <c r="B121" s="7" t="s">
        <v>174</v>
      </c>
      <c r="C121" s="14">
        <v>283500</v>
      </c>
      <c r="D121" s="126">
        <v>0</v>
      </c>
      <c r="E121" s="81">
        <f>+D121/D$118</f>
        <v>0</v>
      </c>
      <c r="F121" s="126">
        <v>0</v>
      </c>
      <c r="G121" s="81">
        <f>+F121/F$118</f>
        <v>0</v>
      </c>
      <c r="H121" s="126">
        <v>0</v>
      </c>
      <c r="I121" s="81">
        <f>+H121/H$118</f>
        <v>0</v>
      </c>
      <c r="J121" s="126">
        <v>0</v>
      </c>
      <c r="K121" s="81" t="e">
        <f>+J121/J$118</f>
        <v>#DIV/0!</v>
      </c>
      <c r="L121" s="126">
        <v>0</v>
      </c>
      <c r="M121" s="81" t="e">
        <f>+L121/L$118</f>
        <v>#DIV/0!</v>
      </c>
      <c r="N121" s="126">
        <v>0</v>
      </c>
      <c r="O121" s="81">
        <f t="shared" si="113"/>
        <v>0</v>
      </c>
      <c r="P121" s="126">
        <v>0</v>
      </c>
      <c r="Q121" s="81">
        <f t="shared" si="113"/>
        <v>0</v>
      </c>
      <c r="R121" s="126">
        <v>113.28</v>
      </c>
      <c r="S121" s="81">
        <f>+R121/R$118</f>
        <v>1</v>
      </c>
      <c r="T121" s="126">
        <v>0</v>
      </c>
      <c r="U121" s="81" t="e">
        <f>+T121/T$118</f>
        <v>#DIV/0!</v>
      </c>
      <c r="V121" s="126">
        <v>0</v>
      </c>
      <c r="W121" s="178" t="e">
        <f>+V121/V$118</f>
        <v>#DIV/0!</v>
      </c>
      <c r="X121" s="81" t="e">
        <f t="shared" si="73"/>
        <v>#DIV/0!</v>
      </c>
      <c r="Y121" s="81" t="e">
        <f t="shared" si="84"/>
        <v>#DIV/0!</v>
      </c>
      <c r="AA121" s="81"/>
      <c r="AB121" s="81" t="e">
        <f t="shared" si="74"/>
        <v>#DIV/0!</v>
      </c>
      <c r="AC121" s="81" t="e">
        <f t="shared" si="75"/>
        <v>#DIV/0!</v>
      </c>
      <c r="AD121" s="81" t="e">
        <f t="shared" si="76"/>
        <v>#DIV/0!</v>
      </c>
      <c r="AE121" s="81" t="e">
        <f t="shared" si="77"/>
        <v>#DIV/0!</v>
      </c>
      <c r="AF121" s="81" t="e">
        <f t="shared" si="78"/>
        <v>#DIV/0!</v>
      </c>
      <c r="AG121" s="81" t="e">
        <f t="shared" si="79"/>
        <v>#DIV/0!</v>
      </c>
      <c r="AH121" s="81" t="e">
        <f t="shared" si="80"/>
        <v>#DIV/0!</v>
      </c>
      <c r="AI121" s="81">
        <f t="shared" si="81"/>
        <v>-1</v>
      </c>
      <c r="AJ121" s="178" t="e">
        <f t="shared" si="82"/>
        <v>#DIV/0!</v>
      </c>
      <c r="AK121" s="178" t="e">
        <f t="shared" si="85"/>
        <v>#DIV/0!</v>
      </c>
      <c r="AL121" s="81" t="e">
        <f t="shared" si="86"/>
        <v>#DIV/0!</v>
      </c>
      <c r="AN121" s="132">
        <v>708.2</v>
      </c>
    </row>
    <row r="122" spans="2:40" x14ac:dyDescent="0.25">
      <c r="B122" s="7" t="s">
        <v>47</v>
      </c>
      <c r="C122" s="14">
        <v>289500</v>
      </c>
      <c r="D122" s="127">
        <v>0</v>
      </c>
      <c r="E122" s="82">
        <f>+D122/D$118</f>
        <v>0</v>
      </c>
      <c r="F122" s="127">
        <v>0</v>
      </c>
      <c r="G122" s="82">
        <f>+F122/F$118</f>
        <v>0</v>
      </c>
      <c r="H122" s="127">
        <v>0</v>
      </c>
      <c r="I122" s="82">
        <f>+H122/H$118</f>
        <v>0</v>
      </c>
      <c r="J122" s="127">
        <v>0</v>
      </c>
      <c r="K122" s="82" t="e">
        <f>+J122/J$118</f>
        <v>#DIV/0!</v>
      </c>
      <c r="L122" s="127">
        <v>0</v>
      </c>
      <c r="M122" s="82" t="e">
        <f>+L122/L$118</f>
        <v>#DIV/0!</v>
      </c>
      <c r="N122" s="127">
        <v>0</v>
      </c>
      <c r="O122" s="82">
        <f t="shared" si="113"/>
        <v>0</v>
      </c>
      <c r="P122" s="127">
        <v>0</v>
      </c>
      <c r="Q122" s="82">
        <f t="shared" si="113"/>
        <v>0</v>
      </c>
      <c r="R122" s="127">
        <v>0</v>
      </c>
      <c r="S122" s="82">
        <f>+R122/R$118</f>
        <v>0</v>
      </c>
      <c r="T122" s="127">
        <v>0</v>
      </c>
      <c r="U122" s="82" t="e">
        <f>+T122/T$118</f>
        <v>#DIV/0!</v>
      </c>
      <c r="V122" s="127">
        <v>0</v>
      </c>
      <c r="W122" s="179" t="e">
        <f>+V122/V$118</f>
        <v>#DIV/0!</v>
      </c>
      <c r="X122" s="82" t="e">
        <f t="shared" si="73"/>
        <v>#DIV/0!</v>
      </c>
      <c r="Y122" s="82" t="e">
        <f t="shared" si="84"/>
        <v>#DIV/0!</v>
      </c>
      <c r="AA122" s="82"/>
      <c r="AB122" s="82" t="e">
        <f t="shared" si="74"/>
        <v>#DIV/0!</v>
      </c>
      <c r="AC122" s="82" t="e">
        <f t="shared" si="75"/>
        <v>#DIV/0!</v>
      </c>
      <c r="AD122" s="82" t="e">
        <f t="shared" si="76"/>
        <v>#DIV/0!</v>
      </c>
      <c r="AE122" s="82" t="e">
        <f t="shared" si="77"/>
        <v>#DIV/0!</v>
      </c>
      <c r="AF122" s="82" t="e">
        <f t="shared" si="78"/>
        <v>#DIV/0!</v>
      </c>
      <c r="AG122" s="82" t="e">
        <f t="shared" si="79"/>
        <v>#DIV/0!</v>
      </c>
      <c r="AH122" s="82" t="e">
        <f t="shared" si="80"/>
        <v>#DIV/0!</v>
      </c>
      <c r="AI122" s="82" t="e">
        <f t="shared" si="81"/>
        <v>#DIV/0!</v>
      </c>
      <c r="AJ122" s="179" t="e">
        <f t="shared" si="82"/>
        <v>#DIV/0!</v>
      </c>
      <c r="AK122" s="179" t="e">
        <f t="shared" si="85"/>
        <v>#DIV/0!</v>
      </c>
      <c r="AL122" s="82" t="e">
        <f t="shared" si="86"/>
        <v>#DIV/0!</v>
      </c>
      <c r="AN122" s="133">
        <v>711.24</v>
      </c>
    </row>
    <row r="123" spans="2:40" x14ac:dyDescent="0.25">
      <c r="B123" s="7"/>
      <c r="C123" s="14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N123" s="122"/>
    </row>
    <row r="124" spans="2:40" x14ac:dyDescent="0.25">
      <c r="B124" s="111" t="s">
        <v>215</v>
      </c>
      <c r="C124" s="112"/>
      <c r="D124" s="113">
        <f>+D89+D98+D102+D109+D115+D118</f>
        <v>2475.3200000000002</v>
      </c>
      <c r="E124" s="114"/>
      <c r="F124" s="113">
        <f>+F89+F98+F102+F109+F115+F118</f>
        <v>2438.889999999999</v>
      </c>
      <c r="G124" s="114"/>
      <c r="H124" s="113">
        <f>+H89+H98+H102+H109+H115+H118</f>
        <v>2364.0200000000013</v>
      </c>
      <c r="I124" s="114"/>
      <c r="J124" s="113">
        <f>+J89+J98+J102+J109+J115+J118</f>
        <v>1236.18</v>
      </c>
      <c r="K124" s="114"/>
      <c r="L124" s="113">
        <f>+L89+L98+L102+L109+L115+L118</f>
        <v>2699.02</v>
      </c>
      <c r="M124" s="114"/>
      <c r="N124" s="113">
        <f>+N89+N98+N102+N109+N115+N118</f>
        <v>5858.51</v>
      </c>
      <c r="O124" s="114"/>
      <c r="P124" s="113">
        <f>+P89+P98+P102+P109+P115+P118</f>
        <v>3273.8599999999997</v>
      </c>
      <c r="Q124" s="114"/>
      <c r="R124" s="113">
        <f>+R89+R98+R102+R109+R115+R118</f>
        <v>2297.2800000000002</v>
      </c>
      <c r="S124" s="114"/>
      <c r="T124" s="113">
        <f>+T89+T98+T102+T109+T115+T118</f>
        <v>2556.33</v>
      </c>
      <c r="U124" s="114"/>
      <c r="V124" s="113">
        <f>+V89+V98+V102+V109+V115+V118</f>
        <v>3035.5900000000006</v>
      </c>
      <c r="W124" s="114"/>
      <c r="X124" s="114"/>
      <c r="Y124" s="114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N124" s="113">
        <f>+AN89+AN98+AN102+AN109+AN115+AN118</f>
        <v>204208.25999999995</v>
      </c>
    </row>
    <row r="125" spans="2:40" x14ac:dyDescent="0.25">
      <c r="B125" s="5"/>
      <c r="C125" s="14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N125" s="122"/>
    </row>
    <row r="126" spans="2:40" x14ac:dyDescent="0.25">
      <c r="B126" s="9" t="s">
        <v>177</v>
      </c>
      <c r="C126" s="13">
        <v>300000</v>
      </c>
      <c r="D126" s="16">
        <f>+D127+D129+D137+D141+D143+D145+D148</f>
        <v>19023.289999999997</v>
      </c>
      <c r="E126" s="85">
        <f>+E127+E129+E137+E141+E145+E148</f>
        <v>1</v>
      </c>
      <c r="F126" s="16">
        <f t="shared" ref="F126:T126" si="114">+F127+F129+F137+F141+F143+F145+F148</f>
        <v>20666.160000000003</v>
      </c>
      <c r="G126" s="85">
        <f>+G127+G129+G137+G141+G145+G148</f>
        <v>0.99999999999999978</v>
      </c>
      <c r="H126" s="16">
        <f t="shared" si="114"/>
        <v>19823.5</v>
      </c>
      <c r="I126" s="85">
        <f>+I127+I129+I137+I141+I145+I148</f>
        <v>0.99999999999999989</v>
      </c>
      <c r="J126" s="16">
        <f t="shared" si="114"/>
        <v>17440.829999999998</v>
      </c>
      <c r="K126" s="85">
        <f>+K127+K129+K137+K141+K145+K148</f>
        <v>1</v>
      </c>
      <c r="L126" s="16">
        <f t="shared" si="114"/>
        <v>33521.910000000003</v>
      </c>
      <c r="M126" s="85">
        <f>+M127+M129+M137+M141+M145+M148</f>
        <v>0.99999999999999989</v>
      </c>
      <c r="N126" s="16">
        <f t="shared" si="114"/>
        <v>58319.460000000014</v>
      </c>
      <c r="O126" s="85">
        <f>+O127+O129+O137+O141+O145+O148</f>
        <v>1</v>
      </c>
      <c r="P126" s="16">
        <f t="shared" si="114"/>
        <v>68021.37</v>
      </c>
      <c r="Q126" s="85">
        <f>+Q127+Q129+Q137+Q141+Q145+Q148</f>
        <v>0.99999999999999989</v>
      </c>
      <c r="R126" s="16">
        <f t="shared" si="114"/>
        <v>61430.17</v>
      </c>
      <c r="S126" s="85">
        <f>+S127+S129+S137+S141+S145+S148</f>
        <v>1.0000000000000002</v>
      </c>
      <c r="T126" s="16">
        <f t="shared" si="114"/>
        <v>48503.82</v>
      </c>
      <c r="U126" s="85">
        <f>+U127+U129+U137+U141+U145+U148</f>
        <v>1.0000000000000004</v>
      </c>
      <c r="V126" s="16">
        <f>+V127+V129+V137+V141+V143+V145+V148</f>
        <v>51000.239999999991</v>
      </c>
      <c r="W126" s="181">
        <f>+W127+W129+W137+W141+W145+W148</f>
        <v>1</v>
      </c>
      <c r="X126" s="180">
        <f>+AVERAGE(E126,G126,I126,K126,M126,O126,Q126,S126,U126,W126)</f>
        <v>1</v>
      </c>
      <c r="Y126" s="180">
        <f t="shared" ref="Y126:Y150" si="115">+AVERAGE(S126,U126,W126)</f>
        <v>1.0000000000000002</v>
      </c>
      <c r="AA126" s="85"/>
      <c r="AB126" s="85">
        <f t="shared" ref="AB126:AB152" si="116">+(F126-D126)/D126</f>
        <v>8.6360981722930497E-2</v>
      </c>
      <c r="AC126" s="85">
        <f t="shared" ref="AC126:AC152" si="117">+(H126-F126)/F126</f>
        <v>-4.0774870609731242E-2</v>
      </c>
      <c r="AD126" s="85">
        <f t="shared" ref="AD126:AD152" si="118">+(J126-H126)/H126</f>
        <v>-0.12019421393800298</v>
      </c>
      <c r="AE126" s="85">
        <f t="shared" ref="AE126:AE152" si="119">+(L126-J126)/J126</f>
        <v>0.92203639391015257</v>
      </c>
      <c r="AF126" s="85">
        <f t="shared" ref="AF126:AF152" si="120">+(N126-L126)/L126</f>
        <v>0.73974156007220371</v>
      </c>
      <c r="AG126" s="85">
        <f t="shared" ref="AG126:AG152" si="121">+(P126-N126)/N126</f>
        <v>0.16635802183353515</v>
      </c>
      <c r="AH126" s="85">
        <f t="shared" ref="AH126:AH152" si="122">+(R126-P126)/P126</f>
        <v>-9.6898959841590929E-2</v>
      </c>
      <c r="AI126" s="85">
        <f t="shared" ref="AI126:AI152" si="123">+(T126-R126)/R126</f>
        <v>-0.21042347758438565</v>
      </c>
      <c r="AJ126" s="85">
        <f t="shared" ref="AJ126:AJ152" si="124">+(V126-T126)/T126</f>
        <v>5.1468523510106855E-2</v>
      </c>
      <c r="AK126" s="85">
        <f>+AVERAGE(AB126:AJ126)</f>
        <v>0.16640821767502423</v>
      </c>
      <c r="AL126" s="85">
        <f>+AVERAGE(AH126:AJ126)</f>
        <v>-8.5284637971956581E-2</v>
      </c>
      <c r="AN126" s="135">
        <v>1176472.74</v>
      </c>
    </row>
    <row r="127" spans="2:40" x14ac:dyDescent="0.25">
      <c r="B127" s="6" t="s">
        <v>106</v>
      </c>
      <c r="C127" s="13">
        <v>310000</v>
      </c>
      <c r="D127" s="17">
        <f t="shared" ref="D127:T127" si="125">+D128</f>
        <v>13129.09</v>
      </c>
      <c r="E127" s="80">
        <f>+D127/D$126</f>
        <v>0.69015874751423134</v>
      </c>
      <c r="F127" s="17">
        <f t="shared" si="125"/>
        <v>13129.09</v>
      </c>
      <c r="G127" s="80">
        <f>+F127/F$126</f>
        <v>0.63529412333979796</v>
      </c>
      <c r="H127" s="17">
        <f t="shared" si="125"/>
        <v>13129.09</v>
      </c>
      <c r="I127" s="80">
        <f>+H127/H$126</f>
        <v>0.66229929124523923</v>
      </c>
      <c r="J127" s="17">
        <f t="shared" si="125"/>
        <v>13625.98</v>
      </c>
      <c r="K127" s="80">
        <f>+J127/J$126</f>
        <v>0.78126901070648591</v>
      </c>
      <c r="L127" s="17">
        <f t="shared" si="125"/>
        <v>19904.23</v>
      </c>
      <c r="M127" s="80">
        <f>+L127/L$126</f>
        <v>0.59376777755205468</v>
      </c>
      <c r="N127" s="17">
        <f t="shared" si="125"/>
        <v>31969.29</v>
      </c>
      <c r="O127" s="80">
        <f>+N127/N$126</f>
        <v>0.54817534318733396</v>
      </c>
      <c r="P127" s="17">
        <f t="shared" si="125"/>
        <v>36999.39</v>
      </c>
      <c r="Q127" s="80">
        <f>+P127/P$126</f>
        <v>0.54393773603795403</v>
      </c>
      <c r="R127" s="17">
        <f t="shared" si="125"/>
        <v>36999.39</v>
      </c>
      <c r="S127" s="80">
        <f>+R127/R$126</f>
        <v>0.60229997735640317</v>
      </c>
      <c r="T127" s="17">
        <f t="shared" si="125"/>
        <v>36999.39</v>
      </c>
      <c r="U127" s="80">
        <f>+T127/T$126</f>
        <v>0.7628139391907689</v>
      </c>
      <c r="V127" s="17">
        <f>+V128</f>
        <v>36999.39</v>
      </c>
      <c r="W127" s="177">
        <f>+V127/V$126</f>
        <v>0.72547482129495877</v>
      </c>
      <c r="X127" s="81">
        <f t="shared" ref="X127:X150" si="126">+AVERAGE(E127,G127,I127,K127,M127,O127,Q127,S127,U127,W127)</f>
        <v>0.65454907674252272</v>
      </c>
      <c r="Y127" s="81">
        <f t="shared" si="115"/>
        <v>0.69686291261404365</v>
      </c>
      <c r="AA127" s="80"/>
      <c r="AB127" s="80">
        <f t="shared" si="116"/>
        <v>0</v>
      </c>
      <c r="AC127" s="80">
        <f t="shared" si="117"/>
        <v>0</v>
      </c>
      <c r="AD127" s="80">
        <f t="shared" si="118"/>
        <v>3.7846492026484657E-2</v>
      </c>
      <c r="AE127" s="80">
        <f t="shared" si="119"/>
        <v>0.4607558502214153</v>
      </c>
      <c r="AF127" s="80">
        <f t="shared" si="120"/>
        <v>0.60615557597555902</v>
      </c>
      <c r="AG127" s="80">
        <f t="shared" si="121"/>
        <v>0.15734162378958053</v>
      </c>
      <c r="AH127" s="80">
        <f t="shared" si="122"/>
        <v>0</v>
      </c>
      <c r="AI127" s="80">
        <f t="shared" si="123"/>
        <v>0</v>
      </c>
      <c r="AJ127" s="80">
        <f t="shared" si="124"/>
        <v>0</v>
      </c>
      <c r="AK127" s="80">
        <f t="shared" ref="AK127:AK152" si="127">+AVERAGE(AB127:AJ127)</f>
        <v>0.14023328244589328</v>
      </c>
      <c r="AL127" s="80">
        <f t="shared" ref="AL127:AL152" si="128">+AVERAGE(AH127:AJ127)</f>
        <v>0</v>
      </c>
      <c r="AN127" s="134">
        <v>464980.41000000003</v>
      </c>
    </row>
    <row r="128" spans="2:40" x14ac:dyDescent="0.25">
      <c r="B128" s="7" t="s">
        <v>107</v>
      </c>
      <c r="C128" s="14">
        <v>310500</v>
      </c>
      <c r="D128" s="19">
        <v>13129.09</v>
      </c>
      <c r="E128" s="81">
        <f>+D128/D$127</f>
        <v>1</v>
      </c>
      <c r="F128" s="19">
        <v>13129.09</v>
      </c>
      <c r="G128" s="81">
        <f>+F128/F$127</f>
        <v>1</v>
      </c>
      <c r="H128" s="19">
        <v>13129.09</v>
      </c>
      <c r="I128" s="81">
        <f>+H128/H$127</f>
        <v>1</v>
      </c>
      <c r="J128" s="19">
        <v>13625.98</v>
      </c>
      <c r="K128" s="81">
        <f>+J128/J$127</f>
        <v>1</v>
      </c>
      <c r="L128" s="19">
        <v>19904.23</v>
      </c>
      <c r="M128" s="81">
        <f>+L128/L$127</f>
        <v>1</v>
      </c>
      <c r="N128" s="19">
        <v>31969.29</v>
      </c>
      <c r="O128" s="81">
        <f>+N128/N$127</f>
        <v>1</v>
      </c>
      <c r="P128" s="19">
        <v>36999.39</v>
      </c>
      <c r="Q128" s="81">
        <f>+P128/P$127</f>
        <v>1</v>
      </c>
      <c r="R128" s="19">
        <v>36999.39</v>
      </c>
      <c r="S128" s="81">
        <f>+R128/R$127</f>
        <v>1</v>
      </c>
      <c r="T128" s="19">
        <v>36999.39</v>
      </c>
      <c r="U128" s="81">
        <f>+T128/T$127</f>
        <v>1</v>
      </c>
      <c r="V128" s="19">
        <v>36999.39</v>
      </c>
      <c r="W128" s="178">
        <f>+V128/V$127</f>
        <v>1</v>
      </c>
      <c r="X128" s="81">
        <f t="shared" si="126"/>
        <v>1</v>
      </c>
      <c r="Y128" s="81">
        <f t="shared" si="115"/>
        <v>1</v>
      </c>
      <c r="AA128" s="81"/>
      <c r="AB128" s="81">
        <f t="shared" si="116"/>
        <v>0</v>
      </c>
      <c r="AC128" s="81">
        <f t="shared" si="117"/>
        <v>0</v>
      </c>
      <c r="AD128" s="81">
        <f t="shared" si="118"/>
        <v>3.7846492026484657E-2</v>
      </c>
      <c r="AE128" s="81">
        <f t="shared" si="119"/>
        <v>0.4607558502214153</v>
      </c>
      <c r="AF128" s="81">
        <f t="shared" si="120"/>
        <v>0.60615557597555902</v>
      </c>
      <c r="AG128" s="81">
        <f t="shared" si="121"/>
        <v>0.15734162378958053</v>
      </c>
      <c r="AH128" s="81">
        <f t="shared" si="122"/>
        <v>0</v>
      </c>
      <c r="AI128" s="81">
        <f t="shared" si="123"/>
        <v>0</v>
      </c>
      <c r="AJ128" s="81">
        <f t="shared" si="124"/>
        <v>0</v>
      </c>
      <c r="AK128" s="81">
        <f t="shared" si="127"/>
        <v>0.14023328244589328</v>
      </c>
      <c r="AL128" s="81">
        <f t="shared" si="128"/>
        <v>0</v>
      </c>
      <c r="AN128" s="132">
        <v>464980.41000000003</v>
      </c>
    </row>
    <row r="129" spans="2:40" x14ac:dyDescent="0.25">
      <c r="B129" s="6" t="s">
        <v>108</v>
      </c>
      <c r="C129" s="13">
        <v>320000</v>
      </c>
      <c r="D129" s="17">
        <f t="shared" ref="D129:V129" si="129">+SUM(D130:D136)</f>
        <v>873.99999999999784</v>
      </c>
      <c r="E129" s="80">
        <f>+D129/D$126</f>
        <v>4.5943682717342685E-2</v>
      </c>
      <c r="F129" s="17">
        <f t="shared" si="129"/>
        <v>872.74</v>
      </c>
      <c r="G129" s="80">
        <f>+F129/F$126</f>
        <v>4.2230390164404025E-2</v>
      </c>
      <c r="H129" s="17">
        <f t="shared" si="129"/>
        <v>1502.6699999999998</v>
      </c>
      <c r="I129" s="80">
        <f>+H129/H$126</f>
        <v>7.5802456680202787E-2</v>
      </c>
      <c r="J129" s="17">
        <f t="shared" si="129"/>
        <v>1851.1299999999999</v>
      </c>
      <c r="K129" s="80">
        <f>+J129/J$126</f>
        <v>0.10613772395006431</v>
      </c>
      <c r="L129" s="17">
        <f t="shared" si="129"/>
        <v>6606.6999999999989</v>
      </c>
      <c r="M129" s="80">
        <f>+L129/L$126</f>
        <v>0.19708602522946927</v>
      </c>
      <c r="N129" s="17">
        <f t="shared" si="129"/>
        <v>15461.070000000011</v>
      </c>
      <c r="O129" s="80">
        <f>+N129/N$126</f>
        <v>0.2651099650099642</v>
      </c>
      <c r="P129" s="17">
        <f t="shared" si="129"/>
        <v>21617.430000000004</v>
      </c>
      <c r="Q129" s="80">
        <f>+P129/P$126</f>
        <v>0.31780350792699419</v>
      </c>
      <c r="R129" s="17">
        <f t="shared" si="129"/>
        <v>21820.690000000002</v>
      </c>
      <c r="S129" s="80">
        <f>+R129/R$126</f>
        <v>0.3552112911294239</v>
      </c>
      <c r="T129" s="17">
        <f t="shared" si="129"/>
        <v>23388.910000000007</v>
      </c>
      <c r="U129" s="80">
        <f>+T129/T$126</f>
        <v>0.48220758694882193</v>
      </c>
      <c r="V129" s="17">
        <f t="shared" si="129"/>
        <v>23455.529999999988</v>
      </c>
      <c r="W129" s="177">
        <f>+V129/V$126</f>
        <v>0.45991018865793559</v>
      </c>
      <c r="X129" s="81">
        <f t="shared" si="126"/>
        <v>0.23474428184146229</v>
      </c>
      <c r="Y129" s="81">
        <f t="shared" si="115"/>
        <v>0.43244302224539383</v>
      </c>
      <c r="AA129" s="80"/>
      <c r="AB129" s="80">
        <f t="shared" si="116"/>
        <v>-1.4416475972515263E-3</v>
      </c>
      <c r="AC129" s="80">
        <f t="shared" si="117"/>
        <v>0.72178426564612574</v>
      </c>
      <c r="AD129" s="80">
        <f t="shared" si="118"/>
        <v>0.23189389553261866</v>
      </c>
      <c r="AE129" s="80">
        <f t="shared" si="119"/>
        <v>2.569009199786076</v>
      </c>
      <c r="AF129" s="80">
        <f t="shared" si="120"/>
        <v>1.3402106952033561</v>
      </c>
      <c r="AG129" s="80">
        <f t="shared" si="121"/>
        <v>0.39818460171255865</v>
      </c>
      <c r="AH129" s="80">
        <f t="shared" si="122"/>
        <v>9.4025978111180828E-3</v>
      </c>
      <c r="AI129" s="80">
        <f t="shared" si="123"/>
        <v>7.1868488118386933E-2</v>
      </c>
      <c r="AJ129" s="80">
        <f t="shared" si="124"/>
        <v>2.8483584741649257E-3</v>
      </c>
      <c r="AK129" s="80">
        <f t="shared" si="127"/>
        <v>0.593751161631906</v>
      </c>
      <c r="AL129" s="80">
        <f t="shared" si="128"/>
        <v>2.8039814801223317E-2</v>
      </c>
      <c r="AN129" s="134">
        <v>343675.62000000011</v>
      </c>
    </row>
    <row r="130" spans="2:40" x14ac:dyDescent="0.25">
      <c r="B130" s="7" t="s">
        <v>109</v>
      </c>
      <c r="C130" s="14">
        <v>320500</v>
      </c>
      <c r="D130" s="19">
        <v>0</v>
      </c>
      <c r="E130" s="81">
        <f t="shared" ref="E130:E136" si="130">+D130/D$129</f>
        <v>0</v>
      </c>
      <c r="F130" s="19">
        <v>0</v>
      </c>
      <c r="G130" s="81">
        <f t="shared" ref="G130:G136" si="131">+F130/F$129</f>
        <v>0</v>
      </c>
      <c r="H130" s="19">
        <v>0</v>
      </c>
      <c r="I130" s="81">
        <f t="shared" ref="I130:I136" si="132">+H130/H$129</f>
        <v>0</v>
      </c>
      <c r="J130" s="19">
        <v>0</v>
      </c>
      <c r="K130" s="81">
        <f t="shared" ref="K130:K136" si="133">+J130/J$129</f>
        <v>0</v>
      </c>
      <c r="L130" s="19">
        <v>3721.74</v>
      </c>
      <c r="M130" s="81">
        <f t="shared" ref="M130:M136" si="134">+L130/L$129</f>
        <v>0.56332813658861469</v>
      </c>
      <c r="N130" s="19">
        <v>12356.920000000011</v>
      </c>
      <c r="O130" s="81">
        <f>+N130/N$129</f>
        <v>0.79922799650994414</v>
      </c>
      <c r="P130" s="19">
        <v>16626.400000000001</v>
      </c>
      <c r="Q130" s="81">
        <f t="shared" ref="Q130:Q136" si="135">+P130/P$129</f>
        <v>0.76912010354607363</v>
      </c>
      <c r="R130" s="19">
        <v>16626.400000000001</v>
      </c>
      <c r="S130" s="81">
        <f t="shared" ref="S130:S136" si="136">+R130/R$129</f>
        <v>0.76195574017136947</v>
      </c>
      <c r="T130" s="19">
        <v>16626.400000000001</v>
      </c>
      <c r="U130" s="81">
        <f t="shared" ref="U130:U136" si="137">+T130/T$129</f>
        <v>0.71086681679479702</v>
      </c>
      <c r="V130" s="19">
        <v>16626.400000000001</v>
      </c>
      <c r="W130" s="178">
        <f t="shared" ref="W130:W136" si="138">+V130/V$129</f>
        <v>0.70884776425857821</v>
      </c>
      <c r="X130" s="81">
        <f t="shared" si="126"/>
        <v>0.43133465578693764</v>
      </c>
      <c r="Y130" s="81">
        <f t="shared" si="115"/>
        <v>0.72722344040824816</v>
      </c>
      <c r="AA130" s="81"/>
      <c r="AB130" s="81" t="e">
        <f t="shared" si="116"/>
        <v>#DIV/0!</v>
      </c>
      <c r="AC130" s="81" t="e">
        <f t="shared" si="117"/>
        <v>#DIV/0!</v>
      </c>
      <c r="AD130" s="81" t="e">
        <f t="shared" si="118"/>
        <v>#DIV/0!</v>
      </c>
      <c r="AE130" s="81" t="e">
        <f t="shared" si="119"/>
        <v>#DIV/0!</v>
      </c>
      <c r="AF130" s="81">
        <f t="shared" si="120"/>
        <v>2.3201996915421312</v>
      </c>
      <c r="AG130" s="81">
        <f t="shared" si="121"/>
        <v>0.34551328324533837</v>
      </c>
      <c r="AH130" s="81">
        <f t="shared" si="122"/>
        <v>0</v>
      </c>
      <c r="AI130" s="81">
        <f t="shared" si="123"/>
        <v>0</v>
      </c>
      <c r="AJ130" s="81">
        <f t="shared" si="124"/>
        <v>0</v>
      </c>
      <c r="AK130" s="81" t="e">
        <f t="shared" si="127"/>
        <v>#DIV/0!</v>
      </c>
      <c r="AL130" s="81">
        <f t="shared" si="128"/>
        <v>0</v>
      </c>
      <c r="AN130" s="132">
        <v>197005.03000000003</v>
      </c>
    </row>
    <row r="131" spans="2:40" ht="30" x14ac:dyDescent="0.25">
      <c r="B131" s="7" t="s">
        <v>110</v>
      </c>
      <c r="C131" s="14">
        <v>321300</v>
      </c>
      <c r="D131" s="19">
        <v>0</v>
      </c>
      <c r="E131" s="81">
        <f t="shared" si="130"/>
        <v>0</v>
      </c>
      <c r="F131" s="19">
        <v>0</v>
      </c>
      <c r="G131" s="81">
        <f t="shared" si="131"/>
        <v>0</v>
      </c>
      <c r="H131" s="19">
        <v>0</v>
      </c>
      <c r="I131" s="81">
        <f t="shared" si="132"/>
        <v>0</v>
      </c>
      <c r="J131" s="19">
        <v>0</v>
      </c>
      <c r="K131" s="81">
        <f t="shared" si="133"/>
        <v>0</v>
      </c>
      <c r="L131" s="19">
        <v>0</v>
      </c>
      <c r="M131" s="81">
        <f t="shared" si="134"/>
        <v>0</v>
      </c>
      <c r="N131" s="19">
        <v>0</v>
      </c>
      <c r="O131" s="81">
        <f t="shared" ref="O131:O136" si="139">+N131/N$129</f>
        <v>0</v>
      </c>
      <c r="P131" s="19">
        <v>0</v>
      </c>
      <c r="Q131" s="81">
        <f t="shared" si="135"/>
        <v>0</v>
      </c>
      <c r="R131" s="19">
        <v>0</v>
      </c>
      <c r="S131" s="81">
        <f t="shared" si="136"/>
        <v>0</v>
      </c>
      <c r="T131" s="19">
        <v>0</v>
      </c>
      <c r="U131" s="81">
        <f t="shared" si="137"/>
        <v>0</v>
      </c>
      <c r="V131" s="19">
        <v>0</v>
      </c>
      <c r="W131" s="178">
        <f t="shared" si="138"/>
        <v>0</v>
      </c>
      <c r="X131" s="81">
        <f t="shared" si="126"/>
        <v>0</v>
      </c>
      <c r="Y131" s="81">
        <f t="shared" si="115"/>
        <v>0</v>
      </c>
      <c r="AA131" s="81"/>
      <c r="AB131" s="81" t="e">
        <f t="shared" si="116"/>
        <v>#DIV/0!</v>
      </c>
      <c r="AC131" s="81" t="e">
        <f t="shared" si="117"/>
        <v>#DIV/0!</v>
      </c>
      <c r="AD131" s="81" t="e">
        <f t="shared" si="118"/>
        <v>#DIV/0!</v>
      </c>
      <c r="AE131" s="81" t="e">
        <f t="shared" si="119"/>
        <v>#DIV/0!</v>
      </c>
      <c r="AF131" s="81" t="e">
        <f t="shared" si="120"/>
        <v>#DIV/0!</v>
      </c>
      <c r="AG131" s="81" t="e">
        <f t="shared" si="121"/>
        <v>#DIV/0!</v>
      </c>
      <c r="AH131" s="81" t="e">
        <f t="shared" si="122"/>
        <v>#DIV/0!</v>
      </c>
      <c r="AI131" s="81" t="e">
        <f t="shared" si="123"/>
        <v>#DIV/0!</v>
      </c>
      <c r="AJ131" s="81" t="e">
        <f t="shared" si="124"/>
        <v>#DIV/0!</v>
      </c>
      <c r="AK131" s="81" t="e">
        <f t="shared" si="127"/>
        <v>#DIV/0!</v>
      </c>
      <c r="AL131" s="81" t="e">
        <f t="shared" si="128"/>
        <v>#DIV/0!</v>
      </c>
      <c r="AN131" s="132">
        <v>3413.2700000000004</v>
      </c>
    </row>
    <row r="132" spans="2:40" x14ac:dyDescent="0.25">
      <c r="B132" s="7" t="s">
        <v>69</v>
      </c>
      <c r="C132" s="14">
        <v>321500</v>
      </c>
      <c r="D132" s="19">
        <v>309.87</v>
      </c>
      <c r="E132" s="81">
        <f t="shared" si="130"/>
        <v>0.35454233409611075</v>
      </c>
      <c r="F132" s="19">
        <v>27.63</v>
      </c>
      <c r="G132" s="81">
        <f t="shared" si="131"/>
        <v>3.1658913307514261E-2</v>
      </c>
      <c r="H132" s="19">
        <v>38.06</v>
      </c>
      <c r="I132" s="81">
        <f t="shared" si="132"/>
        <v>2.5328249050024294E-2</v>
      </c>
      <c r="J132" s="19">
        <v>85.61</v>
      </c>
      <c r="K132" s="81">
        <f t="shared" si="133"/>
        <v>4.624742724714094E-2</v>
      </c>
      <c r="L132" s="19">
        <v>114.97</v>
      </c>
      <c r="M132" s="81">
        <f t="shared" si="134"/>
        <v>1.7402031271285215E-2</v>
      </c>
      <c r="N132" s="19">
        <v>97.15</v>
      </c>
      <c r="O132" s="81">
        <f t="shared" si="139"/>
        <v>6.2835237147234923E-3</v>
      </c>
      <c r="P132" s="19">
        <v>121.15</v>
      </c>
      <c r="Q132" s="81">
        <f t="shared" si="135"/>
        <v>5.6042739585602909E-3</v>
      </c>
      <c r="R132" s="19">
        <v>130.41</v>
      </c>
      <c r="S132" s="81">
        <f t="shared" si="136"/>
        <v>5.9764379586530027E-3</v>
      </c>
      <c r="T132" s="19">
        <v>99.99</v>
      </c>
      <c r="U132" s="81">
        <f t="shared" si="137"/>
        <v>4.2751030295982142E-3</v>
      </c>
      <c r="V132" s="19">
        <v>69.150000000000006</v>
      </c>
      <c r="W132" s="178">
        <f t="shared" si="138"/>
        <v>2.9481320609681403E-3</v>
      </c>
      <c r="X132" s="81">
        <f t="shared" si="126"/>
        <v>5.0026642569457859E-2</v>
      </c>
      <c r="Y132" s="81">
        <f t="shared" si="115"/>
        <v>4.3998910164064521E-3</v>
      </c>
      <c r="AA132" s="81"/>
      <c r="AB132" s="81">
        <f t="shared" si="116"/>
        <v>-0.91083357537031662</v>
      </c>
      <c r="AC132" s="81">
        <f t="shared" si="117"/>
        <v>0.37748823742309096</v>
      </c>
      <c r="AD132" s="81">
        <f t="shared" si="118"/>
        <v>1.2493431424067261</v>
      </c>
      <c r="AE132" s="81">
        <f t="shared" si="119"/>
        <v>0.34295058988435928</v>
      </c>
      <c r="AF132" s="81">
        <f t="shared" si="120"/>
        <v>-0.15499695572758104</v>
      </c>
      <c r="AG132" s="81">
        <f t="shared" si="121"/>
        <v>0.24704065877509004</v>
      </c>
      <c r="AH132" s="81">
        <f t="shared" si="122"/>
        <v>7.6434172513413043E-2</v>
      </c>
      <c r="AI132" s="81">
        <f t="shared" si="123"/>
        <v>-0.23326432022084198</v>
      </c>
      <c r="AJ132" s="81">
        <f t="shared" si="124"/>
        <v>-0.30843084308430835</v>
      </c>
      <c r="AK132" s="81">
        <f t="shared" si="127"/>
        <v>7.6192345177736806E-2</v>
      </c>
      <c r="AL132" s="81">
        <f t="shared" si="128"/>
        <v>-0.15508699693057909</v>
      </c>
      <c r="AN132" s="132">
        <v>100258.72000000002</v>
      </c>
    </row>
    <row r="133" spans="2:40" x14ac:dyDescent="0.25">
      <c r="B133" s="7" t="s">
        <v>111</v>
      </c>
      <c r="C133" s="14">
        <v>322000</v>
      </c>
      <c r="D133" s="19">
        <v>564.29</v>
      </c>
      <c r="E133" s="81">
        <f t="shared" si="130"/>
        <v>0.64564073226544783</v>
      </c>
      <c r="F133" s="19">
        <v>845.11</v>
      </c>
      <c r="G133" s="81">
        <f t="shared" si="131"/>
        <v>0.96834108669248575</v>
      </c>
      <c r="H133" s="19">
        <v>1464.61</v>
      </c>
      <c r="I133" s="81">
        <f t="shared" si="132"/>
        <v>0.97467175094997571</v>
      </c>
      <c r="J133" s="19">
        <v>1765.52</v>
      </c>
      <c r="K133" s="81">
        <f t="shared" si="133"/>
        <v>0.95375257275285907</v>
      </c>
      <c r="L133" s="19">
        <v>2769.99</v>
      </c>
      <c r="M133" s="81">
        <f t="shared" si="134"/>
        <v>0.41926983214010022</v>
      </c>
      <c r="N133" s="19">
        <v>3007</v>
      </c>
      <c r="O133" s="81">
        <f t="shared" si="139"/>
        <v>0.19448847977533237</v>
      </c>
      <c r="P133" s="19">
        <v>4869.88</v>
      </c>
      <c r="Q133" s="81">
        <f t="shared" si="135"/>
        <v>0.22527562249536598</v>
      </c>
      <c r="R133" s="19">
        <v>5063.88</v>
      </c>
      <c r="S133" s="81">
        <f t="shared" si="136"/>
        <v>0.23206782186997751</v>
      </c>
      <c r="T133" s="19">
        <v>6558.5400000000054</v>
      </c>
      <c r="U133" s="81">
        <f t="shared" si="137"/>
        <v>0.28041238347575853</v>
      </c>
      <c r="V133" s="19">
        <v>6655.9999999999864</v>
      </c>
      <c r="W133" s="178">
        <f t="shared" si="138"/>
        <v>0.28377103395233405</v>
      </c>
      <c r="X133" s="81">
        <f t="shared" si="126"/>
        <v>0.5177691316369637</v>
      </c>
      <c r="Y133" s="81">
        <f t="shared" si="115"/>
        <v>0.26541707976602336</v>
      </c>
      <c r="AA133" s="81"/>
      <c r="AB133" s="81">
        <f t="shared" si="116"/>
        <v>0.4976519165677224</v>
      </c>
      <c r="AC133" s="81">
        <f t="shared" si="117"/>
        <v>0.73304066926198941</v>
      </c>
      <c r="AD133" s="81">
        <f t="shared" si="118"/>
        <v>0.20545401164815214</v>
      </c>
      <c r="AE133" s="81">
        <f t="shared" si="119"/>
        <v>0.56893719697312961</v>
      </c>
      <c r="AF133" s="81">
        <f t="shared" si="120"/>
        <v>8.5563485788757443E-2</v>
      </c>
      <c r="AG133" s="81">
        <f t="shared" si="121"/>
        <v>0.61951446624542739</v>
      </c>
      <c r="AH133" s="81">
        <f t="shared" si="122"/>
        <v>3.983671055549623E-2</v>
      </c>
      <c r="AI133" s="81">
        <f t="shared" si="123"/>
        <v>0.29516102277305256</v>
      </c>
      <c r="AJ133" s="81">
        <f t="shared" si="124"/>
        <v>1.4860014576411954E-2</v>
      </c>
      <c r="AK133" s="81">
        <f t="shared" si="127"/>
        <v>0.34000216604334882</v>
      </c>
      <c r="AL133" s="81">
        <f t="shared" si="128"/>
        <v>0.11661924930165357</v>
      </c>
      <c r="AN133" s="132">
        <v>52133.790000000008</v>
      </c>
    </row>
    <row r="134" spans="2:40" x14ac:dyDescent="0.25">
      <c r="B134" s="7" t="s">
        <v>112</v>
      </c>
      <c r="C134" s="14">
        <v>322500</v>
      </c>
      <c r="D134" s="19">
        <v>0</v>
      </c>
      <c r="E134" s="81">
        <f t="shared" si="130"/>
        <v>0</v>
      </c>
      <c r="F134" s="19">
        <v>0</v>
      </c>
      <c r="G134" s="81">
        <f t="shared" si="131"/>
        <v>0</v>
      </c>
      <c r="H134" s="19">
        <v>0</v>
      </c>
      <c r="I134" s="81">
        <f t="shared" si="132"/>
        <v>0</v>
      </c>
      <c r="J134" s="19">
        <v>0</v>
      </c>
      <c r="K134" s="81">
        <f t="shared" si="133"/>
        <v>0</v>
      </c>
      <c r="L134" s="19">
        <v>0</v>
      </c>
      <c r="M134" s="81">
        <f t="shared" si="134"/>
        <v>0</v>
      </c>
      <c r="N134" s="19">
        <v>0</v>
      </c>
      <c r="O134" s="81">
        <f t="shared" si="139"/>
        <v>0</v>
      </c>
      <c r="P134" s="19">
        <v>0</v>
      </c>
      <c r="Q134" s="81">
        <f t="shared" si="135"/>
        <v>0</v>
      </c>
      <c r="R134" s="19">
        <v>0</v>
      </c>
      <c r="S134" s="81">
        <f t="shared" si="136"/>
        <v>0</v>
      </c>
      <c r="T134" s="19">
        <v>0</v>
      </c>
      <c r="U134" s="81">
        <f t="shared" si="137"/>
        <v>0</v>
      </c>
      <c r="V134" s="19">
        <v>0</v>
      </c>
      <c r="W134" s="178">
        <f t="shared" si="138"/>
        <v>0</v>
      </c>
      <c r="X134" s="81">
        <f t="shared" si="126"/>
        <v>0</v>
      </c>
      <c r="Y134" s="81">
        <f t="shared" si="115"/>
        <v>0</v>
      </c>
      <c r="AA134" s="81"/>
      <c r="AB134" s="81" t="e">
        <f t="shared" si="116"/>
        <v>#DIV/0!</v>
      </c>
      <c r="AC134" s="81" t="e">
        <f t="shared" si="117"/>
        <v>#DIV/0!</v>
      </c>
      <c r="AD134" s="81" t="e">
        <f t="shared" si="118"/>
        <v>#DIV/0!</v>
      </c>
      <c r="AE134" s="81" t="e">
        <f t="shared" si="119"/>
        <v>#DIV/0!</v>
      </c>
      <c r="AF134" s="81" t="e">
        <f t="shared" si="120"/>
        <v>#DIV/0!</v>
      </c>
      <c r="AG134" s="81" t="e">
        <f t="shared" si="121"/>
        <v>#DIV/0!</v>
      </c>
      <c r="AH134" s="81" t="e">
        <f t="shared" si="122"/>
        <v>#DIV/0!</v>
      </c>
      <c r="AI134" s="81" t="e">
        <f t="shared" si="123"/>
        <v>#DIV/0!</v>
      </c>
      <c r="AJ134" s="81" t="e">
        <f t="shared" si="124"/>
        <v>#DIV/0!</v>
      </c>
      <c r="AK134" s="81" t="e">
        <f t="shared" si="127"/>
        <v>#DIV/0!</v>
      </c>
      <c r="AL134" s="81" t="e">
        <f t="shared" si="128"/>
        <v>#DIV/0!</v>
      </c>
      <c r="AN134" s="132">
        <v>10</v>
      </c>
    </row>
    <row r="135" spans="2:40" x14ac:dyDescent="0.25">
      <c r="B135" s="7" t="s">
        <v>113</v>
      </c>
      <c r="C135" s="14">
        <v>323000</v>
      </c>
      <c r="D135" s="19">
        <v>-0.16000000000213996</v>
      </c>
      <c r="E135" s="81">
        <f t="shared" si="130"/>
        <v>-1.8306636155851299E-4</v>
      </c>
      <c r="F135" s="19">
        <v>0</v>
      </c>
      <c r="G135" s="81">
        <f t="shared" si="131"/>
        <v>0</v>
      </c>
      <c r="H135" s="19">
        <v>0</v>
      </c>
      <c r="I135" s="81">
        <f t="shared" si="132"/>
        <v>0</v>
      </c>
      <c r="J135" s="19">
        <v>0</v>
      </c>
      <c r="K135" s="81">
        <f t="shared" si="133"/>
        <v>0</v>
      </c>
      <c r="L135" s="19">
        <v>0</v>
      </c>
      <c r="M135" s="81">
        <f t="shared" si="134"/>
        <v>0</v>
      </c>
      <c r="N135" s="19">
        <v>0</v>
      </c>
      <c r="O135" s="81">
        <f t="shared" si="139"/>
        <v>0</v>
      </c>
      <c r="P135" s="19">
        <v>0</v>
      </c>
      <c r="Q135" s="81">
        <f t="shared" si="135"/>
        <v>0</v>
      </c>
      <c r="R135" s="19">
        <v>0</v>
      </c>
      <c r="S135" s="81">
        <f t="shared" si="136"/>
        <v>0</v>
      </c>
      <c r="T135" s="19">
        <v>0</v>
      </c>
      <c r="U135" s="81">
        <f t="shared" si="137"/>
        <v>0</v>
      </c>
      <c r="V135" s="19">
        <v>0</v>
      </c>
      <c r="W135" s="178">
        <f t="shared" si="138"/>
        <v>0</v>
      </c>
      <c r="X135" s="81">
        <f t="shared" si="126"/>
        <v>-1.8306636155851298E-5</v>
      </c>
      <c r="Y135" s="81">
        <f t="shared" si="115"/>
        <v>0</v>
      </c>
      <c r="AA135" s="81"/>
      <c r="AB135" s="81">
        <f t="shared" si="116"/>
        <v>-1</v>
      </c>
      <c r="AC135" s="81" t="e">
        <f t="shared" si="117"/>
        <v>#DIV/0!</v>
      </c>
      <c r="AD135" s="81" t="e">
        <f t="shared" si="118"/>
        <v>#DIV/0!</v>
      </c>
      <c r="AE135" s="81" t="e">
        <f t="shared" si="119"/>
        <v>#DIV/0!</v>
      </c>
      <c r="AF135" s="81" t="e">
        <f t="shared" si="120"/>
        <v>#DIV/0!</v>
      </c>
      <c r="AG135" s="81" t="e">
        <f t="shared" si="121"/>
        <v>#DIV/0!</v>
      </c>
      <c r="AH135" s="81" t="e">
        <f t="shared" si="122"/>
        <v>#DIV/0!</v>
      </c>
      <c r="AI135" s="81" t="e">
        <f t="shared" si="123"/>
        <v>#DIV/0!</v>
      </c>
      <c r="AJ135" s="81" t="e">
        <f t="shared" si="124"/>
        <v>#DIV/0!</v>
      </c>
      <c r="AK135" s="81" t="e">
        <f t="shared" si="127"/>
        <v>#DIV/0!</v>
      </c>
      <c r="AL135" s="81" t="e">
        <f t="shared" si="128"/>
        <v>#DIV/0!</v>
      </c>
      <c r="AN135" s="132">
        <v>-9612.19</v>
      </c>
    </row>
    <row r="136" spans="2:40" x14ac:dyDescent="0.25">
      <c r="B136" s="7" t="s">
        <v>114</v>
      </c>
      <c r="C136" s="14">
        <v>329500</v>
      </c>
      <c r="D136" s="19">
        <v>0</v>
      </c>
      <c r="E136" s="81">
        <f t="shared" si="130"/>
        <v>0</v>
      </c>
      <c r="F136" s="19">
        <v>0</v>
      </c>
      <c r="G136" s="81">
        <f t="shared" si="131"/>
        <v>0</v>
      </c>
      <c r="H136" s="19">
        <v>0</v>
      </c>
      <c r="I136" s="81">
        <f t="shared" si="132"/>
        <v>0</v>
      </c>
      <c r="J136" s="19">
        <v>0</v>
      </c>
      <c r="K136" s="81">
        <f t="shared" si="133"/>
        <v>0</v>
      </c>
      <c r="L136" s="19">
        <v>0</v>
      </c>
      <c r="M136" s="81">
        <f t="shared" si="134"/>
        <v>0</v>
      </c>
      <c r="N136" s="19">
        <v>0</v>
      </c>
      <c r="O136" s="81">
        <f t="shared" si="139"/>
        <v>0</v>
      </c>
      <c r="P136" s="19">
        <v>0</v>
      </c>
      <c r="Q136" s="81">
        <f t="shared" si="135"/>
        <v>0</v>
      </c>
      <c r="R136" s="19">
        <v>0</v>
      </c>
      <c r="S136" s="81">
        <f t="shared" si="136"/>
        <v>0</v>
      </c>
      <c r="T136" s="19">
        <v>103.98</v>
      </c>
      <c r="U136" s="81">
        <f t="shared" si="137"/>
        <v>4.4456966998462077E-3</v>
      </c>
      <c r="V136" s="19">
        <v>103.98</v>
      </c>
      <c r="W136" s="178">
        <f t="shared" si="138"/>
        <v>4.4330697281195547E-3</v>
      </c>
      <c r="X136" s="81">
        <f t="shared" si="126"/>
        <v>8.8787664279657628E-4</v>
      </c>
      <c r="Y136" s="81">
        <f t="shared" si="115"/>
        <v>2.9595888093219211E-3</v>
      </c>
      <c r="AA136" s="81"/>
      <c r="AB136" s="81" t="e">
        <f t="shared" si="116"/>
        <v>#DIV/0!</v>
      </c>
      <c r="AC136" s="81" t="e">
        <f t="shared" si="117"/>
        <v>#DIV/0!</v>
      </c>
      <c r="AD136" s="81" t="e">
        <f t="shared" si="118"/>
        <v>#DIV/0!</v>
      </c>
      <c r="AE136" s="81" t="e">
        <f t="shared" si="119"/>
        <v>#DIV/0!</v>
      </c>
      <c r="AF136" s="81" t="e">
        <f t="shared" si="120"/>
        <v>#DIV/0!</v>
      </c>
      <c r="AG136" s="81" t="e">
        <f t="shared" si="121"/>
        <v>#DIV/0!</v>
      </c>
      <c r="AH136" s="81" t="e">
        <f t="shared" si="122"/>
        <v>#DIV/0!</v>
      </c>
      <c r="AI136" s="81" t="e">
        <f t="shared" si="123"/>
        <v>#DIV/0!</v>
      </c>
      <c r="AJ136" s="81">
        <f t="shared" si="124"/>
        <v>0</v>
      </c>
      <c r="AK136" s="81" t="e">
        <f t="shared" si="127"/>
        <v>#DIV/0!</v>
      </c>
      <c r="AL136" s="81" t="e">
        <f t="shared" si="128"/>
        <v>#DIV/0!</v>
      </c>
      <c r="AN136" s="132">
        <v>467.02</v>
      </c>
    </row>
    <row r="137" spans="2:40" x14ac:dyDescent="0.25">
      <c r="B137" s="6" t="s">
        <v>115</v>
      </c>
      <c r="C137" s="13">
        <v>330000</v>
      </c>
      <c r="D137" s="17">
        <f t="shared" ref="D137:T137" si="140">+SUM(D138:D140)</f>
        <v>2853.75</v>
      </c>
      <c r="E137" s="80">
        <f>+D137/D$126</f>
        <v>0.15001348347210186</v>
      </c>
      <c r="F137" s="17">
        <f t="shared" si="140"/>
        <v>3286.73</v>
      </c>
      <c r="G137" s="80">
        <f>+F137/F$126</f>
        <v>0.15903922160672324</v>
      </c>
      <c r="H137" s="17">
        <f t="shared" si="140"/>
        <v>4694.54</v>
      </c>
      <c r="I137" s="80">
        <f>+H137/H$126</f>
        <v>0.23681690922390092</v>
      </c>
      <c r="J137" s="17">
        <f t="shared" si="140"/>
        <v>4693.99</v>
      </c>
      <c r="K137" s="80">
        <f>+J137/J$126</f>
        <v>0.26913799400601923</v>
      </c>
      <c r="L137" s="17">
        <f>+SUM(L138:L140)</f>
        <v>4693.99</v>
      </c>
      <c r="M137" s="80">
        <f>+L137/L$126</f>
        <v>0.14002752229810292</v>
      </c>
      <c r="N137" s="17">
        <f t="shared" si="140"/>
        <v>5084.99</v>
      </c>
      <c r="O137" s="80">
        <f>+N137/N$126</f>
        <v>8.7191993890204031E-2</v>
      </c>
      <c r="P137" s="17">
        <f t="shared" si="140"/>
        <v>7489.99999999998</v>
      </c>
      <c r="Q137" s="80">
        <f>+P137/P$126</f>
        <v>0.11011245436544398</v>
      </c>
      <c r="R137" s="17">
        <f t="shared" si="140"/>
        <v>6266.99</v>
      </c>
      <c r="S137" s="80">
        <f>+R137/R$126</f>
        <v>0.10201811259841866</v>
      </c>
      <c r="T137" s="17">
        <f t="shared" si="140"/>
        <v>4313.4299999999994</v>
      </c>
      <c r="U137" s="80">
        <f>+T137/T$126</f>
        <v>8.8929696671313715E-2</v>
      </c>
      <c r="V137" s="17">
        <f>+SUM(V138:V140)</f>
        <v>4313.4299999999994</v>
      </c>
      <c r="W137" s="177">
        <f>+V137/V$126</f>
        <v>8.4576660815713814E-2</v>
      </c>
      <c r="X137" s="81">
        <f t="shared" si="126"/>
        <v>0.14278640489479424</v>
      </c>
      <c r="Y137" s="81">
        <f t="shared" si="115"/>
        <v>9.1841490028482062E-2</v>
      </c>
      <c r="AA137" s="80"/>
      <c r="AB137" s="80">
        <f t="shared" si="116"/>
        <v>0.15172317126587823</v>
      </c>
      <c r="AC137" s="80">
        <f t="shared" si="117"/>
        <v>0.42833150273980519</v>
      </c>
      <c r="AD137" s="80">
        <f t="shared" si="118"/>
        <v>-1.1715737857174119E-4</v>
      </c>
      <c r="AE137" s="80">
        <f t="shared" si="119"/>
        <v>0</v>
      </c>
      <c r="AF137" s="80">
        <f t="shared" si="120"/>
        <v>8.3298004469545106E-2</v>
      </c>
      <c r="AG137" s="80">
        <f t="shared" si="121"/>
        <v>0.47296258203063923</v>
      </c>
      <c r="AH137" s="80">
        <f t="shared" si="122"/>
        <v>-0.16328571428571209</v>
      </c>
      <c r="AI137" s="80">
        <f t="shared" si="123"/>
        <v>-0.31172221433255842</v>
      </c>
      <c r="AJ137" s="80">
        <f t="shared" si="124"/>
        <v>0</v>
      </c>
      <c r="AK137" s="80">
        <f t="shared" si="127"/>
        <v>7.3465574945447268E-2</v>
      </c>
      <c r="AL137" s="80">
        <f t="shared" si="128"/>
        <v>-0.15833597620609016</v>
      </c>
      <c r="AN137" s="134">
        <v>305169.43</v>
      </c>
    </row>
    <row r="138" spans="2:40" x14ac:dyDescent="0.25">
      <c r="B138" s="7" t="s">
        <v>116</v>
      </c>
      <c r="C138" s="14">
        <v>330500</v>
      </c>
      <c r="D138" s="19">
        <v>2051.25</v>
      </c>
      <c r="E138" s="81">
        <f>+D138/D$137</f>
        <v>0.7187910643889619</v>
      </c>
      <c r="F138" s="19">
        <v>2484.23</v>
      </c>
      <c r="G138" s="81">
        <f>+F138/F$137</f>
        <v>0.75583634798112409</v>
      </c>
      <c r="H138" s="19">
        <v>3273.31</v>
      </c>
      <c r="I138" s="81">
        <f>+H138/H$137</f>
        <v>0.69725894336825334</v>
      </c>
      <c r="J138" s="19">
        <v>3272.76</v>
      </c>
      <c r="K138" s="81">
        <f>+J138/J$137</f>
        <v>0.69722347086380676</v>
      </c>
      <c r="L138" s="19">
        <v>3272.76</v>
      </c>
      <c r="M138" s="81">
        <f>+L138/L$137</f>
        <v>0.69722347086380676</v>
      </c>
      <c r="N138" s="19">
        <v>3663.76</v>
      </c>
      <c r="O138" s="81">
        <f>+N138/N$137</f>
        <v>0.72050485841663414</v>
      </c>
      <c r="P138" s="19">
        <v>4490.8100000000004</v>
      </c>
      <c r="Q138" s="81">
        <f>+P138/P$137</f>
        <v>0.59957409879839951</v>
      </c>
      <c r="R138" s="19">
        <v>4276.24</v>
      </c>
      <c r="S138" s="81">
        <f>+R138/R$137</f>
        <v>0.68234351738234778</v>
      </c>
      <c r="T138" s="19">
        <v>4276.24</v>
      </c>
      <c r="U138" s="81">
        <f>+T138/T$137</f>
        <v>0.99137809121743026</v>
      </c>
      <c r="V138" s="19">
        <v>4276.24</v>
      </c>
      <c r="W138" s="178">
        <f>+V138/V$137</f>
        <v>0.99137809121743026</v>
      </c>
      <c r="X138" s="81">
        <f t="shared" si="126"/>
        <v>0.75515119544981946</v>
      </c>
      <c r="Y138" s="81">
        <f t="shared" si="115"/>
        <v>0.8883665666057361</v>
      </c>
      <c r="AA138" s="81"/>
      <c r="AB138" s="81">
        <f t="shared" si="116"/>
        <v>0.21108104814137721</v>
      </c>
      <c r="AC138" s="81">
        <f t="shared" si="117"/>
        <v>0.31763564565277769</v>
      </c>
      <c r="AD138" s="81">
        <f t="shared" si="118"/>
        <v>-1.6802563765721157E-4</v>
      </c>
      <c r="AE138" s="81">
        <f t="shared" si="119"/>
        <v>0</v>
      </c>
      <c r="AF138" s="81">
        <f t="shared" si="120"/>
        <v>0.11947102751194709</v>
      </c>
      <c r="AG138" s="81">
        <f t="shared" si="121"/>
        <v>0.22573803960958144</v>
      </c>
      <c r="AH138" s="81">
        <f t="shared" si="122"/>
        <v>-4.7779799189901287E-2</v>
      </c>
      <c r="AI138" s="81">
        <f t="shared" si="123"/>
        <v>0</v>
      </c>
      <c r="AJ138" s="81">
        <f t="shared" si="124"/>
        <v>0</v>
      </c>
      <c r="AK138" s="81">
        <f t="shared" si="127"/>
        <v>9.1775326232013871E-2</v>
      </c>
      <c r="AL138" s="81">
        <f t="shared" si="128"/>
        <v>-1.5926599729967097E-2</v>
      </c>
      <c r="AN138" s="132">
        <v>181467.3599999999</v>
      </c>
    </row>
    <row r="139" spans="2:40" x14ac:dyDescent="0.25">
      <c r="B139" s="7" t="s">
        <v>117</v>
      </c>
      <c r="C139" s="14">
        <v>331000</v>
      </c>
      <c r="D139" s="19">
        <v>0</v>
      </c>
      <c r="E139" s="81">
        <f>+D139/D$137</f>
        <v>0</v>
      </c>
      <c r="F139" s="19">
        <v>0</v>
      </c>
      <c r="G139" s="81">
        <f>+F139/F$137</f>
        <v>0</v>
      </c>
      <c r="H139" s="19">
        <v>1421.23</v>
      </c>
      <c r="I139" s="81">
        <f>+H139/H$137</f>
        <v>0.30274105663174666</v>
      </c>
      <c r="J139" s="19">
        <v>0</v>
      </c>
      <c r="K139" s="81">
        <f>+J139/J$137</f>
        <v>0</v>
      </c>
      <c r="L139" s="19">
        <v>0</v>
      </c>
      <c r="M139" s="81">
        <f>+L139/L$137</f>
        <v>0</v>
      </c>
      <c r="N139" s="19">
        <v>0</v>
      </c>
      <c r="O139" s="81">
        <f>+N139/N$137</f>
        <v>0</v>
      </c>
      <c r="P139" s="19">
        <v>2999.18999999998</v>
      </c>
      <c r="Q139" s="81">
        <f>+P139/P$137</f>
        <v>0.40042590120160054</v>
      </c>
      <c r="R139" s="19">
        <v>0</v>
      </c>
      <c r="S139" s="81">
        <f>+R139/R$137</f>
        <v>0</v>
      </c>
      <c r="T139" s="19">
        <v>0</v>
      </c>
      <c r="U139" s="81">
        <f>+T139/T$137</f>
        <v>0</v>
      </c>
      <c r="V139" s="19">
        <v>0</v>
      </c>
      <c r="W139" s="178">
        <f>+V139/V$137</f>
        <v>0</v>
      </c>
      <c r="X139" s="81">
        <f t="shared" si="126"/>
        <v>7.0316695783334729E-2</v>
      </c>
      <c r="Y139" s="81">
        <f t="shared" si="115"/>
        <v>0</v>
      </c>
      <c r="AA139" s="81"/>
      <c r="AB139" s="81" t="e">
        <f t="shared" si="116"/>
        <v>#DIV/0!</v>
      </c>
      <c r="AC139" s="81" t="e">
        <f t="shared" si="117"/>
        <v>#DIV/0!</v>
      </c>
      <c r="AD139" s="81">
        <f t="shared" si="118"/>
        <v>-1</v>
      </c>
      <c r="AE139" s="81" t="e">
        <f t="shared" si="119"/>
        <v>#DIV/0!</v>
      </c>
      <c r="AF139" s="81" t="e">
        <f t="shared" si="120"/>
        <v>#DIV/0!</v>
      </c>
      <c r="AG139" s="81" t="e">
        <f t="shared" si="121"/>
        <v>#DIV/0!</v>
      </c>
      <c r="AH139" s="81">
        <f t="shared" si="122"/>
        <v>-1</v>
      </c>
      <c r="AI139" s="81" t="e">
        <f t="shared" si="123"/>
        <v>#DIV/0!</v>
      </c>
      <c r="AJ139" s="81" t="e">
        <f t="shared" si="124"/>
        <v>#DIV/0!</v>
      </c>
      <c r="AK139" s="81" t="e">
        <f t="shared" si="127"/>
        <v>#DIV/0!</v>
      </c>
      <c r="AL139" s="81" t="e">
        <f t="shared" si="128"/>
        <v>#DIV/0!</v>
      </c>
      <c r="AN139" s="132">
        <v>8554.31</v>
      </c>
    </row>
    <row r="140" spans="2:40" x14ac:dyDescent="0.25">
      <c r="B140" s="7" t="s">
        <v>118</v>
      </c>
      <c r="C140" s="14">
        <v>331500</v>
      </c>
      <c r="D140" s="19">
        <v>802.5</v>
      </c>
      <c r="E140" s="81">
        <f>+D140/D$137</f>
        <v>0.2812089356110381</v>
      </c>
      <c r="F140" s="19">
        <v>802.5</v>
      </c>
      <c r="G140" s="81">
        <f>+F140/F$137</f>
        <v>0.24416365201887591</v>
      </c>
      <c r="H140" s="19">
        <v>0</v>
      </c>
      <c r="I140" s="81">
        <f>+H140/H$137</f>
        <v>0</v>
      </c>
      <c r="J140" s="19">
        <v>1421.23</v>
      </c>
      <c r="K140" s="81">
        <f>+J140/J$137</f>
        <v>0.3027765291361933</v>
      </c>
      <c r="L140" s="19">
        <v>1421.23</v>
      </c>
      <c r="M140" s="81">
        <f>+L140/L$137</f>
        <v>0.3027765291361933</v>
      </c>
      <c r="N140" s="19">
        <v>1421.23</v>
      </c>
      <c r="O140" s="81">
        <f>+N140/N$137</f>
        <v>0.27949514158336597</v>
      </c>
      <c r="P140" s="19">
        <v>0</v>
      </c>
      <c r="Q140" s="81">
        <f>+P140/P$137</f>
        <v>0</v>
      </c>
      <c r="R140" s="19">
        <v>1990.75</v>
      </c>
      <c r="S140" s="81">
        <f>+R140/R$137</f>
        <v>0.31765648261765217</v>
      </c>
      <c r="T140" s="19">
        <v>37.19</v>
      </c>
      <c r="U140" s="81">
        <f>+T140/T$137</f>
        <v>8.6219087825697878E-3</v>
      </c>
      <c r="V140" s="19">
        <v>37.19</v>
      </c>
      <c r="W140" s="178">
        <f>+V140/V$137</f>
        <v>8.6219087825697878E-3</v>
      </c>
      <c r="X140" s="81">
        <f t="shared" si="126"/>
        <v>0.17453210876684583</v>
      </c>
      <c r="Y140" s="81">
        <f t="shared" si="115"/>
        <v>0.11163343339426392</v>
      </c>
      <c r="AA140" s="81"/>
      <c r="AB140" s="81">
        <f t="shared" si="116"/>
        <v>0</v>
      </c>
      <c r="AC140" s="81">
        <f t="shared" si="117"/>
        <v>-1</v>
      </c>
      <c r="AD140" s="81" t="e">
        <f t="shared" si="118"/>
        <v>#DIV/0!</v>
      </c>
      <c r="AE140" s="81">
        <f t="shared" si="119"/>
        <v>0</v>
      </c>
      <c r="AF140" s="81">
        <f t="shared" si="120"/>
        <v>0</v>
      </c>
      <c r="AG140" s="81">
        <f t="shared" si="121"/>
        <v>-1</v>
      </c>
      <c r="AH140" s="81" t="e">
        <f t="shared" si="122"/>
        <v>#DIV/0!</v>
      </c>
      <c r="AI140" s="81">
        <f t="shared" si="123"/>
        <v>-0.9813185985181464</v>
      </c>
      <c r="AJ140" s="81">
        <f t="shared" si="124"/>
        <v>0</v>
      </c>
      <c r="AK140" s="81" t="e">
        <f t="shared" si="127"/>
        <v>#DIV/0!</v>
      </c>
      <c r="AL140" s="81" t="e">
        <f t="shared" si="128"/>
        <v>#DIV/0!</v>
      </c>
      <c r="AN140" s="132">
        <v>115147.78</v>
      </c>
    </row>
    <row r="141" spans="2:40" x14ac:dyDescent="0.25">
      <c r="B141" s="6" t="s">
        <v>119</v>
      </c>
      <c r="C141" s="13">
        <v>340000</v>
      </c>
      <c r="D141" s="17">
        <f t="shared" ref="D141:R141" si="141">+D142</f>
        <v>0.43</v>
      </c>
      <c r="E141" s="80">
        <f>+D141/D$126</f>
        <v>2.2603871359791081E-5</v>
      </c>
      <c r="F141" s="17">
        <f t="shared" si="141"/>
        <v>0.43</v>
      </c>
      <c r="G141" s="80">
        <f>+F141/F$126</f>
        <v>2.0806961719061494E-5</v>
      </c>
      <c r="H141" s="17">
        <f t="shared" si="141"/>
        <v>0.43</v>
      </c>
      <c r="I141" s="80">
        <f>+H141/H$126</f>
        <v>2.1691426841879587E-5</v>
      </c>
      <c r="J141" s="17">
        <f t="shared" si="141"/>
        <v>0.43</v>
      </c>
      <c r="K141" s="80">
        <f>+J141/J$126</f>
        <v>2.4654789938322892E-5</v>
      </c>
      <c r="L141" s="17">
        <f t="shared" si="141"/>
        <v>0.43</v>
      </c>
      <c r="M141" s="80">
        <f>+L141/L$126</f>
        <v>1.2827431372496374E-5</v>
      </c>
      <c r="N141" s="17">
        <f t="shared" si="141"/>
        <v>0.43</v>
      </c>
      <c r="O141" s="80">
        <f>+N141/N$126</f>
        <v>7.3731821248001937E-6</v>
      </c>
      <c r="P141" s="17">
        <f t="shared" si="141"/>
        <v>0</v>
      </c>
      <c r="Q141" s="80">
        <f>+P141/P$126</f>
        <v>0</v>
      </c>
      <c r="R141" s="17">
        <f t="shared" si="141"/>
        <v>0</v>
      </c>
      <c r="S141" s="80">
        <f>+R141/R$126</f>
        <v>0</v>
      </c>
      <c r="T141" s="17">
        <v>0</v>
      </c>
      <c r="U141" s="80">
        <f>+T141/T$126</f>
        <v>0</v>
      </c>
      <c r="V141" s="17">
        <v>0</v>
      </c>
      <c r="W141" s="177">
        <f>+V141/V$126</f>
        <v>0</v>
      </c>
      <c r="X141" s="81">
        <f t="shared" si="126"/>
        <v>1.0995766335635163E-5</v>
      </c>
      <c r="Y141" s="81">
        <f t="shared" si="115"/>
        <v>0</v>
      </c>
      <c r="AA141" s="80"/>
      <c r="AB141" s="80">
        <f t="shared" si="116"/>
        <v>0</v>
      </c>
      <c r="AC141" s="80">
        <f t="shared" si="117"/>
        <v>0</v>
      </c>
      <c r="AD141" s="80">
        <f t="shared" si="118"/>
        <v>0</v>
      </c>
      <c r="AE141" s="80">
        <f t="shared" si="119"/>
        <v>0</v>
      </c>
      <c r="AF141" s="80">
        <f t="shared" si="120"/>
        <v>0</v>
      </c>
      <c r="AG141" s="80">
        <f t="shared" si="121"/>
        <v>-1</v>
      </c>
      <c r="AH141" s="80" t="e">
        <f t="shared" si="122"/>
        <v>#DIV/0!</v>
      </c>
      <c r="AI141" s="80" t="e">
        <f t="shared" si="123"/>
        <v>#DIV/0!</v>
      </c>
      <c r="AJ141" s="80" t="e">
        <f t="shared" si="124"/>
        <v>#DIV/0!</v>
      </c>
      <c r="AK141" s="80" t="e">
        <f t="shared" si="127"/>
        <v>#DIV/0!</v>
      </c>
      <c r="AL141" s="80" t="e">
        <f t="shared" si="128"/>
        <v>#DIV/0!</v>
      </c>
      <c r="AN141" s="132">
        <v>6086.5800000000008</v>
      </c>
    </row>
    <row r="142" spans="2:40" x14ac:dyDescent="0.25">
      <c r="B142" s="7" t="s">
        <v>120</v>
      </c>
      <c r="C142" s="14">
        <v>340500</v>
      </c>
      <c r="D142" s="19">
        <v>0.43</v>
      </c>
      <c r="E142" s="81">
        <f>+D142/D$141</f>
        <v>1</v>
      </c>
      <c r="F142" s="19">
        <v>0.43</v>
      </c>
      <c r="G142" s="81">
        <f>+F142/F$141</f>
        <v>1</v>
      </c>
      <c r="H142" s="19">
        <v>0.43</v>
      </c>
      <c r="I142" s="81">
        <f>+H142/H$141</f>
        <v>1</v>
      </c>
      <c r="J142" s="19">
        <v>0.43</v>
      </c>
      <c r="K142" s="81">
        <f>+J142/J$141</f>
        <v>1</v>
      </c>
      <c r="L142" s="19">
        <v>0.43</v>
      </c>
      <c r="M142" s="81">
        <f>+L142/L$141</f>
        <v>1</v>
      </c>
      <c r="N142" s="19">
        <v>0.43</v>
      </c>
      <c r="O142" s="81">
        <f>+N142/N$141</f>
        <v>1</v>
      </c>
      <c r="P142" s="19">
        <v>0</v>
      </c>
      <c r="Q142" s="81" t="e">
        <f>+P142/P$141</f>
        <v>#DIV/0!</v>
      </c>
      <c r="R142" s="19">
        <v>0</v>
      </c>
      <c r="S142" s="81" t="e">
        <f>+R142/R$141</f>
        <v>#DIV/0!</v>
      </c>
      <c r="T142" s="19">
        <v>0</v>
      </c>
      <c r="U142" s="81" t="e">
        <f>+T142/T$141</f>
        <v>#DIV/0!</v>
      </c>
      <c r="V142" s="19">
        <v>0</v>
      </c>
      <c r="W142" s="178" t="e">
        <f>+V142/V$141</f>
        <v>#DIV/0!</v>
      </c>
      <c r="X142" s="81" t="e">
        <f t="shared" si="126"/>
        <v>#DIV/0!</v>
      </c>
      <c r="Y142" s="81" t="e">
        <f t="shared" si="115"/>
        <v>#DIV/0!</v>
      </c>
      <c r="AA142" s="81"/>
      <c r="AB142" s="81">
        <f t="shared" si="116"/>
        <v>0</v>
      </c>
      <c r="AC142" s="81">
        <f t="shared" si="117"/>
        <v>0</v>
      </c>
      <c r="AD142" s="81">
        <f t="shared" si="118"/>
        <v>0</v>
      </c>
      <c r="AE142" s="81">
        <f t="shared" si="119"/>
        <v>0</v>
      </c>
      <c r="AF142" s="81">
        <f t="shared" si="120"/>
        <v>0</v>
      </c>
      <c r="AG142" s="81">
        <f t="shared" si="121"/>
        <v>-1</v>
      </c>
      <c r="AH142" s="81" t="e">
        <f t="shared" si="122"/>
        <v>#DIV/0!</v>
      </c>
      <c r="AI142" s="81" t="e">
        <f t="shared" si="123"/>
        <v>#DIV/0!</v>
      </c>
      <c r="AJ142" s="81" t="e">
        <f t="shared" si="124"/>
        <v>#DIV/0!</v>
      </c>
      <c r="AK142" s="81" t="e">
        <f t="shared" si="127"/>
        <v>#DIV/0!</v>
      </c>
      <c r="AL142" s="81" t="e">
        <f t="shared" si="128"/>
        <v>#DIV/0!</v>
      </c>
      <c r="AN142" s="132">
        <v>5128.92</v>
      </c>
    </row>
    <row r="143" spans="2:40" x14ac:dyDescent="0.25">
      <c r="B143" s="6" t="s">
        <v>121</v>
      </c>
      <c r="C143" s="13">
        <v>350000</v>
      </c>
      <c r="D143" s="19">
        <f>+D144</f>
        <v>0</v>
      </c>
      <c r="E143" s="81"/>
      <c r="F143" s="19">
        <f>+F144</f>
        <v>0</v>
      </c>
      <c r="G143" s="81"/>
      <c r="H143" s="19">
        <v>0</v>
      </c>
      <c r="I143" s="81"/>
      <c r="J143" s="19">
        <v>0</v>
      </c>
      <c r="K143" s="81"/>
      <c r="L143" s="19">
        <v>0</v>
      </c>
      <c r="M143" s="81"/>
      <c r="N143" s="19">
        <v>0</v>
      </c>
      <c r="O143" s="81"/>
      <c r="P143" s="19">
        <v>0</v>
      </c>
      <c r="Q143" s="81"/>
      <c r="R143" s="19">
        <v>0</v>
      </c>
      <c r="S143" s="81"/>
      <c r="T143" s="19">
        <v>0</v>
      </c>
      <c r="U143" s="81"/>
      <c r="V143" s="19">
        <v>0</v>
      </c>
      <c r="W143" s="178"/>
      <c r="X143" s="81" t="e">
        <f t="shared" si="126"/>
        <v>#DIV/0!</v>
      </c>
      <c r="Y143" s="81" t="e">
        <f t="shared" si="115"/>
        <v>#DIV/0!</v>
      </c>
      <c r="AA143" s="81"/>
      <c r="AB143" s="81" t="e">
        <f t="shared" si="116"/>
        <v>#DIV/0!</v>
      </c>
      <c r="AC143" s="81" t="e">
        <f t="shared" si="117"/>
        <v>#DIV/0!</v>
      </c>
      <c r="AD143" s="81" t="e">
        <f t="shared" si="118"/>
        <v>#DIV/0!</v>
      </c>
      <c r="AE143" s="81" t="e">
        <f t="shared" si="119"/>
        <v>#DIV/0!</v>
      </c>
      <c r="AF143" s="81" t="e">
        <f t="shared" si="120"/>
        <v>#DIV/0!</v>
      </c>
      <c r="AG143" s="81" t="e">
        <f t="shared" si="121"/>
        <v>#DIV/0!</v>
      </c>
      <c r="AH143" s="81" t="e">
        <f t="shared" si="122"/>
        <v>#DIV/0!</v>
      </c>
      <c r="AI143" s="81" t="e">
        <f t="shared" si="123"/>
        <v>#DIV/0!</v>
      </c>
      <c r="AJ143" s="81" t="e">
        <f t="shared" si="124"/>
        <v>#DIV/0!</v>
      </c>
      <c r="AK143" s="81" t="e">
        <f t="shared" si="127"/>
        <v>#DIV/0!</v>
      </c>
      <c r="AL143" s="81" t="e">
        <f t="shared" si="128"/>
        <v>#DIV/0!</v>
      </c>
      <c r="AN143" s="132">
        <v>0.24</v>
      </c>
    </row>
    <row r="144" spans="2:40" x14ac:dyDescent="0.25">
      <c r="B144" s="7" t="s">
        <v>122</v>
      </c>
      <c r="C144" s="14">
        <v>350500</v>
      </c>
      <c r="D144" s="19">
        <v>0</v>
      </c>
      <c r="E144" s="81"/>
      <c r="F144" s="19">
        <v>0</v>
      </c>
      <c r="G144" s="81"/>
      <c r="H144" s="19">
        <v>0</v>
      </c>
      <c r="I144" s="81"/>
      <c r="J144" s="19">
        <v>0</v>
      </c>
      <c r="K144" s="81"/>
      <c r="L144" s="19">
        <v>0</v>
      </c>
      <c r="M144" s="81"/>
      <c r="N144" s="19">
        <v>0</v>
      </c>
      <c r="O144" s="81"/>
      <c r="P144" s="19">
        <v>0</v>
      </c>
      <c r="Q144" s="81"/>
      <c r="R144" s="19">
        <v>0</v>
      </c>
      <c r="S144" s="81"/>
      <c r="T144" s="19">
        <v>0</v>
      </c>
      <c r="U144" s="81"/>
      <c r="V144" s="19">
        <v>0</v>
      </c>
      <c r="W144" s="178"/>
      <c r="X144" s="81" t="e">
        <f t="shared" si="126"/>
        <v>#DIV/0!</v>
      </c>
      <c r="Y144" s="81" t="e">
        <f t="shared" si="115"/>
        <v>#DIV/0!</v>
      </c>
      <c r="AA144" s="81"/>
      <c r="AB144" s="81" t="e">
        <f t="shared" si="116"/>
        <v>#DIV/0!</v>
      </c>
      <c r="AC144" s="81" t="e">
        <f t="shared" si="117"/>
        <v>#DIV/0!</v>
      </c>
      <c r="AD144" s="81" t="e">
        <f t="shared" si="118"/>
        <v>#DIV/0!</v>
      </c>
      <c r="AE144" s="81" t="e">
        <f t="shared" si="119"/>
        <v>#DIV/0!</v>
      </c>
      <c r="AF144" s="81" t="e">
        <f t="shared" si="120"/>
        <v>#DIV/0!</v>
      </c>
      <c r="AG144" s="81" t="e">
        <f t="shared" si="121"/>
        <v>#DIV/0!</v>
      </c>
      <c r="AH144" s="81" t="e">
        <f t="shared" si="122"/>
        <v>#DIV/0!</v>
      </c>
      <c r="AI144" s="81" t="e">
        <f t="shared" si="123"/>
        <v>#DIV/0!</v>
      </c>
      <c r="AJ144" s="81" t="e">
        <f t="shared" si="124"/>
        <v>#DIV/0!</v>
      </c>
      <c r="AK144" s="81" t="e">
        <f t="shared" si="127"/>
        <v>#DIV/0!</v>
      </c>
      <c r="AL144" s="81" t="e">
        <f t="shared" si="128"/>
        <v>#DIV/0!</v>
      </c>
      <c r="AN144" s="132">
        <v>0.24</v>
      </c>
    </row>
    <row r="145" spans="2:40" x14ac:dyDescent="0.25">
      <c r="B145" s="6" t="s">
        <v>123</v>
      </c>
      <c r="C145" s="13">
        <v>360000</v>
      </c>
      <c r="D145" s="17">
        <f>+SUM(D146:D147)</f>
        <v>2166.02</v>
      </c>
      <c r="E145" s="80">
        <f>+D145/D$126</f>
        <v>0.11386148242496436</v>
      </c>
      <c r="F145" s="17">
        <f>+SUM(F146:F147)</f>
        <v>3377.17</v>
      </c>
      <c r="G145" s="80">
        <f>+F145/F$126</f>
        <v>0.16341545792735562</v>
      </c>
      <c r="H145" s="17">
        <f>+SUM(H146:H147)</f>
        <v>496.77</v>
      </c>
      <c r="I145" s="80">
        <f>+H145/H$126</f>
        <v>2.5059651423815169E-2</v>
      </c>
      <c r="J145" s="17">
        <f t="shared" ref="J145:V145" si="142">SUM(J146:J147)</f>
        <v>-2730.7</v>
      </c>
      <c r="K145" s="80">
        <f>+J145/J$126</f>
        <v>-0.1565693834525077</v>
      </c>
      <c r="L145" s="17">
        <f t="shared" si="142"/>
        <v>5047.26</v>
      </c>
      <c r="M145" s="80">
        <f>+L145/L$126</f>
        <v>0.15056600295150246</v>
      </c>
      <c r="N145" s="17">
        <f t="shared" si="142"/>
        <v>5803.68</v>
      </c>
      <c r="O145" s="80">
        <f>+N145/N$126</f>
        <v>9.9515324730373E-2</v>
      </c>
      <c r="P145" s="17">
        <f t="shared" si="142"/>
        <v>1914.55</v>
      </c>
      <c r="Q145" s="80">
        <f>+P145/P$126</f>
        <v>2.8146301669607656E-2</v>
      </c>
      <c r="R145" s="17">
        <f t="shared" si="142"/>
        <v>-3656.9</v>
      </c>
      <c r="S145" s="80">
        <f>+R145/R$126</f>
        <v>-5.9529381084245742E-2</v>
      </c>
      <c r="T145" s="17">
        <f t="shared" si="142"/>
        <v>-12541.01</v>
      </c>
      <c r="U145" s="80">
        <f>+T145/T$126</f>
        <v>-0.25855716106483984</v>
      </c>
      <c r="V145" s="17">
        <f t="shared" si="142"/>
        <v>2429.81</v>
      </c>
      <c r="W145" s="177">
        <f>+V145/V$126</f>
        <v>4.7643109130466842E-2</v>
      </c>
      <c r="X145" s="81">
        <f t="shared" si="126"/>
        <v>1.5355140465649184E-2</v>
      </c>
      <c r="Y145" s="81">
        <f t="shared" si="115"/>
        <v>-9.0147811006206266E-2</v>
      </c>
      <c r="AA145" s="80"/>
      <c r="AB145" s="80">
        <f t="shared" si="116"/>
        <v>0.55915919520595381</v>
      </c>
      <c r="AC145" s="80">
        <f t="shared" si="117"/>
        <v>-0.85290346651190196</v>
      </c>
      <c r="AD145" s="80">
        <f t="shared" si="118"/>
        <v>-6.4969100388509773</v>
      </c>
      <c r="AE145" s="80">
        <f t="shared" si="119"/>
        <v>-2.8483392536712202</v>
      </c>
      <c r="AF145" s="80">
        <f t="shared" si="120"/>
        <v>0.14986745283579606</v>
      </c>
      <c r="AG145" s="80">
        <f t="shared" si="121"/>
        <v>-0.67011447908912969</v>
      </c>
      <c r="AH145" s="80">
        <f t="shared" si="122"/>
        <v>-2.9100571935964066</v>
      </c>
      <c r="AI145" s="80">
        <f t="shared" si="123"/>
        <v>2.4294101561431813</v>
      </c>
      <c r="AJ145" s="80">
        <f t="shared" si="124"/>
        <v>-1.1937491477959112</v>
      </c>
      <c r="AK145" s="80">
        <f t="shared" si="127"/>
        <v>-1.3148485305922906</v>
      </c>
      <c r="AL145" s="80">
        <f t="shared" si="128"/>
        <v>-0.55813206174971219</v>
      </c>
      <c r="AN145" s="134">
        <v>104588.7</v>
      </c>
    </row>
    <row r="146" spans="2:40" x14ac:dyDescent="0.25">
      <c r="B146" s="7" t="s">
        <v>124</v>
      </c>
      <c r="C146" s="14">
        <v>360500</v>
      </c>
      <c r="D146" s="19">
        <v>2166.02</v>
      </c>
      <c r="E146" s="81">
        <f>+D146/D$145</f>
        <v>1</v>
      </c>
      <c r="F146" s="19">
        <v>3377.17</v>
      </c>
      <c r="G146" s="81">
        <f>+F146/F$145</f>
        <v>1</v>
      </c>
      <c r="H146" s="19">
        <v>496.77</v>
      </c>
      <c r="I146" s="81">
        <f>+H146/H$145</f>
        <v>1</v>
      </c>
      <c r="J146" s="19">
        <v>0</v>
      </c>
      <c r="K146" s="81">
        <f>+J146/J$145</f>
        <v>0</v>
      </c>
      <c r="L146" s="19">
        <v>5047.26</v>
      </c>
      <c r="M146" s="81">
        <f>+L146/L$145</f>
        <v>1</v>
      </c>
      <c r="N146" s="19">
        <v>5803.68</v>
      </c>
      <c r="O146" s="81">
        <f>+N146/N$145</f>
        <v>1</v>
      </c>
      <c r="P146" s="19">
        <v>1914.55</v>
      </c>
      <c r="Q146" s="81">
        <f>+P146/P$145</f>
        <v>1</v>
      </c>
      <c r="R146" s="19">
        <v>0</v>
      </c>
      <c r="S146" s="81">
        <f>+R146/R$145</f>
        <v>0</v>
      </c>
      <c r="T146" s="19">
        <v>-12541.01</v>
      </c>
      <c r="U146" s="81">
        <f>+T146/T$145</f>
        <v>1</v>
      </c>
      <c r="V146" s="19">
        <v>2429.81</v>
      </c>
      <c r="W146" s="178">
        <f>+V146/V$145</f>
        <v>1</v>
      </c>
      <c r="X146" s="81">
        <f t="shared" si="126"/>
        <v>0.8</v>
      </c>
      <c r="Y146" s="81">
        <f t="shared" si="115"/>
        <v>0.66666666666666663</v>
      </c>
      <c r="AA146" s="81"/>
      <c r="AB146" s="81">
        <f t="shared" si="116"/>
        <v>0.55915919520595381</v>
      </c>
      <c r="AC146" s="81">
        <f t="shared" si="117"/>
        <v>-0.85290346651190196</v>
      </c>
      <c r="AD146" s="81">
        <f t="shared" si="118"/>
        <v>-1</v>
      </c>
      <c r="AE146" s="81" t="e">
        <f t="shared" si="119"/>
        <v>#DIV/0!</v>
      </c>
      <c r="AF146" s="81">
        <f t="shared" si="120"/>
        <v>0.14986745283579606</v>
      </c>
      <c r="AG146" s="81">
        <f t="shared" si="121"/>
        <v>-0.67011447908912969</v>
      </c>
      <c r="AH146" s="81">
        <f t="shared" si="122"/>
        <v>-1</v>
      </c>
      <c r="AI146" s="81" t="e">
        <f t="shared" si="123"/>
        <v>#DIV/0!</v>
      </c>
      <c r="AJ146" s="81">
        <f t="shared" si="124"/>
        <v>-1.1937491477959112</v>
      </c>
      <c r="AK146" s="81" t="e">
        <f t="shared" si="127"/>
        <v>#DIV/0!</v>
      </c>
      <c r="AL146" s="81" t="e">
        <f t="shared" si="128"/>
        <v>#DIV/0!</v>
      </c>
      <c r="AN146" s="132">
        <v>135457.23999999996</v>
      </c>
    </row>
    <row r="147" spans="2:40" x14ac:dyDescent="0.25">
      <c r="B147" s="7" t="s">
        <v>125</v>
      </c>
      <c r="C147" s="14">
        <v>361000</v>
      </c>
      <c r="D147" s="76">
        <v>0</v>
      </c>
      <c r="E147" s="81">
        <f>+D147/D$145</f>
        <v>0</v>
      </c>
      <c r="F147" s="76">
        <v>0</v>
      </c>
      <c r="G147" s="81">
        <f>+F147/F$145</f>
        <v>0</v>
      </c>
      <c r="H147" s="76">
        <v>0</v>
      </c>
      <c r="I147" s="81">
        <f>+H147/H$145</f>
        <v>0</v>
      </c>
      <c r="J147" s="76">
        <f>-2730.7</f>
        <v>-2730.7</v>
      </c>
      <c r="K147" s="81">
        <f>+J147/J$145</f>
        <v>1</v>
      </c>
      <c r="L147" s="76">
        <v>0</v>
      </c>
      <c r="M147" s="81">
        <f>+L147/L$145</f>
        <v>0</v>
      </c>
      <c r="N147" s="76">
        <v>0</v>
      </c>
      <c r="O147" s="81">
        <f>+N147/N$145</f>
        <v>0</v>
      </c>
      <c r="P147" s="76">
        <v>0</v>
      </c>
      <c r="Q147" s="81">
        <f>+P147/P$145</f>
        <v>0</v>
      </c>
      <c r="R147" s="76">
        <v>-3656.9</v>
      </c>
      <c r="S147" s="81">
        <f>+R147/R$145</f>
        <v>1</v>
      </c>
      <c r="T147" s="76">
        <v>0</v>
      </c>
      <c r="U147" s="81">
        <f>+T147/T$145</f>
        <v>0</v>
      </c>
      <c r="V147" s="76">
        <v>0</v>
      </c>
      <c r="W147" s="178">
        <f>+V147/V$145</f>
        <v>0</v>
      </c>
      <c r="X147" s="81">
        <f t="shared" si="126"/>
        <v>0.2</v>
      </c>
      <c r="Y147" s="81">
        <f t="shared" si="115"/>
        <v>0.33333333333333331</v>
      </c>
      <c r="AA147" s="81"/>
      <c r="AB147" s="81" t="e">
        <f t="shared" si="116"/>
        <v>#DIV/0!</v>
      </c>
      <c r="AC147" s="81" t="e">
        <f t="shared" si="117"/>
        <v>#DIV/0!</v>
      </c>
      <c r="AD147" s="81" t="e">
        <f t="shared" si="118"/>
        <v>#DIV/0!</v>
      </c>
      <c r="AE147" s="81">
        <f t="shared" si="119"/>
        <v>-1</v>
      </c>
      <c r="AF147" s="81" t="e">
        <f t="shared" si="120"/>
        <v>#DIV/0!</v>
      </c>
      <c r="AG147" s="81" t="e">
        <f t="shared" si="121"/>
        <v>#DIV/0!</v>
      </c>
      <c r="AH147" s="81" t="e">
        <f t="shared" si="122"/>
        <v>#DIV/0!</v>
      </c>
      <c r="AI147" s="81">
        <f t="shared" si="123"/>
        <v>-1</v>
      </c>
      <c r="AJ147" s="81" t="e">
        <f t="shared" si="124"/>
        <v>#DIV/0!</v>
      </c>
      <c r="AK147" s="81" t="e">
        <f t="shared" si="127"/>
        <v>#DIV/0!</v>
      </c>
      <c r="AL147" s="81" t="e">
        <f t="shared" si="128"/>
        <v>#DIV/0!</v>
      </c>
      <c r="AN147" s="132">
        <v>-30868.54</v>
      </c>
    </row>
    <row r="148" spans="2:40" s="34" customFormat="1" x14ac:dyDescent="0.25">
      <c r="B148" s="6" t="s">
        <v>126</v>
      </c>
      <c r="C148" s="13">
        <v>370000</v>
      </c>
      <c r="D148" s="17">
        <f>+SUM(D149:D150)</f>
        <v>0</v>
      </c>
      <c r="E148" s="80">
        <f>+D148/D$126</f>
        <v>0</v>
      </c>
      <c r="F148" s="17">
        <f t="shared" ref="F148:R148" si="143">+SUM(F149:F150)</f>
        <v>0</v>
      </c>
      <c r="G148" s="80">
        <f>+F148/F$126</f>
        <v>0</v>
      </c>
      <c r="H148" s="17">
        <f t="shared" si="143"/>
        <v>0</v>
      </c>
      <c r="I148" s="80">
        <f>+H148/H$126</f>
        <v>0</v>
      </c>
      <c r="J148" s="17">
        <f t="shared" si="143"/>
        <v>0</v>
      </c>
      <c r="K148" s="80">
        <f>+J148/J$126</f>
        <v>0</v>
      </c>
      <c r="L148" s="17">
        <f t="shared" si="143"/>
        <v>-2730.7</v>
      </c>
      <c r="M148" s="80">
        <f>+L148/L$126</f>
        <v>-8.1460155462501974E-2</v>
      </c>
      <c r="N148" s="17">
        <v>0</v>
      </c>
      <c r="O148" s="80">
        <f>+N148/N$126</f>
        <v>0</v>
      </c>
      <c r="P148" s="17">
        <f t="shared" si="143"/>
        <v>0</v>
      </c>
      <c r="Q148" s="80">
        <f>+P148/P$126</f>
        <v>0</v>
      </c>
      <c r="R148" s="17">
        <f t="shared" si="143"/>
        <v>0</v>
      </c>
      <c r="S148" s="80">
        <f>+R148/R$126</f>
        <v>0</v>
      </c>
      <c r="T148" s="17">
        <f>+SUM(T149:T150)</f>
        <v>-3656.9</v>
      </c>
      <c r="U148" s="80">
        <f>+T148/T$126</f>
        <v>-7.5394061746064542E-2</v>
      </c>
      <c r="V148" s="17">
        <v>-16197.92</v>
      </c>
      <c r="W148" s="177">
        <f>+V148/V$126</f>
        <v>-0.31760477989907504</v>
      </c>
      <c r="X148" s="81">
        <f t="shared" si="126"/>
        <v>-4.7445899710764156E-2</v>
      </c>
      <c r="Y148" s="81">
        <f t="shared" si="115"/>
        <v>-0.13099961388171319</v>
      </c>
      <c r="AA148" s="80"/>
      <c r="AB148" s="80" t="e">
        <f t="shared" si="116"/>
        <v>#DIV/0!</v>
      </c>
      <c r="AC148" s="80" t="e">
        <f t="shared" si="117"/>
        <v>#DIV/0!</v>
      </c>
      <c r="AD148" s="80" t="e">
        <f t="shared" si="118"/>
        <v>#DIV/0!</v>
      </c>
      <c r="AE148" s="80" t="e">
        <f t="shared" si="119"/>
        <v>#DIV/0!</v>
      </c>
      <c r="AF148" s="80">
        <f t="shared" si="120"/>
        <v>-1</v>
      </c>
      <c r="AG148" s="80" t="e">
        <f t="shared" si="121"/>
        <v>#DIV/0!</v>
      </c>
      <c r="AH148" s="80" t="e">
        <f t="shared" si="122"/>
        <v>#DIV/0!</v>
      </c>
      <c r="AI148" s="80" t="e">
        <f t="shared" si="123"/>
        <v>#DIV/0!</v>
      </c>
      <c r="AJ148" s="80">
        <f t="shared" si="124"/>
        <v>3.4294128906997732</v>
      </c>
      <c r="AK148" s="80" t="e">
        <f t="shared" si="127"/>
        <v>#DIV/0!</v>
      </c>
      <c r="AL148" s="80" t="e">
        <f t="shared" si="128"/>
        <v>#DIV/0!</v>
      </c>
      <c r="AN148" s="134">
        <v>-48207.94</v>
      </c>
    </row>
    <row r="149" spans="2:40" x14ac:dyDescent="0.25">
      <c r="B149" s="7" t="s">
        <v>127</v>
      </c>
      <c r="C149" s="14">
        <v>370500</v>
      </c>
      <c r="D149" s="17">
        <v>0</v>
      </c>
      <c r="E149" s="81" t="e">
        <f>+D149/D$148</f>
        <v>#DIV/0!</v>
      </c>
      <c r="F149" s="17">
        <v>0</v>
      </c>
      <c r="G149" s="81" t="e">
        <f>+F149/F$148</f>
        <v>#DIV/0!</v>
      </c>
      <c r="H149" s="17">
        <v>0</v>
      </c>
      <c r="I149" s="81" t="e">
        <f>+H149/H$148</f>
        <v>#DIV/0!</v>
      </c>
      <c r="J149" s="17">
        <v>0</v>
      </c>
      <c r="K149" s="81" t="e">
        <f>+J149/J$148</f>
        <v>#DIV/0!</v>
      </c>
      <c r="L149" s="17">
        <v>0</v>
      </c>
      <c r="M149" s="81">
        <f>+L149/L$148</f>
        <v>0</v>
      </c>
      <c r="N149" s="17">
        <v>0</v>
      </c>
      <c r="O149" s="81" t="e">
        <f>+N149/N$148</f>
        <v>#DIV/0!</v>
      </c>
      <c r="P149" s="17">
        <v>0</v>
      </c>
      <c r="Q149" s="81" t="e">
        <f>+P149/P$148</f>
        <v>#DIV/0!</v>
      </c>
      <c r="R149" s="17">
        <v>0</v>
      </c>
      <c r="S149" s="81" t="e">
        <f>+R149/R$148</f>
        <v>#DIV/0!</v>
      </c>
      <c r="T149" s="76">
        <v>-3656.9</v>
      </c>
      <c r="U149" s="81">
        <f>+T149/T$148</f>
        <v>1</v>
      </c>
      <c r="V149" s="17">
        <v>0</v>
      </c>
      <c r="W149" s="178">
        <f>+V149/V$148</f>
        <v>0</v>
      </c>
      <c r="X149" s="81" t="e">
        <f t="shared" si="126"/>
        <v>#DIV/0!</v>
      </c>
      <c r="Y149" s="81" t="e">
        <f t="shared" si="115"/>
        <v>#DIV/0!</v>
      </c>
      <c r="AA149" s="80"/>
      <c r="AB149" s="81" t="e">
        <f t="shared" si="116"/>
        <v>#DIV/0!</v>
      </c>
      <c r="AC149" s="81" t="e">
        <f t="shared" si="117"/>
        <v>#DIV/0!</v>
      </c>
      <c r="AD149" s="81" t="e">
        <f t="shared" si="118"/>
        <v>#DIV/0!</v>
      </c>
      <c r="AE149" s="81" t="e">
        <f t="shared" si="119"/>
        <v>#DIV/0!</v>
      </c>
      <c r="AF149" s="81" t="e">
        <f t="shared" si="120"/>
        <v>#DIV/0!</v>
      </c>
      <c r="AG149" s="81" t="e">
        <f t="shared" si="121"/>
        <v>#DIV/0!</v>
      </c>
      <c r="AH149" s="81" t="e">
        <f t="shared" si="122"/>
        <v>#DIV/0!</v>
      </c>
      <c r="AI149" s="81" t="e">
        <f t="shared" si="123"/>
        <v>#DIV/0!</v>
      </c>
      <c r="AJ149" s="81">
        <f t="shared" si="124"/>
        <v>-1</v>
      </c>
      <c r="AK149" s="81" t="e">
        <f t="shared" si="127"/>
        <v>#DIV/0!</v>
      </c>
      <c r="AL149" s="81" t="e">
        <f t="shared" si="128"/>
        <v>#DIV/0!</v>
      </c>
      <c r="AN149" s="132">
        <v>22001.949999999993</v>
      </c>
    </row>
    <row r="150" spans="2:40" x14ac:dyDescent="0.25">
      <c r="B150" s="7" t="s">
        <v>128</v>
      </c>
      <c r="C150" s="14">
        <v>371000</v>
      </c>
      <c r="D150" s="27">
        <v>0</v>
      </c>
      <c r="E150" s="82" t="e">
        <f>+D150/D$148</f>
        <v>#DIV/0!</v>
      </c>
      <c r="F150" s="27">
        <v>0</v>
      </c>
      <c r="G150" s="82" t="e">
        <f>+F150/F$148</f>
        <v>#DIV/0!</v>
      </c>
      <c r="H150" s="27">
        <v>0</v>
      </c>
      <c r="I150" s="82" t="e">
        <f>+H150/H$148</f>
        <v>#DIV/0!</v>
      </c>
      <c r="J150" s="27">
        <v>0</v>
      </c>
      <c r="K150" s="82" t="e">
        <f>+J150/J$148</f>
        <v>#DIV/0!</v>
      </c>
      <c r="L150" s="94">
        <v>-2730.7</v>
      </c>
      <c r="M150" s="82">
        <f>+L150/L$148</f>
        <v>1</v>
      </c>
      <c r="N150" s="27">
        <v>0</v>
      </c>
      <c r="O150" s="82" t="e">
        <f>+N150/N$148</f>
        <v>#DIV/0!</v>
      </c>
      <c r="P150" s="27">
        <v>0</v>
      </c>
      <c r="Q150" s="82" t="e">
        <f>+P150/P$148</f>
        <v>#DIV/0!</v>
      </c>
      <c r="R150" s="27">
        <v>0</v>
      </c>
      <c r="S150" s="82" t="e">
        <f>+R150/R$148</f>
        <v>#DIV/0!</v>
      </c>
      <c r="T150" s="27">
        <v>0</v>
      </c>
      <c r="U150" s="82">
        <f>+T150/T$148</f>
        <v>0</v>
      </c>
      <c r="V150" s="94">
        <v>16197.92</v>
      </c>
      <c r="W150" s="179">
        <f>+V150/V$148</f>
        <v>-1</v>
      </c>
      <c r="X150" s="82" t="e">
        <f t="shared" si="126"/>
        <v>#DIV/0!</v>
      </c>
      <c r="Y150" s="82" t="e">
        <f t="shared" si="115"/>
        <v>#DIV/0!</v>
      </c>
      <c r="AA150" s="98"/>
      <c r="AB150" s="82" t="e">
        <f t="shared" si="116"/>
        <v>#DIV/0!</v>
      </c>
      <c r="AC150" s="82" t="e">
        <f t="shared" si="117"/>
        <v>#DIV/0!</v>
      </c>
      <c r="AD150" s="82" t="e">
        <f t="shared" si="118"/>
        <v>#DIV/0!</v>
      </c>
      <c r="AE150" s="82" t="e">
        <f t="shared" si="119"/>
        <v>#DIV/0!</v>
      </c>
      <c r="AF150" s="82">
        <f t="shared" si="120"/>
        <v>-1</v>
      </c>
      <c r="AG150" s="82" t="e">
        <f t="shared" si="121"/>
        <v>#DIV/0!</v>
      </c>
      <c r="AH150" s="82" t="e">
        <f t="shared" si="122"/>
        <v>#DIV/0!</v>
      </c>
      <c r="AI150" s="82" t="e">
        <f t="shared" si="123"/>
        <v>#DIV/0!</v>
      </c>
      <c r="AJ150" s="82" t="e">
        <f t="shared" si="124"/>
        <v>#DIV/0!</v>
      </c>
      <c r="AK150" s="82" t="e">
        <f t="shared" si="127"/>
        <v>#DIV/0!</v>
      </c>
      <c r="AL150" s="82" t="e">
        <f t="shared" si="128"/>
        <v>#DIV/0!</v>
      </c>
      <c r="AN150" s="133">
        <v>70209.89</v>
      </c>
    </row>
    <row r="151" spans="2:40" x14ac:dyDescent="0.25">
      <c r="B151" s="11"/>
      <c r="C151" s="12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173"/>
      <c r="AL151" s="173"/>
      <c r="AN151" s="122"/>
    </row>
    <row r="152" spans="2:40" x14ac:dyDescent="0.25">
      <c r="B152" s="11" t="s">
        <v>166</v>
      </c>
      <c r="C152" s="12"/>
      <c r="D152" s="18">
        <f t="shared" ref="D152:V152" si="144">+D126+D85</f>
        <v>21498.609999999997</v>
      </c>
      <c r="E152" s="10"/>
      <c r="F152" s="18">
        <f t="shared" si="144"/>
        <v>23105.050000000003</v>
      </c>
      <c r="G152" s="10"/>
      <c r="H152" s="18">
        <f t="shared" si="144"/>
        <v>25209.08</v>
      </c>
      <c r="I152" s="10"/>
      <c r="J152" s="18">
        <f t="shared" si="144"/>
        <v>18677.21</v>
      </c>
      <c r="K152" s="10"/>
      <c r="L152" s="18">
        <f t="shared" si="144"/>
        <v>36354.79</v>
      </c>
      <c r="M152" s="10"/>
      <c r="N152" s="18">
        <f t="shared" si="144"/>
        <v>64249.450000000012</v>
      </c>
      <c r="O152" s="10"/>
      <c r="P152" s="18">
        <f t="shared" si="144"/>
        <v>71295.23</v>
      </c>
      <c r="Q152" s="10"/>
      <c r="R152" s="18">
        <f t="shared" si="144"/>
        <v>63727.45</v>
      </c>
      <c r="S152" s="10"/>
      <c r="T152" s="18">
        <f t="shared" si="144"/>
        <v>51089.3</v>
      </c>
      <c r="U152" s="10"/>
      <c r="V152" s="18">
        <f t="shared" si="144"/>
        <v>54035.829999999994</v>
      </c>
      <c r="W152" s="10"/>
      <c r="X152" s="10"/>
      <c r="Y152" s="10"/>
      <c r="AA152" s="93"/>
      <c r="AB152" s="93">
        <f t="shared" si="116"/>
        <v>7.4722970461811547E-2</v>
      </c>
      <c r="AC152" s="93">
        <f t="shared" si="117"/>
        <v>9.1063641931092926E-2</v>
      </c>
      <c r="AD152" s="93">
        <f t="shared" si="118"/>
        <v>-0.25910782940115235</v>
      </c>
      <c r="AE152" s="93">
        <f t="shared" si="119"/>
        <v>0.94647862287782825</v>
      </c>
      <c r="AF152" s="93">
        <f t="shared" si="120"/>
        <v>0.76728981242911898</v>
      </c>
      <c r="AG152" s="93">
        <f t="shared" si="121"/>
        <v>0.10966288427371726</v>
      </c>
      <c r="AH152" s="93">
        <f t="shared" si="122"/>
        <v>-0.10614707323337058</v>
      </c>
      <c r="AI152" s="93">
        <f t="shared" si="123"/>
        <v>-0.19831563949287151</v>
      </c>
      <c r="AJ152" s="189">
        <f t="shared" si="124"/>
        <v>5.7674111800318097E-2</v>
      </c>
      <c r="AK152" s="190">
        <f t="shared" si="127"/>
        <v>0.16481350018294363</v>
      </c>
      <c r="AL152" s="190">
        <f t="shared" si="128"/>
        <v>-8.2262866975308005E-2</v>
      </c>
      <c r="AN152" s="18">
        <f>+AN126+AN85</f>
        <v>3930089.5300000012</v>
      </c>
    </row>
    <row r="153" spans="2:40" x14ac:dyDescent="0.25">
      <c r="B153" s="11"/>
      <c r="C153" s="12"/>
      <c r="D153" s="22">
        <f t="shared" ref="D153:V153" si="145">+D152-D6</f>
        <v>0</v>
      </c>
      <c r="E153" s="22"/>
      <c r="F153" s="22">
        <f t="shared" si="145"/>
        <v>0</v>
      </c>
      <c r="G153" s="22"/>
      <c r="H153" s="22">
        <f t="shared" si="145"/>
        <v>0</v>
      </c>
      <c r="I153" s="22"/>
      <c r="J153" s="22">
        <f t="shared" si="145"/>
        <v>0</v>
      </c>
      <c r="K153" s="22"/>
      <c r="L153" s="22">
        <f t="shared" si="145"/>
        <v>0</v>
      </c>
      <c r="M153" s="22"/>
      <c r="N153" s="22">
        <f t="shared" si="145"/>
        <v>0</v>
      </c>
      <c r="O153" s="22"/>
      <c r="P153" s="22">
        <f t="shared" si="145"/>
        <v>0</v>
      </c>
      <c r="Q153" s="22"/>
      <c r="R153" s="22">
        <f t="shared" si="145"/>
        <v>0</v>
      </c>
      <c r="S153" s="22"/>
      <c r="T153" s="22">
        <f t="shared" si="145"/>
        <v>0</v>
      </c>
      <c r="U153" s="22"/>
      <c r="V153" s="22">
        <f t="shared" si="145"/>
        <v>0</v>
      </c>
      <c r="W153" s="22"/>
      <c r="X153" s="22"/>
      <c r="Y153" s="22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N153" s="22">
        <f>+AN152-AN6</f>
        <v>5.0000001676380634E-2</v>
      </c>
    </row>
    <row r="154" spans="2:40" x14ac:dyDescent="0.25">
      <c r="B154" s="11"/>
      <c r="C154" s="12"/>
      <c r="D154" s="10"/>
      <c r="E154" s="10"/>
      <c r="F154" s="10"/>
      <c r="G154" s="1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N154" s="122"/>
    </row>
    <row r="155" spans="2:40" x14ac:dyDescent="0.25">
      <c r="B155" s="11"/>
      <c r="C155" s="12"/>
      <c r="D155" s="10"/>
      <c r="E155" s="10"/>
      <c r="F155" s="10"/>
      <c r="G155" s="1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N155" s="122"/>
    </row>
    <row r="156" spans="2:40" x14ac:dyDescent="0.25">
      <c r="B156" s="54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N156" s="122"/>
    </row>
    <row r="157" spans="2:40" x14ac:dyDescent="0.25">
      <c r="B157" s="385" t="s">
        <v>181</v>
      </c>
      <c r="C157" s="385"/>
      <c r="D157" s="384" t="s">
        <v>1</v>
      </c>
      <c r="E157" s="384"/>
      <c r="F157" s="384"/>
      <c r="G157" s="384"/>
      <c r="H157" s="384"/>
      <c r="I157" s="384"/>
      <c r="J157" s="384"/>
      <c r="K157" s="384"/>
      <c r="L157" s="384"/>
      <c r="M157" s="384"/>
      <c r="N157" s="384"/>
      <c r="O157" s="384"/>
      <c r="P157" s="384"/>
      <c r="Q157" s="384"/>
      <c r="R157" s="384"/>
      <c r="S157" s="384"/>
      <c r="T157" s="384"/>
      <c r="U157" s="384"/>
      <c r="V157" s="384"/>
      <c r="W157" s="86"/>
      <c r="X157" s="147"/>
      <c r="Y157" s="147"/>
      <c r="AA157" s="389" t="s">
        <v>176</v>
      </c>
      <c r="AB157" s="390"/>
      <c r="AC157" s="390"/>
      <c r="AD157" s="390"/>
      <c r="AE157" s="390"/>
      <c r="AF157" s="390"/>
      <c r="AG157" s="390"/>
      <c r="AH157" s="390"/>
      <c r="AI157" s="390"/>
      <c r="AJ157" s="390"/>
      <c r="AK157" s="390"/>
      <c r="AL157" s="391"/>
      <c r="AN157" s="130" t="s">
        <v>225</v>
      </c>
    </row>
    <row r="158" spans="2:40" ht="33.75" x14ac:dyDescent="0.25">
      <c r="C158" s="4" t="s">
        <v>0</v>
      </c>
      <c r="D158" s="87">
        <v>2003</v>
      </c>
      <c r="E158" s="83" t="s">
        <v>209</v>
      </c>
      <c r="F158" s="36">
        <v>2004</v>
      </c>
      <c r="G158" s="83" t="s">
        <v>209</v>
      </c>
      <c r="H158" s="26">
        <v>2005</v>
      </c>
      <c r="I158" s="83" t="s">
        <v>209</v>
      </c>
      <c r="J158" s="36">
        <v>2006</v>
      </c>
      <c r="K158" s="83" t="s">
        <v>209</v>
      </c>
      <c r="L158" s="26">
        <v>2007</v>
      </c>
      <c r="M158" s="83" t="s">
        <v>209</v>
      </c>
      <c r="N158" s="26">
        <v>2008</v>
      </c>
      <c r="O158" s="83" t="s">
        <v>209</v>
      </c>
      <c r="P158" s="26">
        <v>2009</v>
      </c>
      <c r="Q158" s="83" t="s">
        <v>209</v>
      </c>
      <c r="R158" s="26">
        <v>2010</v>
      </c>
      <c r="S158" s="83" t="s">
        <v>209</v>
      </c>
      <c r="T158" s="26">
        <v>2011</v>
      </c>
      <c r="U158" s="83" t="s">
        <v>209</v>
      </c>
      <c r="V158" s="26">
        <v>2012</v>
      </c>
      <c r="W158" s="187" t="s">
        <v>209</v>
      </c>
      <c r="X158" s="85" t="s">
        <v>243</v>
      </c>
      <c r="Y158" s="85" t="s">
        <v>244</v>
      </c>
      <c r="AA158" s="191">
        <v>2003</v>
      </c>
      <c r="AB158" s="191">
        <v>2004</v>
      </c>
      <c r="AC158" s="191">
        <v>2005</v>
      </c>
      <c r="AD158" s="191">
        <v>2006</v>
      </c>
      <c r="AE158" s="191">
        <v>2007</v>
      </c>
      <c r="AF158" s="191">
        <v>2008</v>
      </c>
      <c r="AG158" s="191">
        <v>2009</v>
      </c>
      <c r="AH158" s="191">
        <v>2010</v>
      </c>
      <c r="AI158" s="191">
        <v>2011</v>
      </c>
      <c r="AJ158" s="191">
        <v>2012</v>
      </c>
      <c r="AK158" s="186" t="s">
        <v>243</v>
      </c>
      <c r="AL158" s="175" t="s">
        <v>244</v>
      </c>
      <c r="AN158" s="131">
        <v>2012</v>
      </c>
    </row>
    <row r="159" spans="2:40" s="34" customFormat="1" x14ac:dyDescent="0.25">
      <c r="B159" s="33" t="s">
        <v>182</v>
      </c>
      <c r="C159" s="12">
        <v>400000</v>
      </c>
      <c r="D159" s="46">
        <f>+D160+D167</f>
        <v>9083.35</v>
      </c>
      <c r="E159" s="90">
        <f>+E160+E167</f>
        <v>0.99999999999999989</v>
      </c>
      <c r="F159" s="46">
        <f t="shared" ref="F159:V159" si="146">+F160+F167</f>
        <v>11962.86</v>
      </c>
      <c r="G159" s="90">
        <f>+G160+G167</f>
        <v>1</v>
      </c>
      <c r="H159" s="48">
        <f t="shared" si="146"/>
        <v>10536.189999999999</v>
      </c>
      <c r="I159" s="90">
        <f>+I160+I167</f>
        <v>1</v>
      </c>
      <c r="J159" s="48">
        <f t="shared" si="146"/>
        <v>8972.5949999999993</v>
      </c>
      <c r="K159" s="90">
        <f>+K160+K167</f>
        <v>1.0000000000000002</v>
      </c>
      <c r="L159" s="48">
        <f t="shared" si="146"/>
        <v>16616.79</v>
      </c>
      <c r="M159" s="90">
        <f>+M160+M167</f>
        <v>0.99999999999999989</v>
      </c>
      <c r="N159" s="48">
        <f t="shared" si="146"/>
        <v>26240.38</v>
      </c>
      <c r="O159" s="90">
        <f>+O160+O167</f>
        <v>1</v>
      </c>
      <c r="P159" s="48">
        <f t="shared" si="146"/>
        <v>22830.63</v>
      </c>
      <c r="Q159" s="90">
        <f>+Q160+Q167</f>
        <v>1</v>
      </c>
      <c r="R159" s="48">
        <f t="shared" si="146"/>
        <v>19455.29</v>
      </c>
      <c r="S159" s="90">
        <f>+S160+S167</f>
        <v>1.0000000000000002</v>
      </c>
      <c r="T159" s="48">
        <f t="shared" si="146"/>
        <v>20456.55</v>
      </c>
      <c r="U159" s="90">
        <f>+U160+U167</f>
        <v>1</v>
      </c>
      <c r="V159" s="48">
        <f t="shared" si="146"/>
        <v>21562.45</v>
      </c>
      <c r="W159" s="182">
        <f>+W160+W167</f>
        <v>1</v>
      </c>
      <c r="X159" s="80">
        <f t="shared" ref="X159:X179" si="147">+AVERAGE(E159,G159,I159,K159,M159,O159,Q159,S159,U159,W159)</f>
        <v>1</v>
      </c>
      <c r="Y159" s="80">
        <f t="shared" ref="Y159:Y179" si="148">+AVERAGE(S159,U159,W159)</f>
        <v>1</v>
      </c>
      <c r="AA159" s="89"/>
      <c r="AB159" s="90">
        <f t="shared" ref="AB159:AB179" si="149">+(F159-D159)/D159</f>
        <v>0.31700969356019532</v>
      </c>
      <c r="AC159" s="90">
        <f t="shared" ref="AC159:AC179" si="150">+(H159-F159)/F159</f>
        <v>-0.11925827101545966</v>
      </c>
      <c r="AD159" s="90">
        <f t="shared" ref="AD159:AD179" si="151">+(J159-H159)/H159</f>
        <v>-0.14840231620728173</v>
      </c>
      <c r="AE159" s="90">
        <f t="shared" ref="AE159:AE179" si="152">+(L159-J159)/J159</f>
        <v>0.85194918526914476</v>
      </c>
      <c r="AF159" s="90">
        <f t="shared" ref="AF159:AF179" si="153">+(N159-L159)/L159</f>
        <v>0.57914855998059789</v>
      </c>
      <c r="AG159" s="90">
        <f t="shared" ref="AG159:AG179" si="154">+(P159-N159)/N159</f>
        <v>-0.12994285905920569</v>
      </c>
      <c r="AH159" s="90">
        <f t="shared" ref="AH159:AH179" si="155">+(R159-P159)/P159</f>
        <v>-0.14784261319113839</v>
      </c>
      <c r="AI159" s="90">
        <f t="shared" ref="AI159:AI179" si="156">+(T159-R159)/R159</f>
        <v>5.1464665908346696E-2</v>
      </c>
      <c r="AJ159" s="182">
        <f t="shared" ref="AJ159:AJ179" si="157">+(V159-T159)/T159</f>
        <v>5.4060924251645631E-2</v>
      </c>
      <c r="AK159" s="85">
        <f>+AVERAGE(AB159:AJ159)</f>
        <v>0.14535410772187163</v>
      </c>
      <c r="AL159" s="85">
        <f>+AVERAGE(AH159:AJ159)</f>
        <v>-1.4105674343715355E-2</v>
      </c>
      <c r="AN159" s="134">
        <v>1317383.76</v>
      </c>
    </row>
    <row r="160" spans="2:40" s="34" customFormat="1" x14ac:dyDescent="0.25">
      <c r="B160" s="11" t="s">
        <v>129</v>
      </c>
      <c r="C160" s="12">
        <v>410000</v>
      </c>
      <c r="D160" s="46">
        <f t="shared" ref="D160:T160" si="158">+SUM(D161:D166)</f>
        <v>7693.78</v>
      </c>
      <c r="E160" s="88">
        <f>+D160/D$159</f>
        <v>0.84702009721083071</v>
      </c>
      <c r="F160" s="46">
        <f t="shared" si="158"/>
        <v>9948.93</v>
      </c>
      <c r="G160" s="88">
        <f>+F160/F$159</f>
        <v>0.83165146127263878</v>
      </c>
      <c r="H160" s="46">
        <f t="shared" si="158"/>
        <v>9533.4599999999991</v>
      </c>
      <c r="I160" s="88">
        <f>+H160/H$159</f>
        <v>0.90482992428952025</v>
      </c>
      <c r="J160" s="46">
        <f t="shared" si="158"/>
        <v>7852.71</v>
      </c>
      <c r="K160" s="88">
        <f>+J160/J$159</f>
        <v>0.87518828165096063</v>
      </c>
      <c r="L160" s="46">
        <f t="shared" si="158"/>
        <v>12975.3</v>
      </c>
      <c r="M160" s="88">
        <f>+L160/L$159</f>
        <v>0.78085478603268133</v>
      </c>
      <c r="N160" s="46">
        <f t="shared" si="158"/>
        <v>22013.27</v>
      </c>
      <c r="O160" s="88">
        <f>+N160/N$159</f>
        <v>0.83890820178671188</v>
      </c>
      <c r="P160" s="46">
        <f t="shared" si="158"/>
        <v>19837.29</v>
      </c>
      <c r="Q160" s="88">
        <f>+P160/P$159</f>
        <v>0.86888929477635968</v>
      </c>
      <c r="R160" s="46">
        <f t="shared" si="158"/>
        <v>17522.870000000003</v>
      </c>
      <c r="S160" s="88">
        <f>+R160/R$159</f>
        <v>0.90067380131573482</v>
      </c>
      <c r="T160" s="48">
        <f t="shared" si="158"/>
        <v>18807.3</v>
      </c>
      <c r="U160" s="88">
        <f>+T160/T$159</f>
        <v>0.91937790096570537</v>
      </c>
      <c r="V160" s="48">
        <f>+SUM(V161:V166)</f>
        <v>19620.84</v>
      </c>
      <c r="W160" s="183">
        <f>+V160/V$159</f>
        <v>0.90995411003851601</v>
      </c>
      <c r="X160" s="80">
        <f t="shared" si="147"/>
        <v>0.86773478593396602</v>
      </c>
      <c r="Y160" s="80">
        <f t="shared" si="148"/>
        <v>0.91000193743998548</v>
      </c>
      <c r="AA160" s="89"/>
      <c r="AB160" s="90">
        <f t="shared" si="149"/>
        <v>0.2931133980956046</v>
      </c>
      <c r="AC160" s="90">
        <f t="shared" si="150"/>
        <v>-4.1760269697344456E-2</v>
      </c>
      <c r="AD160" s="90">
        <f t="shared" si="151"/>
        <v>-0.17630010510349856</v>
      </c>
      <c r="AE160" s="90">
        <f t="shared" si="152"/>
        <v>0.65233403500192921</v>
      </c>
      <c r="AF160" s="90">
        <f t="shared" si="153"/>
        <v>0.6965519101677804</v>
      </c>
      <c r="AG160" s="90">
        <f t="shared" si="154"/>
        <v>-9.8848558165143097E-2</v>
      </c>
      <c r="AH160" s="90">
        <f t="shared" si="155"/>
        <v>-0.11667017016941317</v>
      </c>
      <c r="AI160" s="90">
        <f t="shared" si="156"/>
        <v>7.330020710077724E-2</v>
      </c>
      <c r="AJ160" s="182">
        <f t="shared" si="157"/>
        <v>4.3256607806543251E-2</v>
      </c>
      <c r="AK160" s="80">
        <f t="shared" ref="AK160:AK179" si="159">+AVERAGE(AB160:AJ160)</f>
        <v>0.14721967278191506</v>
      </c>
      <c r="AL160" s="80">
        <f t="shared" ref="AL160:AL179" si="160">+AVERAGE(AH160:AJ160)</f>
        <v>-3.7785087364225478E-5</v>
      </c>
      <c r="AN160" s="134">
        <v>1234191.5100000005</v>
      </c>
    </row>
    <row r="161" spans="2:40" s="34" customFormat="1" ht="30" x14ac:dyDescent="0.25">
      <c r="B161" s="8" t="s">
        <v>186</v>
      </c>
      <c r="C161" s="32">
        <v>410400</v>
      </c>
      <c r="D161" s="46">
        <v>0</v>
      </c>
      <c r="E161" s="89">
        <f t="shared" ref="E161:E166" si="161">+D161/D$160</f>
        <v>0</v>
      </c>
      <c r="F161" s="46">
        <v>0</v>
      </c>
      <c r="G161" s="89">
        <f t="shared" ref="G161:G166" si="162">+F161/F$160</f>
        <v>0</v>
      </c>
      <c r="H161" s="48">
        <v>0</v>
      </c>
      <c r="I161" s="89">
        <f t="shared" ref="I161:I166" si="163">+H161/H$160</f>
        <v>0</v>
      </c>
      <c r="J161" s="48">
        <v>0</v>
      </c>
      <c r="K161" s="89">
        <f t="shared" ref="K161:K166" si="164">+J161/J$160</f>
        <v>0</v>
      </c>
      <c r="L161" s="48">
        <v>0</v>
      </c>
      <c r="M161" s="89">
        <f t="shared" ref="M161:M166" si="165">+L161/L$160</f>
        <v>0</v>
      </c>
      <c r="N161" s="48">
        <v>0</v>
      </c>
      <c r="O161" s="89">
        <f>+N161/N$160</f>
        <v>0</v>
      </c>
      <c r="P161" s="42">
        <v>145.88</v>
      </c>
      <c r="Q161" s="89">
        <f>+P161/P$160</f>
        <v>7.3538270600470119E-3</v>
      </c>
      <c r="R161" s="42">
        <v>485.83</v>
      </c>
      <c r="S161" s="89">
        <f t="shared" ref="S161:S166" si="166">+R161/R$160</f>
        <v>2.7725481042774381E-2</v>
      </c>
      <c r="T161" s="42">
        <v>748.1</v>
      </c>
      <c r="U161" s="89">
        <f t="shared" ref="U161:U166" si="167">+T161/T$160</f>
        <v>3.9777107825153001E-2</v>
      </c>
      <c r="V161" s="42">
        <v>289.32</v>
      </c>
      <c r="W161" s="184">
        <f t="shared" ref="W161:W166" si="168">+V161/V$160</f>
        <v>1.4745546062248099E-2</v>
      </c>
      <c r="X161" s="81">
        <f t="shared" si="147"/>
        <v>8.9601961990222502E-3</v>
      </c>
      <c r="Y161" s="81">
        <f t="shared" si="148"/>
        <v>2.741604497672516E-2</v>
      </c>
      <c r="AA161" s="89"/>
      <c r="AB161" s="89" t="e">
        <f t="shared" si="149"/>
        <v>#DIV/0!</v>
      </c>
      <c r="AC161" s="89" t="e">
        <f t="shared" si="150"/>
        <v>#DIV/0!</v>
      </c>
      <c r="AD161" s="89" t="e">
        <f t="shared" si="151"/>
        <v>#DIV/0!</v>
      </c>
      <c r="AE161" s="89" t="e">
        <f t="shared" si="152"/>
        <v>#DIV/0!</v>
      </c>
      <c r="AF161" s="89" t="e">
        <f t="shared" si="153"/>
        <v>#DIV/0!</v>
      </c>
      <c r="AG161" s="89" t="e">
        <f t="shared" si="154"/>
        <v>#DIV/0!</v>
      </c>
      <c r="AH161" s="89">
        <f t="shared" si="155"/>
        <v>2.3303400054839596</v>
      </c>
      <c r="AI161" s="89">
        <f t="shared" si="156"/>
        <v>0.53983903834674685</v>
      </c>
      <c r="AJ161" s="184">
        <f t="shared" si="157"/>
        <v>-0.61326025932361983</v>
      </c>
      <c r="AK161" s="81" t="e">
        <f t="shared" si="159"/>
        <v>#DIV/0!</v>
      </c>
      <c r="AL161" s="81">
        <f t="shared" si="160"/>
        <v>0.75230626150236224</v>
      </c>
      <c r="AN161" s="136">
        <v>16173.719999999996</v>
      </c>
    </row>
    <row r="162" spans="2:40" x14ac:dyDescent="0.25">
      <c r="B162" s="8" t="s">
        <v>130</v>
      </c>
      <c r="C162" s="32">
        <v>412500</v>
      </c>
      <c r="D162" s="41">
        <v>0</v>
      </c>
      <c r="E162" s="89">
        <f t="shared" si="161"/>
        <v>0</v>
      </c>
      <c r="F162" s="41">
        <v>0</v>
      </c>
      <c r="G162" s="89">
        <f t="shared" si="162"/>
        <v>0</v>
      </c>
      <c r="H162" s="42">
        <v>0</v>
      </c>
      <c r="I162" s="89">
        <f t="shared" si="163"/>
        <v>0</v>
      </c>
      <c r="J162" s="42">
        <v>0</v>
      </c>
      <c r="K162" s="89">
        <f t="shared" si="164"/>
        <v>0</v>
      </c>
      <c r="L162" s="42">
        <v>0</v>
      </c>
      <c r="M162" s="89">
        <f t="shared" si="165"/>
        <v>0</v>
      </c>
      <c r="N162" s="42">
        <v>0</v>
      </c>
      <c r="O162" s="89">
        <f t="shared" ref="O162:Q166" si="169">+N162/N$160</f>
        <v>0</v>
      </c>
      <c r="P162" s="42">
        <v>0</v>
      </c>
      <c r="Q162" s="89">
        <f t="shared" si="169"/>
        <v>0</v>
      </c>
      <c r="R162" s="42">
        <v>0</v>
      </c>
      <c r="S162" s="89">
        <f t="shared" si="166"/>
        <v>0</v>
      </c>
      <c r="T162" s="42">
        <v>0</v>
      </c>
      <c r="U162" s="89">
        <f t="shared" si="167"/>
        <v>0</v>
      </c>
      <c r="V162" s="42">
        <v>0</v>
      </c>
      <c r="W162" s="184">
        <f t="shared" si="168"/>
        <v>0</v>
      </c>
      <c r="X162" s="81">
        <f t="shared" si="147"/>
        <v>0</v>
      </c>
      <c r="Y162" s="81">
        <f t="shared" si="148"/>
        <v>0</v>
      </c>
      <c r="AA162" s="89"/>
      <c r="AB162" s="89" t="e">
        <f t="shared" si="149"/>
        <v>#DIV/0!</v>
      </c>
      <c r="AC162" s="89" t="e">
        <f t="shared" si="150"/>
        <v>#DIV/0!</v>
      </c>
      <c r="AD162" s="89" t="e">
        <f t="shared" si="151"/>
        <v>#DIV/0!</v>
      </c>
      <c r="AE162" s="89" t="e">
        <f t="shared" si="152"/>
        <v>#DIV/0!</v>
      </c>
      <c r="AF162" s="89" t="e">
        <f t="shared" si="153"/>
        <v>#DIV/0!</v>
      </c>
      <c r="AG162" s="89" t="e">
        <f t="shared" si="154"/>
        <v>#DIV/0!</v>
      </c>
      <c r="AH162" s="89" t="e">
        <f t="shared" si="155"/>
        <v>#DIV/0!</v>
      </c>
      <c r="AI162" s="89" t="e">
        <f t="shared" si="156"/>
        <v>#DIV/0!</v>
      </c>
      <c r="AJ162" s="184" t="e">
        <f t="shared" si="157"/>
        <v>#DIV/0!</v>
      </c>
      <c r="AK162" s="81" t="e">
        <f t="shared" si="159"/>
        <v>#DIV/0!</v>
      </c>
      <c r="AL162" s="81" t="e">
        <f t="shared" si="160"/>
        <v>#DIV/0!</v>
      </c>
      <c r="AN162" s="132">
        <v>38284.810000000005</v>
      </c>
    </row>
    <row r="163" spans="2:40" x14ac:dyDescent="0.25">
      <c r="B163" s="8" t="s">
        <v>131</v>
      </c>
      <c r="C163" s="32">
        <v>412900</v>
      </c>
      <c r="D163" s="41">
        <v>0</v>
      </c>
      <c r="E163" s="89">
        <f t="shared" si="161"/>
        <v>0</v>
      </c>
      <c r="F163" s="41">
        <v>0</v>
      </c>
      <c r="G163" s="89">
        <f t="shared" si="162"/>
        <v>0</v>
      </c>
      <c r="H163" s="42">
        <v>0</v>
      </c>
      <c r="I163" s="89">
        <f t="shared" si="163"/>
        <v>0</v>
      </c>
      <c r="J163" s="42">
        <v>0</v>
      </c>
      <c r="K163" s="89">
        <f t="shared" si="164"/>
        <v>0</v>
      </c>
      <c r="L163" s="42">
        <v>0</v>
      </c>
      <c r="M163" s="89">
        <f t="shared" si="165"/>
        <v>0</v>
      </c>
      <c r="N163" s="42">
        <v>0</v>
      </c>
      <c r="O163" s="89">
        <f t="shared" si="169"/>
        <v>0</v>
      </c>
      <c r="P163" s="42">
        <v>0</v>
      </c>
      <c r="Q163" s="89">
        <f t="shared" si="169"/>
        <v>0</v>
      </c>
      <c r="R163" s="42">
        <v>0</v>
      </c>
      <c r="S163" s="89">
        <f t="shared" si="166"/>
        <v>0</v>
      </c>
      <c r="T163" s="42">
        <v>0</v>
      </c>
      <c r="U163" s="89">
        <f t="shared" si="167"/>
        <v>0</v>
      </c>
      <c r="V163" s="42">
        <v>0</v>
      </c>
      <c r="W163" s="184">
        <f t="shared" si="168"/>
        <v>0</v>
      </c>
      <c r="X163" s="81">
        <f t="shared" si="147"/>
        <v>0</v>
      </c>
      <c r="Y163" s="81">
        <f t="shared" si="148"/>
        <v>0</v>
      </c>
      <c r="AA163" s="89"/>
      <c r="AB163" s="89" t="e">
        <f t="shared" si="149"/>
        <v>#DIV/0!</v>
      </c>
      <c r="AC163" s="89" t="e">
        <f t="shared" si="150"/>
        <v>#DIV/0!</v>
      </c>
      <c r="AD163" s="89" t="e">
        <f t="shared" si="151"/>
        <v>#DIV/0!</v>
      </c>
      <c r="AE163" s="89" t="e">
        <f t="shared" si="152"/>
        <v>#DIV/0!</v>
      </c>
      <c r="AF163" s="89" t="e">
        <f t="shared" si="153"/>
        <v>#DIV/0!</v>
      </c>
      <c r="AG163" s="89" t="e">
        <f t="shared" si="154"/>
        <v>#DIV/0!</v>
      </c>
      <c r="AH163" s="89" t="e">
        <f t="shared" si="155"/>
        <v>#DIV/0!</v>
      </c>
      <c r="AI163" s="89" t="e">
        <f t="shared" si="156"/>
        <v>#DIV/0!</v>
      </c>
      <c r="AJ163" s="184" t="e">
        <f t="shared" si="157"/>
        <v>#DIV/0!</v>
      </c>
      <c r="AK163" s="81" t="e">
        <f t="shared" si="159"/>
        <v>#DIV/0!</v>
      </c>
      <c r="AL163" s="81" t="e">
        <f t="shared" si="160"/>
        <v>#DIV/0!</v>
      </c>
      <c r="AN163" s="132">
        <v>70823.040000000008</v>
      </c>
    </row>
    <row r="164" spans="2:40" x14ac:dyDescent="0.25">
      <c r="B164" s="8" t="s">
        <v>132</v>
      </c>
      <c r="C164" s="32">
        <v>414000</v>
      </c>
      <c r="D164" s="41">
        <v>7693.78</v>
      </c>
      <c r="E164" s="89">
        <f t="shared" si="161"/>
        <v>1</v>
      </c>
      <c r="F164" s="41">
        <v>9924.77</v>
      </c>
      <c r="G164" s="89">
        <f t="shared" si="162"/>
        <v>0.99757159815176111</v>
      </c>
      <c r="H164" s="42">
        <v>9533.4599999999991</v>
      </c>
      <c r="I164" s="89">
        <f t="shared" si="163"/>
        <v>1</v>
      </c>
      <c r="J164" s="42">
        <v>7852.71</v>
      </c>
      <c r="K164" s="89">
        <f t="shared" si="164"/>
        <v>1</v>
      </c>
      <c r="L164" s="42">
        <v>12975.3</v>
      </c>
      <c r="M164" s="89">
        <f t="shared" si="165"/>
        <v>1</v>
      </c>
      <c r="N164" s="42">
        <v>21998.79</v>
      </c>
      <c r="O164" s="89">
        <f t="shared" si="169"/>
        <v>0.99934221494580322</v>
      </c>
      <c r="P164" s="42">
        <v>19691.41</v>
      </c>
      <c r="Q164" s="89">
        <f t="shared" si="169"/>
        <v>0.99264617293995294</v>
      </c>
      <c r="R164" s="42">
        <v>17033.48</v>
      </c>
      <c r="S164" s="89">
        <f t="shared" si="166"/>
        <v>0.97207135589090121</v>
      </c>
      <c r="T164" s="42">
        <v>18059.2</v>
      </c>
      <c r="U164" s="89">
        <f t="shared" si="167"/>
        <v>0.96022289217484713</v>
      </c>
      <c r="V164" s="42">
        <v>19331.52</v>
      </c>
      <c r="W164" s="184">
        <f t="shared" si="168"/>
        <v>0.98525445393775191</v>
      </c>
      <c r="X164" s="81">
        <f t="shared" si="147"/>
        <v>0.99071086880410186</v>
      </c>
      <c r="Y164" s="81">
        <f t="shared" si="148"/>
        <v>0.97251623400116671</v>
      </c>
      <c r="AA164" s="89"/>
      <c r="AB164" s="89">
        <f t="shared" si="149"/>
        <v>0.28997319912968667</v>
      </c>
      <c r="AC164" s="89">
        <f t="shared" si="150"/>
        <v>-3.9427613939668253E-2</v>
      </c>
      <c r="AD164" s="89">
        <f t="shared" si="151"/>
        <v>-0.17630010510349856</v>
      </c>
      <c r="AE164" s="89">
        <f t="shared" si="152"/>
        <v>0.65233403500192921</v>
      </c>
      <c r="AF164" s="89">
        <f t="shared" si="153"/>
        <v>0.69543594367760297</v>
      </c>
      <c r="AG164" s="89">
        <f t="shared" si="154"/>
        <v>-0.10488667785819134</v>
      </c>
      <c r="AH164" s="89">
        <f t="shared" si="155"/>
        <v>-0.13497916096409554</v>
      </c>
      <c r="AI164" s="89">
        <f t="shared" si="156"/>
        <v>6.0217876793233163E-2</v>
      </c>
      <c r="AJ164" s="184">
        <f t="shared" si="157"/>
        <v>7.045273323292281E-2</v>
      </c>
      <c r="AK164" s="81">
        <f t="shared" si="159"/>
        <v>0.14586891444110234</v>
      </c>
      <c r="AL164" s="81">
        <f t="shared" si="160"/>
        <v>-1.4361836459798559E-3</v>
      </c>
      <c r="AN164" s="132">
        <v>180646.97</v>
      </c>
    </row>
    <row r="165" spans="2:40" x14ac:dyDescent="0.25">
      <c r="B165" s="8" t="s">
        <v>187</v>
      </c>
      <c r="C165" s="32">
        <v>419000</v>
      </c>
      <c r="D165" s="41"/>
      <c r="E165" s="89">
        <f t="shared" si="161"/>
        <v>0</v>
      </c>
      <c r="F165" s="41"/>
      <c r="G165" s="89">
        <f t="shared" si="162"/>
        <v>0</v>
      </c>
      <c r="H165" s="42"/>
      <c r="I165" s="89">
        <f t="shared" si="163"/>
        <v>0</v>
      </c>
      <c r="J165" s="42"/>
      <c r="K165" s="89">
        <f t="shared" si="164"/>
        <v>0</v>
      </c>
      <c r="L165" s="42"/>
      <c r="M165" s="89">
        <f t="shared" si="165"/>
        <v>0</v>
      </c>
      <c r="N165" s="42"/>
      <c r="O165" s="89">
        <f t="shared" si="169"/>
        <v>0</v>
      </c>
      <c r="P165" s="42"/>
      <c r="Q165" s="89">
        <f t="shared" si="169"/>
        <v>0</v>
      </c>
      <c r="R165" s="42">
        <v>3.56</v>
      </c>
      <c r="S165" s="89">
        <f t="shared" si="166"/>
        <v>2.0316306632418089E-4</v>
      </c>
      <c r="T165" s="42">
        <v>0</v>
      </c>
      <c r="U165" s="89">
        <f t="shared" si="167"/>
        <v>0</v>
      </c>
      <c r="V165" s="42">
        <v>0</v>
      </c>
      <c r="W165" s="184">
        <f t="shared" si="168"/>
        <v>0</v>
      </c>
      <c r="X165" s="81">
        <f t="shared" si="147"/>
        <v>2.0316306632418089E-5</v>
      </c>
      <c r="Y165" s="81">
        <f t="shared" si="148"/>
        <v>6.7721022108060294E-5</v>
      </c>
      <c r="AA165" s="89"/>
      <c r="AB165" s="89" t="e">
        <f t="shared" si="149"/>
        <v>#DIV/0!</v>
      </c>
      <c r="AC165" s="89" t="e">
        <f t="shared" si="150"/>
        <v>#DIV/0!</v>
      </c>
      <c r="AD165" s="89" t="e">
        <f t="shared" si="151"/>
        <v>#DIV/0!</v>
      </c>
      <c r="AE165" s="89" t="e">
        <f t="shared" si="152"/>
        <v>#DIV/0!</v>
      </c>
      <c r="AF165" s="89" t="e">
        <f t="shared" si="153"/>
        <v>#DIV/0!</v>
      </c>
      <c r="AG165" s="89" t="e">
        <f t="shared" si="154"/>
        <v>#DIV/0!</v>
      </c>
      <c r="AH165" s="89" t="e">
        <f t="shared" si="155"/>
        <v>#DIV/0!</v>
      </c>
      <c r="AI165" s="89">
        <f t="shared" si="156"/>
        <v>-1</v>
      </c>
      <c r="AJ165" s="184" t="e">
        <f t="shared" si="157"/>
        <v>#DIV/0!</v>
      </c>
      <c r="AK165" s="81" t="e">
        <f t="shared" si="159"/>
        <v>#DIV/0!</v>
      </c>
      <c r="AL165" s="81" t="e">
        <f t="shared" si="160"/>
        <v>#DIV/0!</v>
      </c>
      <c r="AN165" s="132">
        <v>1462.4900000000002</v>
      </c>
    </row>
    <row r="166" spans="2:40" x14ac:dyDescent="0.25">
      <c r="B166" s="8" t="s">
        <v>47</v>
      </c>
      <c r="C166" s="32">
        <v>419500</v>
      </c>
      <c r="D166" s="41">
        <v>0</v>
      </c>
      <c r="E166" s="89">
        <f t="shared" si="161"/>
        <v>0</v>
      </c>
      <c r="F166" s="41">
        <v>24.16</v>
      </c>
      <c r="G166" s="89">
        <f t="shared" si="162"/>
        <v>2.4284018482389562E-3</v>
      </c>
      <c r="H166" s="42">
        <v>0</v>
      </c>
      <c r="I166" s="89">
        <f t="shared" si="163"/>
        <v>0</v>
      </c>
      <c r="J166" s="42">
        <v>0</v>
      </c>
      <c r="K166" s="89">
        <f t="shared" si="164"/>
        <v>0</v>
      </c>
      <c r="L166" s="42">
        <v>0</v>
      </c>
      <c r="M166" s="89">
        <f t="shared" si="165"/>
        <v>0</v>
      </c>
      <c r="N166" s="42">
        <v>14.48</v>
      </c>
      <c r="O166" s="89">
        <f t="shared" si="169"/>
        <v>6.5778505419685494E-4</v>
      </c>
      <c r="P166" s="42">
        <v>0</v>
      </c>
      <c r="Q166" s="89">
        <f t="shared" si="169"/>
        <v>0</v>
      </c>
      <c r="R166" s="42">
        <v>0</v>
      </c>
      <c r="S166" s="89">
        <f t="shared" si="166"/>
        <v>0</v>
      </c>
      <c r="T166" s="42">
        <v>0</v>
      </c>
      <c r="U166" s="89">
        <f t="shared" si="167"/>
        <v>0</v>
      </c>
      <c r="V166" s="42">
        <v>0</v>
      </c>
      <c r="W166" s="184">
        <f t="shared" si="168"/>
        <v>0</v>
      </c>
      <c r="X166" s="81">
        <f t="shared" si="147"/>
        <v>3.0861869024358113E-4</v>
      </c>
      <c r="Y166" s="81">
        <f t="shared" si="148"/>
        <v>0</v>
      </c>
      <c r="AA166" s="89"/>
      <c r="AB166" s="89" t="e">
        <f t="shared" si="149"/>
        <v>#DIV/0!</v>
      </c>
      <c r="AC166" s="89">
        <f t="shared" si="150"/>
        <v>-1</v>
      </c>
      <c r="AD166" s="89" t="e">
        <f t="shared" si="151"/>
        <v>#DIV/0!</v>
      </c>
      <c r="AE166" s="89" t="e">
        <f t="shared" si="152"/>
        <v>#DIV/0!</v>
      </c>
      <c r="AF166" s="89" t="e">
        <f t="shared" si="153"/>
        <v>#DIV/0!</v>
      </c>
      <c r="AG166" s="89">
        <f t="shared" si="154"/>
        <v>-1</v>
      </c>
      <c r="AH166" s="89" t="e">
        <f t="shared" si="155"/>
        <v>#DIV/0!</v>
      </c>
      <c r="AI166" s="89" t="e">
        <f t="shared" si="156"/>
        <v>#DIV/0!</v>
      </c>
      <c r="AJ166" s="184" t="e">
        <f t="shared" si="157"/>
        <v>#DIV/0!</v>
      </c>
      <c r="AK166" s="81" t="e">
        <f t="shared" si="159"/>
        <v>#DIV/0!</v>
      </c>
      <c r="AL166" s="81" t="e">
        <f t="shared" si="160"/>
        <v>#DIV/0!</v>
      </c>
      <c r="AN166" s="132">
        <v>42265.599999999999</v>
      </c>
    </row>
    <row r="167" spans="2:40" s="34" customFormat="1" x14ac:dyDescent="0.25">
      <c r="B167" s="11" t="s">
        <v>133</v>
      </c>
      <c r="C167" s="12">
        <v>420000</v>
      </c>
      <c r="D167" s="46">
        <f t="shared" ref="D167:V167" si="170">+SUM(D168:D179)</f>
        <v>1389.57</v>
      </c>
      <c r="E167" s="90">
        <f>+D167/D$159</f>
        <v>0.15297990278916918</v>
      </c>
      <c r="F167" s="46">
        <f t="shared" si="170"/>
        <v>2013.9299999999998</v>
      </c>
      <c r="G167" s="90">
        <f>+F167/F$159</f>
        <v>0.16834853872736116</v>
      </c>
      <c r="H167" s="48">
        <f t="shared" si="170"/>
        <v>1002.7299999999999</v>
      </c>
      <c r="I167" s="90">
        <f>+H167/H$159</f>
        <v>9.5170075710479793E-2</v>
      </c>
      <c r="J167" s="48">
        <f t="shared" si="170"/>
        <v>1119.885</v>
      </c>
      <c r="K167" s="90">
        <f>+J167/J$159</f>
        <v>0.12481171834903949</v>
      </c>
      <c r="L167" s="48">
        <f t="shared" si="170"/>
        <v>3641.4900000000002</v>
      </c>
      <c r="M167" s="90">
        <f>+L167/L$159</f>
        <v>0.21914521396731859</v>
      </c>
      <c r="N167" s="48">
        <f t="shared" si="170"/>
        <v>4227.1100000000006</v>
      </c>
      <c r="O167" s="90">
        <f>+N167/N$159</f>
        <v>0.16109179821328809</v>
      </c>
      <c r="P167" s="48">
        <f t="shared" si="170"/>
        <v>2993.34</v>
      </c>
      <c r="Q167" s="90">
        <f>+P167/P$159</f>
        <v>0.13111070522364035</v>
      </c>
      <c r="R167" s="48">
        <f t="shared" si="170"/>
        <v>1932.4199999999998</v>
      </c>
      <c r="S167" s="90">
        <f>+R167/R$159</f>
        <v>9.9326198684265302E-2</v>
      </c>
      <c r="T167" s="48">
        <f t="shared" si="170"/>
        <v>1649.2500000000002</v>
      </c>
      <c r="U167" s="90">
        <f>+T167/T$159</f>
        <v>8.0622099034294653E-2</v>
      </c>
      <c r="V167" s="48">
        <f t="shared" si="170"/>
        <v>1941.6100000000001</v>
      </c>
      <c r="W167" s="182">
        <f>+V167/V$159</f>
        <v>9.0045889961483966E-2</v>
      </c>
      <c r="X167" s="80">
        <f t="shared" si="147"/>
        <v>0.13226521406603406</v>
      </c>
      <c r="Y167" s="80">
        <f t="shared" si="148"/>
        <v>8.9998062560014636E-2</v>
      </c>
      <c r="AA167" s="89"/>
      <c r="AB167" s="90">
        <f t="shared" si="149"/>
        <v>0.4493188540339817</v>
      </c>
      <c r="AC167" s="90">
        <f t="shared" si="150"/>
        <v>-0.50210285362450535</v>
      </c>
      <c r="AD167" s="90">
        <f t="shared" si="151"/>
        <v>0.11683603761730485</v>
      </c>
      <c r="AE167" s="90">
        <f t="shared" si="152"/>
        <v>2.2516642333811063</v>
      </c>
      <c r="AF167" s="90">
        <f t="shared" si="153"/>
        <v>0.16081878571683578</v>
      </c>
      <c r="AG167" s="90">
        <f t="shared" si="154"/>
        <v>-0.29187080534928123</v>
      </c>
      <c r="AH167" s="90">
        <f t="shared" si="155"/>
        <v>-0.35442682755717703</v>
      </c>
      <c r="AI167" s="90">
        <f t="shared" si="156"/>
        <v>-0.14653646722762115</v>
      </c>
      <c r="AJ167" s="182">
        <f t="shared" si="157"/>
        <v>0.1772684553584962</v>
      </c>
      <c r="AK167" s="80">
        <f t="shared" si="159"/>
        <v>0.20677437914990443</v>
      </c>
      <c r="AL167" s="80">
        <f t="shared" si="160"/>
        <v>-0.10789827980876732</v>
      </c>
      <c r="AN167" s="134">
        <v>83192.250000000029</v>
      </c>
    </row>
    <row r="168" spans="2:40" x14ac:dyDescent="0.25">
      <c r="B168" s="8" t="s">
        <v>134</v>
      </c>
      <c r="C168" s="32">
        <v>420500</v>
      </c>
      <c r="D168" s="41">
        <v>660.02</v>
      </c>
      <c r="E168" s="89">
        <f t="shared" ref="E168:E179" si="171">+D168/D$167</f>
        <v>0.47498146908755945</v>
      </c>
      <c r="F168" s="41">
        <v>999.65</v>
      </c>
      <c r="G168" s="89">
        <f t="shared" ref="G168:G179" si="172">+F168/F$167</f>
        <v>0.49636779828494537</v>
      </c>
      <c r="H168" s="42">
        <v>629.11</v>
      </c>
      <c r="I168" s="89">
        <f t="shared" ref="I168:I179" si="173">+H168/H$167</f>
        <v>0.62739720562863388</v>
      </c>
      <c r="J168" s="42">
        <v>681.89499999999998</v>
      </c>
      <c r="K168" s="89">
        <f t="shared" ref="K168:K179" si="174">+J168/J$167</f>
        <v>0.60889734213780877</v>
      </c>
      <c r="L168" s="42">
        <v>490.74</v>
      </c>
      <c r="M168" s="89">
        <f t="shared" ref="M168:M179" si="175">+L168/L$167</f>
        <v>0.13476351713172355</v>
      </c>
      <c r="N168" s="42">
        <v>1637.03</v>
      </c>
      <c r="O168" s="89">
        <f>+N168/N$167</f>
        <v>0.38726931638873835</v>
      </c>
      <c r="P168" s="42">
        <v>1421.77</v>
      </c>
      <c r="Q168" s="89">
        <f>+P168/P$167</f>
        <v>0.47497778401384405</v>
      </c>
      <c r="R168" s="42">
        <v>1447.35</v>
      </c>
      <c r="S168" s="89">
        <f t="shared" ref="S168:S179" si="176">+R168/R$167</f>
        <v>0.74898314031111246</v>
      </c>
      <c r="T168" s="42">
        <v>878.1</v>
      </c>
      <c r="U168" s="89">
        <f t="shared" ref="U168:U179" si="177">+T168/T$167</f>
        <v>0.53242382901318774</v>
      </c>
      <c r="V168" s="42">
        <v>973.59</v>
      </c>
      <c r="W168" s="184">
        <f t="shared" ref="W168:W179" si="178">+V168/V$167</f>
        <v>0.50143437662558388</v>
      </c>
      <c r="X168" s="81">
        <f t="shared" si="147"/>
        <v>0.49874957786231378</v>
      </c>
      <c r="Y168" s="81">
        <f t="shared" si="148"/>
        <v>0.59428044864996143</v>
      </c>
      <c r="AA168" s="89"/>
      <c r="AB168" s="89">
        <f t="shared" si="149"/>
        <v>0.51457531589951822</v>
      </c>
      <c r="AC168" s="89">
        <f t="shared" si="150"/>
        <v>-0.37066973440704243</v>
      </c>
      <c r="AD168" s="89">
        <f t="shared" si="151"/>
        <v>8.3904245680405595E-2</v>
      </c>
      <c r="AE168" s="89">
        <f t="shared" si="152"/>
        <v>-0.28032908292332392</v>
      </c>
      <c r="AF168" s="89">
        <f t="shared" si="153"/>
        <v>2.3358397522109464</v>
      </c>
      <c r="AG168" s="89">
        <f t="shared" si="154"/>
        <v>-0.13149423040506283</v>
      </c>
      <c r="AH168" s="89">
        <f t="shared" si="155"/>
        <v>1.7991658285095288E-2</v>
      </c>
      <c r="AI168" s="89">
        <f t="shared" si="156"/>
        <v>-0.39330500570007249</v>
      </c>
      <c r="AJ168" s="184">
        <f t="shared" si="157"/>
        <v>0.10874615647420569</v>
      </c>
      <c r="AK168" s="81">
        <f t="shared" si="159"/>
        <v>0.20947323056829659</v>
      </c>
      <c r="AL168" s="81">
        <f t="shared" si="160"/>
        <v>-8.8855730313590509E-2</v>
      </c>
      <c r="AN168" s="132">
        <v>11267.94</v>
      </c>
    </row>
    <row r="169" spans="2:40" x14ac:dyDescent="0.25">
      <c r="B169" s="8" t="s">
        <v>185</v>
      </c>
      <c r="C169" s="32">
        <v>421000</v>
      </c>
      <c r="D169" s="41">
        <v>0</v>
      </c>
      <c r="E169" s="89">
        <f t="shared" si="171"/>
        <v>0</v>
      </c>
      <c r="F169" s="41">
        <v>0</v>
      </c>
      <c r="G169" s="89">
        <f t="shared" si="172"/>
        <v>0</v>
      </c>
      <c r="H169" s="42">
        <v>0</v>
      </c>
      <c r="I169" s="89">
        <f t="shared" si="173"/>
        <v>0</v>
      </c>
      <c r="J169" s="42">
        <v>0</v>
      </c>
      <c r="K169" s="89">
        <f t="shared" si="174"/>
        <v>0</v>
      </c>
      <c r="L169" s="42">
        <v>0</v>
      </c>
      <c r="M169" s="89">
        <f t="shared" si="175"/>
        <v>0</v>
      </c>
      <c r="N169" s="42">
        <v>25.19</v>
      </c>
      <c r="O169" s="89">
        <f t="shared" ref="O169:Q179" si="179">+N169/N$167</f>
        <v>5.9591541265782057E-3</v>
      </c>
      <c r="P169" s="42">
        <v>0</v>
      </c>
      <c r="Q169" s="89">
        <f t="shared" si="179"/>
        <v>0</v>
      </c>
      <c r="R169" s="42">
        <v>22.53</v>
      </c>
      <c r="S169" s="89">
        <f t="shared" si="176"/>
        <v>1.1658956127549913E-2</v>
      </c>
      <c r="T169" s="42">
        <v>12.69</v>
      </c>
      <c r="U169" s="89">
        <f t="shared" si="177"/>
        <v>7.6944065484311035E-3</v>
      </c>
      <c r="V169" s="42">
        <v>0.01</v>
      </c>
      <c r="W169" s="184">
        <f t="shared" si="178"/>
        <v>5.1503649033534026E-6</v>
      </c>
      <c r="X169" s="81">
        <f t="shared" si="147"/>
        <v>2.5317667167462578E-3</v>
      </c>
      <c r="Y169" s="81">
        <f t="shared" si="148"/>
        <v>6.4528376802947896E-3</v>
      </c>
      <c r="AA169" s="89"/>
      <c r="AB169" s="89" t="e">
        <f t="shared" si="149"/>
        <v>#DIV/0!</v>
      </c>
      <c r="AC169" s="89" t="e">
        <f t="shared" si="150"/>
        <v>#DIV/0!</v>
      </c>
      <c r="AD169" s="89" t="e">
        <f t="shared" si="151"/>
        <v>#DIV/0!</v>
      </c>
      <c r="AE169" s="89" t="e">
        <f t="shared" si="152"/>
        <v>#DIV/0!</v>
      </c>
      <c r="AF169" s="89" t="e">
        <f t="shared" si="153"/>
        <v>#DIV/0!</v>
      </c>
      <c r="AG169" s="89">
        <f t="shared" si="154"/>
        <v>-1</v>
      </c>
      <c r="AH169" s="89" t="e">
        <f t="shared" si="155"/>
        <v>#DIV/0!</v>
      </c>
      <c r="AI169" s="89">
        <f t="shared" si="156"/>
        <v>-0.43675099866844214</v>
      </c>
      <c r="AJ169" s="184">
        <f t="shared" si="157"/>
        <v>-0.99921197793538219</v>
      </c>
      <c r="AK169" s="81" t="e">
        <f t="shared" si="159"/>
        <v>#DIV/0!</v>
      </c>
      <c r="AL169" s="81" t="e">
        <f t="shared" si="160"/>
        <v>#DIV/0!</v>
      </c>
      <c r="AN169" s="132">
        <v>15862.91</v>
      </c>
    </row>
    <row r="170" spans="2:40" ht="30" x14ac:dyDescent="0.25">
      <c r="B170" s="8" t="s">
        <v>135</v>
      </c>
      <c r="C170" s="32">
        <v>421500</v>
      </c>
      <c r="D170" s="41">
        <v>523.75</v>
      </c>
      <c r="E170" s="89">
        <f t="shared" si="171"/>
        <v>0.3769151608051412</v>
      </c>
      <c r="F170" s="41">
        <v>334.69</v>
      </c>
      <c r="G170" s="89">
        <f t="shared" si="172"/>
        <v>0.16618750403440041</v>
      </c>
      <c r="H170" s="42">
        <v>223.43</v>
      </c>
      <c r="I170" s="89">
        <f t="shared" si="173"/>
        <v>0.22282169676782387</v>
      </c>
      <c r="J170" s="42">
        <v>47.545000000000002</v>
      </c>
      <c r="K170" s="89">
        <f t="shared" si="174"/>
        <v>4.2455252101778307E-2</v>
      </c>
      <c r="L170" s="42">
        <v>213.66</v>
      </c>
      <c r="M170" s="89">
        <f t="shared" si="175"/>
        <v>5.8673784632114874E-2</v>
      </c>
      <c r="N170" s="42">
        <v>512.67999999999995</v>
      </c>
      <c r="O170" s="89">
        <f t="shared" si="179"/>
        <v>0.12128380855951226</v>
      </c>
      <c r="P170" s="42">
        <v>863.69</v>
      </c>
      <c r="Q170" s="89">
        <f t="shared" si="179"/>
        <v>0.28853721929349824</v>
      </c>
      <c r="R170" s="42">
        <v>-33.83</v>
      </c>
      <c r="S170" s="89">
        <f t="shared" si="176"/>
        <v>-1.750654619596154E-2</v>
      </c>
      <c r="T170" s="42">
        <v>-21.86</v>
      </c>
      <c r="U170" s="89">
        <f t="shared" si="177"/>
        <v>-1.3254509625587387E-2</v>
      </c>
      <c r="V170" s="42">
        <v>163.1</v>
      </c>
      <c r="W170" s="184">
        <f t="shared" si="178"/>
        <v>8.4002451573693987E-2</v>
      </c>
      <c r="X170" s="81">
        <f t="shared" si="147"/>
        <v>0.1330115821946414</v>
      </c>
      <c r="Y170" s="81">
        <f t="shared" si="148"/>
        <v>1.7747131917381687E-2</v>
      </c>
      <c r="AA170" s="89"/>
      <c r="AB170" s="89">
        <f t="shared" si="149"/>
        <v>-0.36097374701670643</v>
      </c>
      <c r="AC170" s="89">
        <f t="shared" si="150"/>
        <v>-0.33242702202037705</v>
      </c>
      <c r="AD170" s="89">
        <f t="shared" si="151"/>
        <v>-0.78720404600993599</v>
      </c>
      <c r="AE170" s="89">
        <f t="shared" si="152"/>
        <v>3.4938479335366495</v>
      </c>
      <c r="AF170" s="89">
        <f t="shared" si="153"/>
        <v>1.3995132453430683</v>
      </c>
      <c r="AG170" s="89">
        <f t="shared" si="154"/>
        <v>0.68465709604431646</v>
      </c>
      <c r="AH170" s="89">
        <f t="shared" si="155"/>
        <v>-1.0391691463372275</v>
      </c>
      <c r="AI170" s="89">
        <f t="shared" si="156"/>
        <v>-0.35382796334614247</v>
      </c>
      <c r="AJ170" s="184">
        <f t="shared" si="157"/>
        <v>-8.4611161939615727</v>
      </c>
      <c r="AK170" s="81">
        <f t="shared" si="159"/>
        <v>-0.63963331597421424</v>
      </c>
      <c r="AL170" s="81">
        <f t="shared" si="160"/>
        <v>-3.2847044345483138</v>
      </c>
      <c r="AN170" s="132">
        <v>10039.960000000001</v>
      </c>
    </row>
    <row r="171" spans="2:40" ht="30" x14ac:dyDescent="0.25">
      <c r="B171" s="8" t="s">
        <v>136</v>
      </c>
      <c r="C171" s="32">
        <v>421600</v>
      </c>
      <c r="D171" s="41">
        <v>0</v>
      </c>
      <c r="E171" s="89">
        <f t="shared" si="171"/>
        <v>0</v>
      </c>
      <c r="F171" s="41">
        <v>0</v>
      </c>
      <c r="G171" s="89">
        <f t="shared" si="172"/>
        <v>0</v>
      </c>
      <c r="H171" s="42">
        <v>0</v>
      </c>
      <c r="I171" s="89">
        <f t="shared" si="173"/>
        <v>0</v>
      </c>
      <c r="J171" s="42">
        <v>61.454999999999998</v>
      </c>
      <c r="K171" s="89">
        <f t="shared" si="174"/>
        <v>5.487617032105975E-2</v>
      </c>
      <c r="L171" s="42">
        <v>0</v>
      </c>
      <c r="M171" s="89">
        <f t="shared" si="175"/>
        <v>0</v>
      </c>
      <c r="N171" s="42">
        <v>0</v>
      </c>
      <c r="O171" s="89">
        <f t="shared" si="179"/>
        <v>0</v>
      </c>
      <c r="P171" s="42">
        <v>0</v>
      </c>
      <c r="Q171" s="89">
        <f t="shared" si="179"/>
        <v>0</v>
      </c>
      <c r="R171" s="42">
        <v>0</v>
      </c>
      <c r="S171" s="89">
        <f t="shared" si="176"/>
        <v>0</v>
      </c>
      <c r="T171" s="42">
        <v>0</v>
      </c>
      <c r="U171" s="89">
        <f t="shared" si="177"/>
        <v>0</v>
      </c>
      <c r="V171" s="42">
        <v>0</v>
      </c>
      <c r="W171" s="184">
        <f t="shared" si="178"/>
        <v>0</v>
      </c>
      <c r="X171" s="81">
        <f t="shared" si="147"/>
        <v>5.4876170321059752E-3</v>
      </c>
      <c r="Y171" s="81">
        <f t="shared" si="148"/>
        <v>0</v>
      </c>
      <c r="AA171" s="89"/>
      <c r="AB171" s="89" t="e">
        <f t="shared" si="149"/>
        <v>#DIV/0!</v>
      </c>
      <c r="AC171" s="89" t="e">
        <f t="shared" si="150"/>
        <v>#DIV/0!</v>
      </c>
      <c r="AD171" s="89" t="e">
        <f t="shared" si="151"/>
        <v>#DIV/0!</v>
      </c>
      <c r="AE171" s="89">
        <f t="shared" si="152"/>
        <v>-1</v>
      </c>
      <c r="AF171" s="89" t="e">
        <f t="shared" si="153"/>
        <v>#DIV/0!</v>
      </c>
      <c r="AG171" s="89" t="e">
        <f t="shared" si="154"/>
        <v>#DIV/0!</v>
      </c>
      <c r="AH171" s="89" t="e">
        <f t="shared" si="155"/>
        <v>#DIV/0!</v>
      </c>
      <c r="AI171" s="89" t="e">
        <f t="shared" si="156"/>
        <v>#DIV/0!</v>
      </c>
      <c r="AJ171" s="184" t="e">
        <f t="shared" si="157"/>
        <v>#DIV/0!</v>
      </c>
      <c r="AK171" s="81" t="e">
        <f t="shared" si="159"/>
        <v>#DIV/0!</v>
      </c>
      <c r="AL171" s="81" t="e">
        <f t="shared" si="160"/>
        <v>#DIV/0!</v>
      </c>
      <c r="AN171" s="132">
        <v>20.9</v>
      </c>
    </row>
    <row r="172" spans="2:40" x14ac:dyDescent="0.25">
      <c r="B172" s="8" t="s">
        <v>137</v>
      </c>
      <c r="C172" s="32">
        <v>422500</v>
      </c>
      <c r="D172" s="41">
        <v>0.56000000000000005</v>
      </c>
      <c r="E172" s="89">
        <f t="shared" si="171"/>
        <v>4.0300236763890994E-4</v>
      </c>
      <c r="F172" s="41">
        <v>0</v>
      </c>
      <c r="G172" s="89">
        <f t="shared" si="172"/>
        <v>0</v>
      </c>
      <c r="H172" s="42">
        <v>0</v>
      </c>
      <c r="I172" s="89">
        <f t="shared" si="173"/>
        <v>0</v>
      </c>
      <c r="J172" s="42">
        <v>0</v>
      </c>
      <c r="K172" s="89">
        <f t="shared" si="174"/>
        <v>0</v>
      </c>
      <c r="L172" s="42">
        <v>0.25</v>
      </c>
      <c r="M172" s="89">
        <f t="shared" si="175"/>
        <v>6.8653216128562755E-5</v>
      </c>
      <c r="N172" s="42">
        <v>10.43</v>
      </c>
      <c r="O172" s="89">
        <f t="shared" si="179"/>
        <v>2.4674068098535402E-3</v>
      </c>
      <c r="P172" s="42">
        <v>24.01</v>
      </c>
      <c r="Q172" s="89">
        <f t="shared" si="179"/>
        <v>8.0211402647210137E-3</v>
      </c>
      <c r="R172" s="42">
        <v>11.5</v>
      </c>
      <c r="S172" s="89">
        <f t="shared" si="176"/>
        <v>5.9510872377640479E-3</v>
      </c>
      <c r="T172" s="42">
        <v>0</v>
      </c>
      <c r="U172" s="89">
        <f t="shared" si="177"/>
        <v>0</v>
      </c>
      <c r="V172" s="42">
        <v>0</v>
      </c>
      <c r="W172" s="184">
        <f t="shared" si="178"/>
        <v>0</v>
      </c>
      <c r="X172" s="81">
        <f t="shared" si="147"/>
        <v>1.6911289896106075E-3</v>
      </c>
      <c r="Y172" s="81">
        <f t="shared" si="148"/>
        <v>1.9836957459213492E-3</v>
      </c>
      <c r="AA172" s="89"/>
      <c r="AB172" s="89">
        <f t="shared" si="149"/>
        <v>-1</v>
      </c>
      <c r="AC172" s="89" t="e">
        <f t="shared" si="150"/>
        <v>#DIV/0!</v>
      </c>
      <c r="AD172" s="89" t="e">
        <f t="shared" si="151"/>
        <v>#DIV/0!</v>
      </c>
      <c r="AE172" s="89" t="e">
        <f t="shared" si="152"/>
        <v>#DIV/0!</v>
      </c>
      <c r="AF172" s="89">
        <f t="shared" si="153"/>
        <v>40.72</v>
      </c>
      <c r="AG172" s="89">
        <f t="shared" si="154"/>
        <v>1.3020134228187921</v>
      </c>
      <c r="AH172" s="89">
        <f t="shared" si="155"/>
        <v>-0.52103290295710125</v>
      </c>
      <c r="AI172" s="89">
        <f t="shared" si="156"/>
        <v>-1</v>
      </c>
      <c r="AJ172" s="184" t="e">
        <f t="shared" si="157"/>
        <v>#DIV/0!</v>
      </c>
      <c r="AK172" s="81" t="e">
        <f t="shared" si="159"/>
        <v>#DIV/0!</v>
      </c>
      <c r="AL172" s="81" t="e">
        <f t="shared" si="160"/>
        <v>#DIV/0!</v>
      </c>
      <c r="AN172" s="132">
        <v>2326.1099999999997</v>
      </c>
    </row>
    <row r="173" spans="2:40" x14ac:dyDescent="0.25">
      <c r="B173" s="8" t="s">
        <v>138</v>
      </c>
      <c r="C173" s="32">
        <v>423000</v>
      </c>
      <c r="D173" s="41">
        <v>13.14</v>
      </c>
      <c r="E173" s="89">
        <f t="shared" si="171"/>
        <v>9.4561626978129937E-3</v>
      </c>
      <c r="F173" s="41">
        <v>21.64</v>
      </c>
      <c r="G173" s="89">
        <f t="shared" si="172"/>
        <v>1.0745159960872525E-2</v>
      </c>
      <c r="H173" s="42">
        <v>78.03</v>
      </c>
      <c r="I173" s="89">
        <f t="shared" si="173"/>
        <v>7.7817558066478526E-2</v>
      </c>
      <c r="J173" s="42">
        <v>69.344999999999999</v>
      </c>
      <c r="K173" s="89">
        <f t="shared" si="174"/>
        <v>6.1921536586345916E-2</v>
      </c>
      <c r="L173" s="42">
        <v>14.9</v>
      </c>
      <c r="M173" s="89">
        <f t="shared" si="175"/>
        <v>4.0917316812623403E-3</v>
      </c>
      <c r="N173" s="42">
        <v>48.1</v>
      </c>
      <c r="O173" s="89">
        <f t="shared" si="179"/>
        <v>1.1378932651385934E-2</v>
      </c>
      <c r="P173" s="42">
        <v>15.41</v>
      </c>
      <c r="Q173" s="89">
        <f t="shared" si="179"/>
        <v>5.1480954385402259E-3</v>
      </c>
      <c r="R173" s="42">
        <v>54.86</v>
      </c>
      <c r="S173" s="89">
        <f t="shared" si="176"/>
        <v>2.8389273553368316E-2</v>
      </c>
      <c r="T173" s="42">
        <v>8.8699999999999992</v>
      </c>
      <c r="U173" s="89">
        <f t="shared" si="177"/>
        <v>5.3782022131271777E-3</v>
      </c>
      <c r="V173" s="42">
        <v>159.57</v>
      </c>
      <c r="W173" s="184">
        <f t="shared" si="178"/>
        <v>8.2184372762810237E-2</v>
      </c>
      <c r="X173" s="81">
        <f t="shared" si="147"/>
        <v>2.9651102561200415E-2</v>
      </c>
      <c r="Y173" s="81">
        <f t="shared" si="148"/>
        <v>3.8650616176435247E-2</v>
      </c>
      <c r="AA173" s="89"/>
      <c r="AB173" s="89">
        <f t="shared" si="149"/>
        <v>0.64687975646879758</v>
      </c>
      <c r="AC173" s="89">
        <f t="shared" si="150"/>
        <v>2.6058225508317929</v>
      </c>
      <c r="AD173" s="89">
        <f t="shared" si="151"/>
        <v>-0.11130334486735874</v>
      </c>
      <c r="AE173" s="89">
        <f t="shared" si="152"/>
        <v>-0.78513230946715695</v>
      </c>
      <c r="AF173" s="89">
        <f t="shared" si="153"/>
        <v>2.2281879194630876</v>
      </c>
      <c r="AG173" s="89">
        <f t="shared" si="154"/>
        <v>-0.67962577962577952</v>
      </c>
      <c r="AH173" s="89">
        <f t="shared" si="155"/>
        <v>2.5600259571706685</v>
      </c>
      <c r="AI173" s="89">
        <f t="shared" si="156"/>
        <v>-0.83831571272329575</v>
      </c>
      <c r="AJ173" s="184">
        <f t="shared" si="157"/>
        <v>16.989853438556935</v>
      </c>
      <c r="AK173" s="81">
        <f t="shared" si="159"/>
        <v>2.5129324973119656</v>
      </c>
      <c r="AL173" s="81">
        <f t="shared" si="160"/>
        <v>6.2371878943347694</v>
      </c>
      <c r="AN173" s="132">
        <v>1738.0100000000002</v>
      </c>
    </row>
    <row r="174" spans="2:40" x14ac:dyDescent="0.25">
      <c r="B174" s="8" t="s">
        <v>23</v>
      </c>
      <c r="C174" s="32">
        <v>423300</v>
      </c>
      <c r="D174" s="41">
        <v>19.7</v>
      </c>
      <c r="E174" s="89">
        <f t="shared" si="171"/>
        <v>1.4177047575868794E-2</v>
      </c>
      <c r="F174" s="41">
        <v>23.09</v>
      </c>
      <c r="G174" s="89">
        <f t="shared" si="172"/>
        <v>1.1465145263241524E-2</v>
      </c>
      <c r="H174" s="42">
        <v>55.78</v>
      </c>
      <c r="I174" s="89">
        <f t="shared" si="173"/>
        <v>5.5628135190928768E-2</v>
      </c>
      <c r="J174" s="42">
        <v>53.344999999999999</v>
      </c>
      <c r="K174" s="89">
        <f t="shared" si="174"/>
        <v>4.7634355313268775E-2</v>
      </c>
      <c r="L174" s="42">
        <v>57.41</v>
      </c>
      <c r="M174" s="89">
        <f t="shared" si="175"/>
        <v>1.5765524551763149E-2</v>
      </c>
      <c r="N174" s="42">
        <v>42.82</v>
      </c>
      <c r="O174" s="89">
        <f t="shared" si="179"/>
        <v>1.0129852310443777E-2</v>
      </c>
      <c r="P174" s="42">
        <v>19.39</v>
      </c>
      <c r="Q174" s="89">
        <f t="shared" si="179"/>
        <v>6.4777138580983116E-3</v>
      </c>
      <c r="R174" s="42">
        <v>44.43</v>
      </c>
      <c r="S174" s="89">
        <f t="shared" si="176"/>
        <v>2.2991896171639707E-2</v>
      </c>
      <c r="T174" s="42">
        <v>85.98</v>
      </c>
      <c r="U174" s="89">
        <f t="shared" si="177"/>
        <v>5.2132787630741244E-2</v>
      </c>
      <c r="V174" s="42">
        <v>388.17</v>
      </c>
      <c r="W174" s="184">
        <f t="shared" si="178"/>
        <v>0.19992171445346901</v>
      </c>
      <c r="X174" s="81">
        <f t="shared" si="147"/>
        <v>4.3632417231946309E-2</v>
      </c>
      <c r="Y174" s="81">
        <f t="shared" si="148"/>
        <v>9.1682132751949988E-2</v>
      </c>
      <c r="AA174" s="89"/>
      <c r="AB174" s="89">
        <f t="shared" si="149"/>
        <v>0.17208121827411171</v>
      </c>
      <c r="AC174" s="89">
        <f t="shared" si="150"/>
        <v>1.415764400173235</v>
      </c>
      <c r="AD174" s="89">
        <f t="shared" si="151"/>
        <v>-4.3653639297239193E-2</v>
      </c>
      <c r="AE174" s="89">
        <f t="shared" si="152"/>
        <v>7.6202080794826085E-2</v>
      </c>
      <c r="AF174" s="89">
        <f t="shared" si="153"/>
        <v>-0.25413690994600241</v>
      </c>
      <c r="AG174" s="89">
        <f t="shared" si="154"/>
        <v>-0.54717421765530128</v>
      </c>
      <c r="AH174" s="89">
        <f t="shared" si="155"/>
        <v>1.2913873130479627</v>
      </c>
      <c r="AI174" s="89">
        <f t="shared" si="156"/>
        <v>0.93517893315327494</v>
      </c>
      <c r="AJ174" s="184">
        <f t="shared" si="157"/>
        <v>3.5146545708304253</v>
      </c>
      <c r="AK174" s="81">
        <f t="shared" si="159"/>
        <v>0.72892263881947705</v>
      </c>
      <c r="AL174" s="81">
        <f t="shared" si="160"/>
        <v>1.9137402723438877</v>
      </c>
      <c r="AN174" s="132">
        <v>472.81</v>
      </c>
    </row>
    <row r="175" spans="2:40" x14ac:dyDescent="0.25">
      <c r="B175" s="8" t="s">
        <v>139</v>
      </c>
      <c r="C175" s="32">
        <v>423400</v>
      </c>
      <c r="D175" s="41">
        <v>1.52</v>
      </c>
      <c r="E175" s="89">
        <f t="shared" si="171"/>
        <v>1.0938635693056127E-3</v>
      </c>
      <c r="F175" s="41">
        <v>3.41</v>
      </c>
      <c r="G175" s="89">
        <f t="shared" si="172"/>
        <v>1.6932068145367517E-3</v>
      </c>
      <c r="H175" s="42">
        <v>4.21</v>
      </c>
      <c r="I175" s="89">
        <f t="shared" si="173"/>
        <v>4.1985379912837959E-3</v>
      </c>
      <c r="J175" s="42">
        <v>5.05</v>
      </c>
      <c r="K175" s="89">
        <f t="shared" si="174"/>
        <v>4.5093915893149742E-3</v>
      </c>
      <c r="L175" s="42">
        <v>16.64</v>
      </c>
      <c r="M175" s="89">
        <f t="shared" si="175"/>
        <v>4.5695580655171373E-3</v>
      </c>
      <c r="N175" s="42">
        <v>0</v>
      </c>
      <c r="O175" s="89">
        <f t="shared" si="179"/>
        <v>0</v>
      </c>
      <c r="P175" s="42">
        <v>0</v>
      </c>
      <c r="Q175" s="89">
        <f t="shared" si="179"/>
        <v>0</v>
      </c>
      <c r="R175" s="42">
        <v>0</v>
      </c>
      <c r="S175" s="89">
        <f t="shared" si="176"/>
        <v>0</v>
      </c>
      <c r="T175" s="42">
        <v>0</v>
      </c>
      <c r="U175" s="89">
        <f t="shared" si="177"/>
        <v>0</v>
      </c>
      <c r="V175" s="42">
        <v>0</v>
      </c>
      <c r="W175" s="184">
        <f t="shared" si="178"/>
        <v>0</v>
      </c>
      <c r="X175" s="81">
        <f t="shared" si="147"/>
        <v>1.6064558029958271E-3</v>
      </c>
      <c r="Y175" s="81">
        <f t="shared" si="148"/>
        <v>0</v>
      </c>
      <c r="AA175" s="89"/>
      <c r="AB175" s="89">
        <f t="shared" si="149"/>
        <v>1.243421052631579</v>
      </c>
      <c r="AC175" s="89">
        <f t="shared" si="150"/>
        <v>0.23460410557184744</v>
      </c>
      <c r="AD175" s="89">
        <f t="shared" si="151"/>
        <v>0.19952494061757717</v>
      </c>
      <c r="AE175" s="89">
        <f t="shared" si="152"/>
        <v>2.2950495049504953</v>
      </c>
      <c r="AF175" s="89">
        <f t="shared" si="153"/>
        <v>-1</v>
      </c>
      <c r="AG175" s="89" t="e">
        <f t="shared" si="154"/>
        <v>#DIV/0!</v>
      </c>
      <c r="AH175" s="89" t="e">
        <f t="shared" si="155"/>
        <v>#DIV/0!</v>
      </c>
      <c r="AI175" s="89" t="e">
        <f t="shared" si="156"/>
        <v>#DIV/0!</v>
      </c>
      <c r="AJ175" s="184" t="e">
        <f t="shared" si="157"/>
        <v>#DIV/0!</v>
      </c>
      <c r="AK175" s="81" t="e">
        <f t="shared" si="159"/>
        <v>#DIV/0!</v>
      </c>
      <c r="AL175" s="81" t="e">
        <f t="shared" si="160"/>
        <v>#DIV/0!</v>
      </c>
      <c r="AN175" s="132">
        <v>43.38</v>
      </c>
    </row>
    <row r="176" spans="2:40" x14ac:dyDescent="0.25">
      <c r="B176" s="8" t="s">
        <v>140</v>
      </c>
      <c r="C176" s="32">
        <v>423500</v>
      </c>
      <c r="D176" s="41">
        <v>41.99</v>
      </c>
      <c r="E176" s="89">
        <f t="shared" si="171"/>
        <v>3.021798110206755E-2</v>
      </c>
      <c r="F176" s="41">
        <v>0</v>
      </c>
      <c r="G176" s="89">
        <f t="shared" si="172"/>
        <v>0</v>
      </c>
      <c r="H176" s="42">
        <v>0</v>
      </c>
      <c r="I176" s="89">
        <f t="shared" si="173"/>
        <v>0</v>
      </c>
      <c r="J176" s="42">
        <v>103.845</v>
      </c>
      <c r="K176" s="89">
        <f t="shared" si="174"/>
        <v>9.2728271206418522E-2</v>
      </c>
      <c r="L176" s="42">
        <v>39.18</v>
      </c>
      <c r="M176" s="89">
        <f t="shared" si="175"/>
        <v>1.0759332031668355E-2</v>
      </c>
      <c r="N176" s="42">
        <v>344.97</v>
      </c>
      <c r="O176" s="89">
        <f t="shared" si="179"/>
        <v>8.1608947957351477E-2</v>
      </c>
      <c r="P176" s="42">
        <v>626.11</v>
      </c>
      <c r="Q176" s="89">
        <f t="shared" si="179"/>
        <v>0.20916768559535501</v>
      </c>
      <c r="R176" s="42">
        <v>364.01</v>
      </c>
      <c r="S176" s="89">
        <f t="shared" si="176"/>
        <v>0.18837002307986878</v>
      </c>
      <c r="T176" s="42">
        <v>546.16</v>
      </c>
      <c r="U176" s="89">
        <f t="shared" si="177"/>
        <v>0.33115658632711831</v>
      </c>
      <c r="V176" s="42">
        <v>216.25</v>
      </c>
      <c r="W176" s="184">
        <f t="shared" si="178"/>
        <v>0.11137664103501732</v>
      </c>
      <c r="X176" s="81">
        <f t="shared" si="147"/>
        <v>0.10553854683348654</v>
      </c>
      <c r="Y176" s="81">
        <f t="shared" si="148"/>
        <v>0.21030108348066812</v>
      </c>
      <c r="AA176" s="89"/>
      <c r="AB176" s="89">
        <f t="shared" si="149"/>
        <v>-1</v>
      </c>
      <c r="AC176" s="89" t="e">
        <f t="shared" si="150"/>
        <v>#DIV/0!</v>
      </c>
      <c r="AD176" s="89" t="e">
        <f t="shared" si="151"/>
        <v>#DIV/0!</v>
      </c>
      <c r="AE176" s="89">
        <f t="shared" si="152"/>
        <v>-0.62270691896576624</v>
      </c>
      <c r="AF176" s="89">
        <f t="shared" si="153"/>
        <v>7.8047473200612565</v>
      </c>
      <c r="AG176" s="89">
        <f t="shared" si="154"/>
        <v>0.81496941763051844</v>
      </c>
      <c r="AH176" s="89">
        <f t="shared" si="155"/>
        <v>-0.41861653703023433</v>
      </c>
      <c r="AI176" s="89">
        <f t="shared" si="156"/>
        <v>0.50039834070492561</v>
      </c>
      <c r="AJ176" s="184">
        <f t="shared" si="157"/>
        <v>-0.60405375714076459</v>
      </c>
      <c r="AK176" s="81" t="e">
        <f t="shared" si="159"/>
        <v>#DIV/0!</v>
      </c>
      <c r="AL176" s="81">
        <f t="shared" si="160"/>
        <v>-0.1740906511553578</v>
      </c>
      <c r="AN176" s="132">
        <v>26678.809999999998</v>
      </c>
    </row>
    <row r="177" spans="2:40" x14ac:dyDescent="0.25">
      <c r="B177" s="8" t="s">
        <v>141</v>
      </c>
      <c r="C177" s="32">
        <v>424000</v>
      </c>
      <c r="D177" s="41">
        <v>59.98</v>
      </c>
      <c r="E177" s="89">
        <f t="shared" si="171"/>
        <v>4.3164432162467528E-2</v>
      </c>
      <c r="F177" s="41">
        <v>8.86</v>
      </c>
      <c r="G177" s="89">
        <f t="shared" si="172"/>
        <v>4.3993584682685098E-3</v>
      </c>
      <c r="H177" s="42">
        <v>8.56</v>
      </c>
      <c r="I177" s="89">
        <f t="shared" si="173"/>
        <v>8.5366948231328493E-3</v>
      </c>
      <c r="J177" s="42">
        <v>0</v>
      </c>
      <c r="K177" s="89">
        <f t="shared" si="174"/>
        <v>0</v>
      </c>
      <c r="L177" s="42">
        <v>0.57999999999999996</v>
      </c>
      <c r="M177" s="89">
        <f t="shared" si="175"/>
        <v>1.5927546141826558E-4</v>
      </c>
      <c r="N177" s="42">
        <v>0</v>
      </c>
      <c r="O177" s="89">
        <f t="shared" si="179"/>
        <v>0</v>
      </c>
      <c r="P177" s="42">
        <v>1.82</v>
      </c>
      <c r="Q177" s="89">
        <f t="shared" si="179"/>
        <v>6.0801646321500397E-4</v>
      </c>
      <c r="R177" s="42">
        <v>1.2</v>
      </c>
      <c r="S177" s="89">
        <f t="shared" si="176"/>
        <v>6.2098301611450933E-4</v>
      </c>
      <c r="T177" s="42"/>
      <c r="U177" s="89">
        <f t="shared" si="177"/>
        <v>0</v>
      </c>
      <c r="V177" s="42">
        <v>0.91</v>
      </c>
      <c r="W177" s="184">
        <f t="shared" si="178"/>
        <v>4.6868320620515962E-4</v>
      </c>
      <c r="X177" s="81">
        <f t="shared" si="147"/>
        <v>5.7957443600821831E-3</v>
      </c>
      <c r="Y177" s="81">
        <f t="shared" si="148"/>
        <v>3.632220741065563E-4</v>
      </c>
      <c r="AA177" s="89"/>
      <c r="AB177" s="89">
        <f t="shared" si="149"/>
        <v>-0.85228409469823274</v>
      </c>
      <c r="AC177" s="89">
        <f t="shared" si="150"/>
        <v>-3.3860045146726747E-2</v>
      </c>
      <c r="AD177" s="89">
        <f t="shared" si="151"/>
        <v>-1</v>
      </c>
      <c r="AE177" s="89" t="e">
        <f t="shared" si="152"/>
        <v>#DIV/0!</v>
      </c>
      <c r="AF177" s="89">
        <f t="shared" si="153"/>
        <v>-1</v>
      </c>
      <c r="AG177" s="89" t="e">
        <f t="shared" si="154"/>
        <v>#DIV/0!</v>
      </c>
      <c r="AH177" s="89">
        <f t="shared" si="155"/>
        <v>-0.34065934065934073</v>
      </c>
      <c r="AI177" s="89">
        <f t="shared" si="156"/>
        <v>-1</v>
      </c>
      <c r="AJ177" s="184" t="e">
        <f t="shared" si="157"/>
        <v>#DIV/0!</v>
      </c>
      <c r="AK177" s="81" t="e">
        <f t="shared" si="159"/>
        <v>#DIV/0!</v>
      </c>
      <c r="AL177" s="81" t="e">
        <f t="shared" si="160"/>
        <v>#DIV/0!</v>
      </c>
      <c r="AN177" s="132">
        <v>2377.71</v>
      </c>
    </row>
    <row r="178" spans="2:40" x14ac:dyDescent="0.25">
      <c r="B178" s="8" t="s">
        <v>142</v>
      </c>
      <c r="C178" s="32">
        <v>424500</v>
      </c>
      <c r="D178" s="41">
        <v>60.3</v>
      </c>
      <c r="E178" s="89">
        <f t="shared" si="171"/>
        <v>4.3394719229689759E-2</v>
      </c>
      <c r="F178" s="41">
        <v>288</v>
      </c>
      <c r="G178" s="89">
        <f t="shared" si="172"/>
        <v>0.14300397729811862</v>
      </c>
      <c r="H178" s="42">
        <v>0</v>
      </c>
      <c r="I178" s="89">
        <f t="shared" si="173"/>
        <v>0</v>
      </c>
      <c r="J178" s="42">
        <v>72.375</v>
      </c>
      <c r="K178" s="89">
        <f t="shared" si="174"/>
        <v>6.4627171539934899E-2</v>
      </c>
      <c r="L178" s="42">
        <v>16.579999999999998</v>
      </c>
      <c r="M178" s="89">
        <f t="shared" si="175"/>
        <v>4.5530812936462814E-3</v>
      </c>
      <c r="N178" s="42">
        <v>0</v>
      </c>
      <c r="O178" s="89">
        <f t="shared" si="179"/>
        <v>0</v>
      </c>
      <c r="P178" s="42">
        <v>0</v>
      </c>
      <c r="Q178" s="89">
        <f t="shared" si="179"/>
        <v>0</v>
      </c>
      <c r="R178" s="42">
        <v>0</v>
      </c>
      <c r="S178" s="89">
        <f t="shared" si="176"/>
        <v>0</v>
      </c>
      <c r="T178" s="42">
        <v>120.68</v>
      </c>
      <c r="U178" s="89">
        <f t="shared" si="177"/>
        <v>7.3172654236774284E-2</v>
      </c>
      <c r="V178" s="42">
        <v>22.8</v>
      </c>
      <c r="W178" s="184">
        <f t="shared" si="178"/>
        <v>1.1742831979645757E-2</v>
      </c>
      <c r="X178" s="81">
        <f t="shared" si="147"/>
        <v>3.4049443557780959E-2</v>
      </c>
      <c r="Y178" s="81">
        <f t="shared" si="148"/>
        <v>2.8305162072140014E-2</v>
      </c>
      <c r="AA178" s="89"/>
      <c r="AB178" s="89">
        <f t="shared" si="149"/>
        <v>3.7761194029850746</v>
      </c>
      <c r="AC178" s="89">
        <f t="shared" si="150"/>
        <v>-1</v>
      </c>
      <c r="AD178" s="89" t="e">
        <f t="shared" si="151"/>
        <v>#DIV/0!</v>
      </c>
      <c r="AE178" s="89">
        <f t="shared" si="152"/>
        <v>-0.77091537132987908</v>
      </c>
      <c r="AF178" s="89">
        <f t="shared" si="153"/>
        <v>-1</v>
      </c>
      <c r="AG178" s="89" t="e">
        <f t="shared" si="154"/>
        <v>#DIV/0!</v>
      </c>
      <c r="AH178" s="89" t="e">
        <f t="shared" si="155"/>
        <v>#DIV/0!</v>
      </c>
      <c r="AI178" s="89" t="e">
        <f t="shared" si="156"/>
        <v>#DIV/0!</v>
      </c>
      <c r="AJ178" s="184">
        <f t="shared" si="157"/>
        <v>-0.811070599933709</v>
      </c>
      <c r="AK178" s="81" t="e">
        <f t="shared" si="159"/>
        <v>#DIV/0!</v>
      </c>
      <c r="AL178" s="81" t="e">
        <f t="shared" si="160"/>
        <v>#DIV/0!</v>
      </c>
      <c r="AN178" s="132">
        <v>3367.65</v>
      </c>
    </row>
    <row r="179" spans="2:40" x14ac:dyDescent="0.25">
      <c r="B179" s="8" t="s">
        <v>47</v>
      </c>
      <c r="C179" s="32">
        <v>429500</v>
      </c>
      <c r="D179" s="44">
        <v>8.61</v>
      </c>
      <c r="E179" s="91">
        <f t="shared" si="171"/>
        <v>6.1961614024482392E-3</v>
      </c>
      <c r="F179" s="44">
        <v>334.59</v>
      </c>
      <c r="G179" s="91">
        <f t="shared" si="172"/>
        <v>0.16613784987561633</v>
      </c>
      <c r="H179" s="43">
        <v>3.61</v>
      </c>
      <c r="I179" s="91">
        <f t="shared" si="173"/>
        <v>3.600171531718409E-3</v>
      </c>
      <c r="J179" s="43">
        <v>25.03</v>
      </c>
      <c r="K179" s="91">
        <f t="shared" si="174"/>
        <v>2.2350509204070061E-2</v>
      </c>
      <c r="L179" s="43">
        <v>2791.55</v>
      </c>
      <c r="M179" s="91">
        <f t="shared" si="175"/>
        <v>0.76659554193475743</v>
      </c>
      <c r="N179" s="43">
        <v>1605.89</v>
      </c>
      <c r="O179" s="91">
        <f t="shared" si="179"/>
        <v>0.37990258119613635</v>
      </c>
      <c r="P179" s="43">
        <v>21.14</v>
      </c>
      <c r="Q179" s="91">
        <f t="shared" si="179"/>
        <v>7.0623450727281233E-3</v>
      </c>
      <c r="R179" s="43">
        <v>20.37</v>
      </c>
      <c r="S179" s="91">
        <f t="shared" si="176"/>
        <v>1.0541186698543797E-2</v>
      </c>
      <c r="T179" s="43">
        <v>18.63</v>
      </c>
      <c r="U179" s="91">
        <f t="shared" si="177"/>
        <v>1.1296043656207365E-2</v>
      </c>
      <c r="V179" s="43">
        <v>17.21</v>
      </c>
      <c r="W179" s="185">
        <f t="shared" si="178"/>
        <v>8.8637779986712063E-3</v>
      </c>
      <c r="X179" s="82">
        <f t="shared" si="147"/>
        <v>0.1382546168570897</v>
      </c>
      <c r="Y179" s="82">
        <f t="shared" si="148"/>
        <v>1.023366945114079E-2</v>
      </c>
      <c r="AA179" s="91"/>
      <c r="AB179" s="91">
        <f t="shared" si="149"/>
        <v>37.860627177700344</v>
      </c>
      <c r="AC179" s="91">
        <f t="shared" si="150"/>
        <v>-0.98921067575241339</v>
      </c>
      <c r="AD179" s="91">
        <f t="shared" si="151"/>
        <v>5.9335180055401668</v>
      </c>
      <c r="AE179" s="91">
        <f t="shared" si="152"/>
        <v>110.52816620055933</v>
      </c>
      <c r="AF179" s="91">
        <f t="shared" si="153"/>
        <v>-0.4247317798355752</v>
      </c>
      <c r="AG179" s="91">
        <f t="shared" si="154"/>
        <v>-0.98683596012180153</v>
      </c>
      <c r="AH179" s="91">
        <f t="shared" si="155"/>
        <v>-3.6423841059602627E-2</v>
      </c>
      <c r="AI179" s="91">
        <f t="shared" si="156"/>
        <v>-8.5419734904271086E-2</v>
      </c>
      <c r="AJ179" s="185">
        <f t="shared" si="157"/>
        <v>-7.6221148684916709E-2</v>
      </c>
      <c r="AK179" s="82">
        <f t="shared" si="159"/>
        <v>16.85816313816014</v>
      </c>
      <c r="AL179" s="82">
        <f t="shared" si="160"/>
        <v>-6.6021574882930145E-2</v>
      </c>
      <c r="AN179" s="133">
        <v>8889.4499999999989</v>
      </c>
    </row>
    <row r="180" spans="2:40" x14ac:dyDescent="0.25">
      <c r="B180" s="8"/>
      <c r="C180" s="32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AA180" s="101"/>
      <c r="AB180" s="101"/>
      <c r="AC180" s="102"/>
      <c r="AD180" s="102"/>
      <c r="AE180" s="100"/>
      <c r="AF180" s="100"/>
      <c r="AG180" s="100"/>
      <c r="AH180" s="100"/>
      <c r="AI180" s="100"/>
      <c r="AJ180" s="100"/>
      <c r="AK180" s="100"/>
      <c r="AL180" s="100"/>
      <c r="AN180" s="122"/>
    </row>
    <row r="181" spans="2:40" s="34" customFormat="1" x14ac:dyDescent="0.25">
      <c r="B181" s="33" t="s">
        <v>183</v>
      </c>
      <c r="C181" s="12">
        <v>500000</v>
      </c>
      <c r="D181" s="47">
        <f t="shared" ref="D181:W181" si="180">+D182+D204+D215+D218</f>
        <v>9083.3499999999985</v>
      </c>
      <c r="E181" s="92">
        <f t="shared" si="180"/>
        <v>1</v>
      </c>
      <c r="F181" s="47">
        <f t="shared" si="180"/>
        <v>11962.86</v>
      </c>
      <c r="G181" s="92">
        <f t="shared" si="180"/>
        <v>1</v>
      </c>
      <c r="H181" s="47">
        <f t="shared" si="180"/>
        <v>10536.19</v>
      </c>
      <c r="I181" s="92">
        <f t="shared" si="180"/>
        <v>0.99999999999999978</v>
      </c>
      <c r="J181" s="47">
        <f t="shared" si="180"/>
        <v>8972.5950000000012</v>
      </c>
      <c r="K181" s="92">
        <f t="shared" si="180"/>
        <v>1</v>
      </c>
      <c r="L181" s="47">
        <f t="shared" si="180"/>
        <v>16616.79</v>
      </c>
      <c r="M181" s="92">
        <f t="shared" si="180"/>
        <v>1</v>
      </c>
      <c r="N181" s="47">
        <f t="shared" si="180"/>
        <v>26240.38</v>
      </c>
      <c r="O181" s="92">
        <f t="shared" si="180"/>
        <v>1</v>
      </c>
      <c r="P181" s="47">
        <f t="shared" si="180"/>
        <v>22830.63</v>
      </c>
      <c r="Q181" s="92">
        <f t="shared" si="180"/>
        <v>1</v>
      </c>
      <c r="R181" s="47">
        <f t="shared" si="180"/>
        <v>19455.29</v>
      </c>
      <c r="S181" s="92">
        <f t="shared" si="180"/>
        <v>1</v>
      </c>
      <c r="T181" s="47">
        <f t="shared" si="180"/>
        <v>20456.549999999996</v>
      </c>
      <c r="U181" s="92">
        <f t="shared" si="180"/>
        <v>1.0000000000000002</v>
      </c>
      <c r="V181" s="47">
        <f t="shared" si="180"/>
        <v>21562.449999999997</v>
      </c>
      <c r="W181" s="188">
        <f t="shared" si="180"/>
        <v>1.0000000000000002</v>
      </c>
      <c r="X181" s="85">
        <f>+AVERAGE(E181,G181,I181,K181,M181,O181,Q181,S181,U181,W181)</f>
        <v>1</v>
      </c>
      <c r="Y181" s="85">
        <f>+AVERAGE(S181,U181,W181)</f>
        <v>1</v>
      </c>
      <c r="AA181" s="103"/>
      <c r="AB181" s="103">
        <f t="shared" ref="AB181:AB216" si="181">+(F181-D181)/D181</f>
        <v>0.31700969356019559</v>
      </c>
      <c r="AC181" s="103">
        <f t="shared" ref="AC181:AC216" si="182">+(H181-F181)/F181</f>
        <v>-0.11925827101545951</v>
      </c>
      <c r="AD181" s="103">
        <f t="shared" ref="AD181:AD216" si="183">+(J181-H181)/H181</f>
        <v>-0.1484023162072817</v>
      </c>
      <c r="AE181" s="103">
        <f t="shared" ref="AE181:AE216" si="184">+(L181-J181)/J181</f>
        <v>0.85194918526914443</v>
      </c>
      <c r="AF181" s="103">
        <f t="shared" ref="AF181:AF216" si="185">+(N181-L181)/L181</f>
        <v>0.57914855998059789</v>
      </c>
      <c r="AG181" s="103">
        <f t="shared" ref="AG181:AG216" si="186">+(P181-N181)/N181</f>
        <v>-0.12994285905920569</v>
      </c>
      <c r="AH181" s="103">
        <f t="shared" ref="AH181:AH216" si="187">+(R181-P181)/P181</f>
        <v>-0.14784261319113839</v>
      </c>
      <c r="AI181" s="103">
        <f t="shared" ref="AI181:AI216" si="188">+(T181-R181)/R181</f>
        <v>5.1464665908346509E-2</v>
      </c>
      <c r="AJ181" s="103">
        <f t="shared" ref="AJ181:AJ216" si="189">+(V181-T181)/T181</f>
        <v>5.4060924251645645E-2</v>
      </c>
      <c r="AK181" s="85">
        <f>+AVERAGE(AB181:AJ181)</f>
        <v>0.14535410772187163</v>
      </c>
      <c r="AL181" s="85">
        <f>+AVERAGE(AH181:AJ181)</f>
        <v>-1.4105674343715416E-2</v>
      </c>
      <c r="AN181" s="135">
        <v>1317383.76</v>
      </c>
    </row>
    <row r="182" spans="2:40" s="34" customFormat="1" x14ac:dyDescent="0.25">
      <c r="B182" s="11" t="s">
        <v>143</v>
      </c>
      <c r="C182" s="12">
        <v>510000</v>
      </c>
      <c r="D182" s="48">
        <f t="shared" ref="D182:V182" si="190">+SUM(D183:D203)</f>
        <v>5731.99</v>
      </c>
      <c r="E182" s="90">
        <f>+D182/D$181</f>
        <v>0.63104361276401333</v>
      </c>
      <c r="F182" s="48">
        <f t="shared" si="190"/>
        <v>6979.2000000000007</v>
      </c>
      <c r="G182" s="90">
        <f>+F182/F$181</f>
        <v>0.5834056404572151</v>
      </c>
      <c r="H182" s="48">
        <f t="shared" si="190"/>
        <v>6945.8399999999992</v>
      </c>
      <c r="I182" s="90">
        <f>+H182/H$181</f>
        <v>0.65923640329189193</v>
      </c>
      <c r="J182" s="48">
        <f t="shared" si="190"/>
        <v>9427.4740000000002</v>
      </c>
      <c r="K182" s="90">
        <f>+J182/J$181</f>
        <v>1.0506964818984919</v>
      </c>
      <c r="L182" s="48">
        <f t="shared" si="190"/>
        <v>10491.66</v>
      </c>
      <c r="M182" s="90">
        <f>+L182/L$181</f>
        <v>0.63138909500571405</v>
      </c>
      <c r="N182" s="48">
        <f t="shared" si="190"/>
        <v>17264.440000000002</v>
      </c>
      <c r="O182" s="90">
        <f>+N182/N$181</f>
        <v>0.65793406955234646</v>
      </c>
      <c r="P182" s="48">
        <f t="shared" si="190"/>
        <v>18012.010000000002</v>
      </c>
      <c r="Q182" s="90">
        <f>+P182/P$181</f>
        <v>0.78894055923993345</v>
      </c>
      <c r="R182" s="48">
        <f t="shared" si="190"/>
        <v>17817.46</v>
      </c>
      <c r="S182" s="90">
        <f>+R182/R$181</f>
        <v>0.91581569845527866</v>
      </c>
      <c r="T182" s="48">
        <f t="shared" si="190"/>
        <v>17216.48</v>
      </c>
      <c r="U182" s="90">
        <f>+T182/T$181</f>
        <v>0.84161209979199836</v>
      </c>
      <c r="V182" s="48">
        <f t="shared" si="190"/>
        <v>16167.29</v>
      </c>
      <c r="W182" s="182">
        <f>+V182/V$181</f>
        <v>0.74978910096023421</v>
      </c>
      <c r="X182" s="80">
        <f t="shared" ref="X182:X216" si="191">+AVERAGE(E182,G182,I182,K182,M182,O182,Q182,S182,U182,W182)</f>
        <v>0.75098627614171176</v>
      </c>
      <c r="Y182" s="80">
        <f t="shared" ref="Y182:Y216" si="192">+AVERAGE(S182,U182,W182)</f>
        <v>0.83573896640250378</v>
      </c>
      <c r="AA182" s="81"/>
      <c r="AB182" s="80">
        <f t="shared" si="181"/>
        <v>0.21758760918982778</v>
      </c>
      <c r="AC182" s="80">
        <f t="shared" si="182"/>
        <v>-4.7799174690511077E-3</v>
      </c>
      <c r="AD182" s="80">
        <f t="shared" si="183"/>
        <v>0.35728349630858203</v>
      </c>
      <c r="AE182" s="80">
        <f t="shared" si="184"/>
        <v>0.11288135082631887</v>
      </c>
      <c r="AF182" s="80">
        <f t="shared" si="185"/>
        <v>0.64553940939755983</v>
      </c>
      <c r="AG182" s="80">
        <f t="shared" si="186"/>
        <v>4.3301143854072278E-2</v>
      </c>
      <c r="AH182" s="80">
        <f t="shared" si="187"/>
        <v>-1.080112658165318E-2</v>
      </c>
      <c r="AI182" s="80">
        <f t="shared" si="188"/>
        <v>-3.3729835790286586E-2</v>
      </c>
      <c r="AJ182" s="80">
        <f t="shared" si="189"/>
        <v>-6.0941028595856921E-2</v>
      </c>
      <c r="AK182" s="80">
        <f t="shared" ref="AK182:AK216" si="193">+AVERAGE(AB182:AJ182)</f>
        <v>0.14070456679327922</v>
      </c>
      <c r="AL182" s="80">
        <f>+AVERAGE(AH182:AJ182)</f>
        <v>-3.51573303225989E-2</v>
      </c>
      <c r="AN182" s="134">
        <v>1108777.9200000002</v>
      </c>
    </row>
    <row r="183" spans="2:40" x14ac:dyDescent="0.25">
      <c r="B183" s="8" t="s">
        <v>144</v>
      </c>
      <c r="C183" s="32">
        <v>510500</v>
      </c>
      <c r="D183" s="42">
        <v>2637.2</v>
      </c>
      <c r="E183" s="89">
        <f t="shared" ref="E183:E203" si="194">+D183/D$182</f>
        <v>0.46008454306445057</v>
      </c>
      <c r="F183" s="42">
        <v>2825.68</v>
      </c>
      <c r="G183" s="89">
        <f t="shared" ref="G183:G203" si="195">+F183/F$182</f>
        <v>0.40487161852361297</v>
      </c>
      <c r="H183" s="42">
        <v>2785.43</v>
      </c>
      <c r="I183" s="89">
        <f t="shared" ref="I183:I203" si="196">+H183/H$182</f>
        <v>0.40102133075337182</v>
      </c>
      <c r="J183" s="42">
        <v>3705.7849999999999</v>
      </c>
      <c r="K183" s="89">
        <f t="shared" ref="K183:K203" si="197">+J183/J$182</f>
        <v>0.39308355557384722</v>
      </c>
      <c r="L183" s="42">
        <v>4249.6400000000003</v>
      </c>
      <c r="M183" s="89">
        <f t="shared" ref="M183:M203" si="198">+L183/L$182</f>
        <v>0.40504934395510345</v>
      </c>
      <c r="N183" s="42">
        <v>5799.08</v>
      </c>
      <c r="O183" s="89">
        <f>+N183/N$182</f>
        <v>0.33589737054894331</v>
      </c>
      <c r="P183" s="42">
        <v>7423.67</v>
      </c>
      <c r="Q183" s="89">
        <f>+P183/P$182</f>
        <v>0.41215111472845056</v>
      </c>
      <c r="R183" s="42">
        <v>7647.12</v>
      </c>
      <c r="S183" s="89">
        <f t="shared" ref="S183:S203" si="199">+R183/R$182</f>
        <v>0.42919248871612453</v>
      </c>
      <c r="T183" s="42">
        <v>6560.92</v>
      </c>
      <c r="U183" s="89">
        <f t="shared" ref="U183:U203" si="200">+T183/T$182</f>
        <v>0.38108370584463258</v>
      </c>
      <c r="V183" s="42">
        <v>6501.58</v>
      </c>
      <c r="W183" s="184">
        <f t="shared" ref="W183:W203" si="201">+V183/V$182</f>
        <v>0.40214408227971415</v>
      </c>
      <c r="X183" s="81">
        <f t="shared" si="191"/>
        <v>0.40245791539882508</v>
      </c>
      <c r="Y183" s="81">
        <f t="shared" si="192"/>
        <v>0.40414009228015707</v>
      </c>
      <c r="AA183" s="81"/>
      <c r="AB183" s="81">
        <f t="shared" si="181"/>
        <v>7.1469740634005782E-2</v>
      </c>
      <c r="AC183" s="81">
        <f t="shared" si="182"/>
        <v>-1.424435887998641E-2</v>
      </c>
      <c r="AD183" s="81">
        <f t="shared" si="183"/>
        <v>0.33041756569003711</v>
      </c>
      <c r="AE183" s="81">
        <f t="shared" si="184"/>
        <v>0.14675837912884868</v>
      </c>
      <c r="AF183" s="81">
        <f t="shared" si="185"/>
        <v>0.36460500183544947</v>
      </c>
      <c r="AG183" s="81">
        <f t="shared" si="186"/>
        <v>0.2801461611152114</v>
      </c>
      <c r="AH183" s="81">
        <f t="shared" si="187"/>
        <v>3.009966768458186E-2</v>
      </c>
      <c r="AI183" s="81">
        <f t="shared" si="188"/>
        <v>-0.14204040213832134</v>
      </c>
      <c r="AJ183" s="81">
        <f t="shared" si="189"/>
        <v>-9.0444632764917331E-3</v>
      </c>
      <c r="AK183" s="81">
        <f t="shared" si="193"/>
        <v>0.1175741435325928</v>
      </c>
      <c r="AL183" s="81">
        <f t="shared" ref="AL183:AL216" si="202">+AVERAGE(AH183:AJ183)</f>
        <v>-4.0328399243410404E-2</v>
      </c>
      <c r="AN183" s="132">
        <v>485595.85000000009</v>
      </c>
    </row>
    <row r="184" spans="2:40" x14ac:dyDescent="0.25">
      <c r="B184" s="8" t="s">
        <v>76</v>
      </c>
      <c r="C184" s="32">
        <v>511000</v>
      </c>
      <c r="D184" s="42">
        <v>391.96</v>
      </c>
      <c r="E184" s="89">
        <f t="shared" si="194"/>
        <v>6.838113813876158E-2</v>
      </c>
      <c r="F184" s="42">
        <v>667.42</v>
      </c>
      <c r="G184" s="89">
        <f t="shared" si="195"/>
        <v>9.5629871618523599E-2</v>
      </c>
      <c r="H184" s="42">
        <v>678.58</v>
      </c>
      <c r="I184" s="89">
        <f t="shared" si="196"/>
        <v>9.7695887034541559E-2</v>
      </c>
      <c r="J184" s="42">
        <v>686.43499999999995</v>
      </c>
      <c r="K184" s="89">
        <f t="shared" si="197"/>
        <v>7.2812187018495081E-2</v>
      </c>
      <c r="L184" s="42">
        <v>1018.07</v>
      </c>
      <c r="M184" s="89">
        <f t="shared" si="198"/>
        <v>9.7036122024541399E-2</v>
      </c>
      <c r="N184" s="42">
        <v>1054.8499999999999</v>
      </c>
      <c r="O184" s="89">
        <f t="shared" ref="O184:Q203" si="203">+N184/N$182</f>
        <v>6.109957809230996E-2</v>
      </c>
      <c r="P184" s="42">
        <v>1347.66</v>
      </c>
      <c r="Q184" s="89">
        <f t="shared" si="203"/>
        <v>7.4820078381035757E-2</v>
      </c>
      <c r="R184" s="42">
        <v>972.39</v>
      </c>
      <c r="S184" s="89">
        <f t="shared" si="199"/>
        <v>5.4575119012474284E-2</v>
      </c>
      <c r="T184" s="42">
        <v>563.16</v>
      </c>
      <c r="U184" s="89">
        <f t="shared" si="200"/>
        <v>3.2710519223441724E-2</v>
      </c>
      <c r="V184" s="42">
        <v>1119.26</v>
      </c>
      <c r="W184" s="184">
        <f t="shared" si="201"/>
        <v>6.922990804272082E-2</v>
      </c>
      <c r="X184" s="81">
        <f t="shared" si="191"/>
        <v>7.2399040858684566E-2</v>
      </c>
      <c r="Y184" s="81">
        <f t="shared" si="192"/>
        <v>5.2171848759545614E-2</v>
      </c>
      <c r="AA184" s="81"/>
      <c r="AB184" s="81">
        <f t="shared" si="181"/>
        <v>0.70277579344831098</v>
      </c>
      <c r="AC184" s="81">
        <f t="shared" si="182"/>
        <v>1.6721105151179291E-2</v>
      </c>
      <c r="AD184" s="81">
        <f t="shared" si="183"/>
        <v>1.1575643255032426E-2</v>
      </c>
      <c r="AE184" s="81">
        <f t="shared" si="184"/>
        <v>0.4831265888248707</v>
      </c>
      <c r="AF184" s="81">
        <f t="shared" si="185"/>
        <v>3.6127181824432364E-2</v>
      </c>
      <c r="AG184" s="81">
        <f t="shared" si="186"/>
        <v>0.2775844906858797</v>
      </c>
      <c r="AH184" s="81">
        <f t="shared" si="187"/>
        <v>-0.27846044254485558</v>
      </c>
      <c r="AI184" s="81">
        <f t="shared" si="188"/>
        <v>-0.42084965908740324</v>
      </c>
      <c r="AJ184" s="81">
        <f t="shared" si="189"/>
        <v>0.98746359826692243</v>
      </c>
      <c r="AK184" s="81">
        <f t="shared" si="193"/>
        <v>0.20178492220270769</v>
      </c>
      <c r="AL184" s="81">
        <f t="shared" si="202"/>
        <v>9.6051165544887865E-2</v>
      </c>
      <c r="AN184" s="132">
        <v>67170.070000000007</v>
      </c>
    </row>
    <row r="185" spans="2:40" x14ac:dyDescent="0.25">
      <c r="B185" s="8" t="s">
        <v>145</v>
      </c>
      <c r="C185" s="32">
        <v>511500</v>
      </c>
      <c r="D185" s="42">
        <v>473.74</v>
      </c>
      <c r="E185" s="89">
        <f t="shared" si="194"/>
        <v>8.2648434487848033E-2</v>
      </c>
      <c r="F185" s="42">
        <v>264.42</v>
      </c>
      <c r="G185" s="89">
        <f t="shared" si="195"/>
        <v>3.7886863823933976E-2</v>
      </c>
      <c r="H185" s="42">
        <v>259.20999999999998</v>
      </c>
      <c r="I185" s="89">
        <f t="shared" si="196"/>
        <v>3.7318740425924007E-2</v>
      </c>
      <c r="J185" s="42">
        <v>267.30500000000001</v>
      </c>
      <c r="K185" s="89">
        <f t="shared" si="197"/>
        <v>2.8353830517061092E-2</v>
      </c>
      <c r="L185" s="42">
        <v>567.44000000000005</v>
      </c>
      <c r="M185" s="89">
        <f t="shared" si="198"/>
        <v>5.4084863596418495E-2</v>
      </c>
      <c r="N185" s="42">
        <v>687.87</v>
      </c>
      <c r="O185" s="89">
        <f t="shared" si="203"/>
        <v>3.9843168964646403E-2</v>
      </c>
      <c r="P185" s="42">
        <v>643.85</v>
      </c>
      <c r="Q185" s="89">
        <f t="shared" si="203"/>
        <v>3.5745594189654568E-2</v>
      </c>
      <c r="R185" s="42">
        <v>634.17999999999995</v>
      </c>
      <c r="S185" s="89">
        <f t="shared" si="199"/>
        <v>3.559317658072475E-2</v>
      </c>
      <c r="T185" s="42">
        <v>1100.93</v>
      </c>
      <c r="U185" s="89">
        <f t="shared" si="200"/>
        <v>6.3946288672248927E-2</v>
      </c>
      <c r="V185" s="42">
        <v>1013.07</v>
      </c>
      <c r="W185" s="184">
        <f t="shared" si="201"/>
        <v>6.2661707682611006E-2</v>
      </c>
      <c r="X185" s="81">
        <f t="shared" si="191"/>
        <v>4.7808266894107124E-2</v>
      </c>
      <c r="Y185" s="81">
        <f t="shared" si="192"/>
        <v>5.4067057645194892E-2</v>
      </c>
      <c r="AA185" s="81"/>
      <c r="AB185" s="81">
        <f t="shared" si="181"/>
        <v>-0.44184573816861566</v>
      </c>
      <c r="AC185" s="81">
        <f t="shared" si="182"/>
        <v>-1.9703502004387096E-2</v>
      </c>
      <c r="AD185" s="81">
        <f t="shared" si="183"/>
        <v>3.1229505034528097E-2</v>
      </c>
      <c r="AE185" s="81">
        <f t="shared" si="184"/>
        <v>1.1228185032079461</v>
      </c>
      <c r="AF185" s="81">
        <f t="shared" si="185"/>
        <v>0.21223389257013947</v>
      </c>
      <c r="AG185" s="81">
        <f t="shared" si="186"/>
        <v>-6.3994650151918214E-2</v>
      </c>
      <c r="AH185" s="81">
        <f t="shared" si="187"/>
        <v>-1.5019026170692043E-2</v>
      </c>
      <c r="AI185" s="81">
        <f t="shared" si="188"/>
        <v>0.73598978208079746</v>
      </c>
      <c r="AJ185" s="81">
        <f t="shared" si="189"/>
        <v>-7.9805255556665733E-2</v>
      </c>
      <c r="AK185" s="81">
        <f t="shared" si="193"/>
        <v>0.1646559456490147</v>
      </c>
      <c r="AL185" s="81">
        <f t="shared" si="202"/>
        <v>0.21372183345114656</v>
      </c>
      <c r="AN185" s="132">
        <v>23442.839999999989</v>
      </c>
    </row>
    <row r="186" spans="2:40" x14ac:dyDescent="0.25">
      <c r="B186" s="8" t="s">
        <v>42</v>
      </c>
      <c r="C186" s="32">
        <v>512000</v>
      </c>
      <c r="D186" s="42">
        <v>69.819999999999993</v>
      </c>
      <c r="E186" s="89">
        <f t="shared" si="194"/>
        <v>1.2180760957363847E-2</v>
      </c>
      <c r="F186" s="42">
        <v>95.34</v>
      </c>
      <c r="G186" s="89">
        <f t="shared" si="195"/>
        <v>1.3660591471801925E-2</v>
      </c>
      <c r="H186" s="42">
        <v>185.31</v>
      </c>
      <c r="I186" s="89">
        <f t="shared" si="196"/>
        <v>2.6679278532186174E-2</v>
      </c>
      <c r="J186" s="42">
        <v>304.13499999999999</v>
      </c>
      <c r="K186" s="89">
        <f t="shared" si="197"/>
        <v>3.2260497350615869E-2</v>
      </c>
      <c r="L186" s="42">
        <v>354.19</v>
      </c>
      <c r="M186" s="89">
        <f t="shared" si="198"/>
        <v>3.3759195399012169E-2</v>
      </c>
      <c r="N186" s="42">
        <v>292.89</v>
      </c>
      <c r="O186" s="89">
        <f t="shared" si="203"/>
        <v>1.6964929068072867E-2</v>
      </c>
      <c r="P186" s="42">
        <v>451.37</v>
      </c>
      <c r="Q186" s="89">
        <f t="shared" si="203"/>
        <v>2.5059390928608188E-2</v>
      </c>
      <c r="R186" s="42">
        <v>387.2</v>
      </c>
      <c r="S186" s="89">
        <f t="shared" si="199"/>
        <v>2.1731492592097865E-2</v>
      </c>
      <c r="T186" s="42">
        <v>309.20999999999998</v>
      </c>
      <c r="U186" s="89">
        <f t="shared" si="200"/>
        <v>1.796011728297538E-2</v>
      </c>
      <c r="V186" s="42">
        <v>257.45999999999998</v>
      </c>
      <c r="W186" s="184">
        <f t="shared" si="201"/>
        <v>1.5924746819040173E-2</v>
      </c>
      <c r="X186" s="81">
        <f t="shared" si="191"/>
        <v>2.1618100040177446E-2</v>
      </c>
      <c r="Y186" s="81">
        <f t="shared" si="192"/>
        <v>1.8538785564704473E-2</v>
      </c>
      <c r="AA186" s="81"/>
      <c r="AB186" s="81">
        <f t="shared" si="181"/>
        <v>0.36551131480951032</v>
      </c>
      <c r="AC186" s="81">
        <f t="shared" si="182"/>
        <v>0.94367526746381369</v>
      </c>
      <c r="AD186" s="81">
        <f t="shared" si="183"/>
        <v>0.64122281582213581</v>
      </c>
      <c r="AE186" s="81">
        <f t="shared" si="184"/>
        <v>0.1645815180758545</v>
      </c>
      <c r="AF186" s="81">
        <f t="shared" si="185"/>
        <v>-0.17307095061972391</v>
      </c>
      <c r="AG186" s="81">
        <f t="shared" si="186"/>
        <v>0.54109051179623757</v>
      </c>
      <c r="AH186" s="81">
        <f t="shared" si="187"/>
        <v>-0.14216717991891356</v>
      </c>
      <c r="AI186" s="81">
        <f t="shared" si="188"/>
        <v>-0.20142045454545457</v>
      </c>
      <c r="AJ186" s="81">
        <f t="shared" si="189"/>
        <v>-0.16736198699912683</v>
      </c>
      <c r="AK186" s="81">
        <f t="shared" si="193"/>
        <v>0.21911787287603693</v>
      </c>
      <c r="AL186" s="81">
        <f t="shared" si="202"/>
        <v>-0.17031654048783165</v>
      </c>
      <c r="AN186" s="132">
        <v>30925.470000000008</v>
      </c>
    </row>
    <row r="187" spans="2:40" x14ac:dyDescent="0.25">
      <c r="B187" s="8" t="s">
        <v>77</v>
      </c>
      <c r="C187" s="32">
        <v>512500</v>
      </c>
      <c r="D187" s="42">
        <v>21.82</v>
      </c>
      <c r="E187" s="89">
        <f t="shared" si="194"/>
        <v>3.8067058735273443E-3</v>
      </c>
      <c r="F187" s="42">
        <v>44.750000000000973</v>
      </c>
      <c r="G187" s="89">
        <f t="shared" si="195"/>
        <v>6.4119096744613951E-3</v>
      </c>
      <c r="H187" s="42">
        <v>175.10999999999973</v>
      </c>
      <c r="I187" s="89">
        <f t="shared" si="196"/>
        <v>2.5210773642928681E-2</v>
      </c>
      <c r="J187" s="42">
        <v>189.31</v>
      </c>
      <c r="K187" s="89">
        <f t="shared" si="197"/>
        <v>2.0080670601690335E-2</v>
      </c>
      <c r="L187" s="42">
        <v>153.13000000000216</v>
      </c>
      <c r="M187" s="89">
        <f t="shared" si="198"/>
        <v>1.4595402443464824E-2</v>
      </c>
      <c r="N187" s="42">
        <v>277.49</v>
      </c>
      <c r="O187" s="89">
        <f t="shared" si="203"/>
        <v>1.6072922145172388E-2</v>
      </c>
      <c r="P187" s="42">
        <v>448.31</v>
      </c>
      <c r="Q187" s="89">
        <f t="shared" si="203"/>
        <v>2.4889504280754895E-2</v>
      </c>
      <c r="R187" s="42">
        <v>457.74</v>
      </c>
      <c r="S187" s="89">
        <f t="shared" si="199"/>
        <v>2.5690530524552883E-2</v>
      </c>
      <c r="T187" s="42">
        <v>468.27</v>
      </c>
      <c r="U187" s="89">
        <f t="shared" si="200"/>
        <v>2.7198939620642546E-2</v>
      </c>
      <c r="V187" s="42">
        <v>384.92</v>
      </c>
      <c r="W187" s="184">
        <f t="shared" si="201"/>
        <v>2.3808566556299787E-2</v>
      </c>
      <c r="X187" s="81">
        <f t="shared" si="191"/>
        <v>1.8776592536349508E-2</v>
      </c>
      <c r="Y187" s="81">
        <f t="shared" si="192"/>
        <v>2.5566012233831741E-2</v>
      </c>
      <c r="AA187" s="81"/>
      <c r="AB187" s="81">
        <f t="shared" si="181"/>
        <v>1.0508707607699803</v>
      </c>
      <c r="AC187" s="81">
        <f t="shared" si="182"/>
        <v>2.9130726256982329</v>
      </c>
      <c r="AD187" s="81">
        <f t="shared" si="183"/>
        <v>8.1091885100795472E-2</v>
      </c>
      <c r="AE187" s="81">
        <f t="shared" si="184"/>
        <v>-0.19111510221328956</v>
      </c>
      <c r="AF187" s="81">
        <f t="shared" si="185"/>
        <v>0.81212042055767064</v>
      </c>
      <c r="AG187" s="81">
        <f t="shared" si="186"/>
        <v>0.61558975098201729</v>
      </c>
      <c r="AH187" s="81">
        <f t="shared" si="187"/>
        <v>2.1034551984118147E-2</v>
      </c>
      <c r="AI187" s="81">
        <f t="shared" si="188"/>
        <v>2.3004325599685353E-2</v>
      </c>
      <c r="AJ187" s="81">
        <f t="shared" si="189"/>
        <v>-0.17799560082858173</v>
      </c>
      <c r="AK187" s="81">
        <f t="shared" si="193"/>
        <v>0.57196373529451427</v>
      </c>
      <c r="AL187" s="81">
        <f t="shared" si="202"/>
        <v>-4.4652241081592749E-2</v>
      </c>
      <c r="AN187" s="132">
        <v>9540.9900000000034</v>
      </c>
    </row>
    <row r="188" spans="2:40" x14ac:dyDescent="0.25">
      <c r="B188" s="8" t="s">
        <v>78</v>
      </c>
      <c r="C188" s="32">
        <v>513000</v>
      </c>
      <c r="D188" s="42">
        <v>74.84</v>
      </c>
      <c r="E188" s="89">
        <f t="shared" si="194"/>
        <v>1.3056547551548416E-2</v>
      </c>
      <c r="F188" s="42">
        <v>68.680000000000007</v>
      </c>
      <c r="G188" s="89">
        <f t="shared" si="195"/>
        <v>9.8406694176983028E-3</v>
      </c>
      <c r="H188" s="42">
        <v>95.84</v>
      </c>
      <c r="I188" s="89">
        <f t="shared" si="196"/>
        <v>1.3798187116317107E-2</v>
      </c>
      <c r="J188" s="42">
        <v>123.77500000000001</v>
      </c>
      <c r="K188" s="89">
        <f t="shared" si="197"/>
        <v>1.3129179672094562E-2</v>
      </c>
      <c r="L188" s="42">
        <v>144.38</v>
      </c>
      <c r="M188" s="89">
        <f t="shared" si="198"/>
        <v>1.3761406679209963E-2</v>
      </c>
      <c r="N188" s="42">
        <v>158.75</v>
      </c>
      <c r="O188" s="89">
        <f t="shared" si="203"/>
        <v>9.1952012344449045E-3</v>
      </c>
      <c r="P188" s="42">
        <v>206.96</v>
      </c>
      <c r="Q188" s="89">
        <f t="shared" si="203"/>
        <v>1.1490111320169152E-2</v>
      </c>
      <c r="R188" s="42">
        <v>230.01</v>
      </c>
      <c r="S188" s="89">
        <f t="shared" si="199"/>
        <v>1.2909247446044499E-2</v>
      </c>
      <c r="T188" s="42">
        <v>159.65</v>
      </c>
      <c r="U188" s="89">
        <f t="shared" si="200"/>
        <v>9.2730918282947512E-3</v>
      </c>
      <c r="V188" s="42">
        <v>237.97</v>
      </c>
      <c r="W188" s="184">
        <f t="shared" si="201"/>
        <v>1.4719226289625534E-2</v>
      </c>
      <c r="X188" s="81">
        <f t="shared" si="191"/>
        <v>1.211728685554472E-2</v>
      </c>
      <c r="Y188" s="81">
        <f t="shared" si="192"/>
        <v>1.2300521854654927E-2</v>
      </c>
      <c r="AA188" s="81"/>
      <c r="AB188" s="81">
        <f t="shared" si="181"/>
        <v>-8.2308925708177397E-2</v>
      </c>
      <c r="AC188" s="81">
        <f t="shared" si="182"/>
        <v>0.39545719277810126</v>
      </c>
      <c r="AD188" s="81">
        <f t="shared" si="183"/>
        <v>0.29147537562604342</v>
      </c>
      <c r="AE188" s="81">
        <f t="shared" si="184"/>
        <v>0.16647141991516856</v>
      </c>
      <c r="AF188" s="81">
        <f t="shared" si="185"/>
        <v>9.9529020639977872E-2</v>
      </c>
      <c r="AG188" s="81">
        <f t="shared" si="186"/>
        <v>0.30368503937007879</v>
      </c>
      <c r="AH188" s="81">
        <f t="shared" si="187"/>
        <v>0.11137417858523377</v>
      </c>
      <c r="AI188" s="81">
        <f t="shared" si="188"/>
        <v>-0.30589974348941346</v>
      </c>
      <c r="AJ188" s="81">
        <f t="shared" si="189"/>
        <v>0.49057312871907294</v>
      </c>
      <c r="AK188" s="81">
        <f t="shared" si="193"/>
        <v>0.16337296515956506</v>
      </c>
      <c r="AL188" s="81">
        <f t="shared" si="202"/>
        <v>9.8682521271631088E-2</v>
      </c>
      <c r="AN188" s="132">
        <v>6923.2900000000009</v>
      </c>
    </row>
    <row r="189" spans="2:40" x14ac:dyDescent="0.25">
      <c r="B189" s="8" t="s">
        <v>184</v>
      </c>
      <c r="C189" s="32">
        <v>513400</v>
      </c>
      <c r="D189" s="42">
        <v>0</v>
      </c>
      <c r="E189" s="89">
        <f t="shared" si="194"/>
        <v>0</v>
      </c>
      <c r="F189" s="42">
        <v>0</v>
      </c>
      <c r="G189" s="89">
        <f t="shared" si="195"/>
        <v>0</v>
      </c>
      <c r="H189" s="42">
        <v>0</v>
      </c>
      <c r="I189" s="89">
        <f t="shared" si="196"/>
        <v>0</v>
      </c>
      <c r="J189" s="42">
        <v>0</v>
      </c>
      <c r="K189" s="89">
        <f t="shared" si="197"/>
        <v>0</v>
      </c>
      <c r="L189" s="42">
        <v>325.27</v>
      </c>
      <c r="M189" s="89">
        <f t="shared" si="198"/>
        <v>3.1002720255898494E-2</v>
      </c>
      <c r="N189" s="42">
        <v>988.78</v>
      </c>
      <c r="O189" s="89">
        <f t="shared" si="203"/>
        <v>5.7272636702957049E-2</v>
      </c>
      <c r="P189" s="42">
        <v>154.19</v>
      </c>
      <c r="Q189" s="89">
        <f t="shared" si="203"/>
        <v>8.5603994223853955E-3</v>
      </c>
      <c r="R189" s="42">
        <v>130.68</v>
      </c>
      <c r="S189" s="89">
        <f t="shared" si="199"/>
        <v>7.3343787498330298E-3</v>
      </c>
      <c r="T189" s="42">
        <v>15.26</v>
      </c>
      <c r="U189" s="89">
        <f t="shared" si="200"/>
        <v>8.8636004572363223E-4</v>
      </c>
      <c r="V189" s="42">
        <v>14.11</v>
      </c>
      <c r="W189" s="184">
        <f t="shared" si="201"/>
        <v>8.7274985479941281E-4</v>
      </c>
      <c r="X189" s="81">
        <f t="shared" si="191"/>
        <v>1.0592924503159703E-2</v>
      </c>
      <c r="Y189" s="81">
        <f t="shared" si="192"/>
        <v>3.0311628834520251E-3</v>
      </c>
      <c r="AA189" s="81"/>
      <c r="AB189" s="81" t="e">
        <f t="shared" si="181"/>
        <v>#DIV/0!</v>
      </c>
      <c r="AC189" s="81" t="e">
        <f t="shared" si="182"/>
        <v>#DIV/0!</v>
      </c>
      <c r="AD189" s="81" t="e">
        <f t="shared" si="183"/>
        <v>#DIV/0!</v>
      </c>
      <c r="AE189" s="81" t="e">
        <f t="shared" si="184"/>
        <v>#DIV/0!</v>
      </c>
      <c r="AF189" s="81">
        <f t="shared" si="185"/>
        <v>2.039874565745381</v>
      </c>
      <c r="AG189" s="81">
        <f t="shared" si="186"/>
        <v>-0.84406035720787231</v>
      </c>
      <c r="AH189" s="81">
        <f t="shared" si="187"/>
        <v>-0.15247422011803613</v>
      </c>
      <c r="AI189" s="81">
        <f t="shared" si="188"/>
        <v>-0.88322620140801955</v>
      </c>
      <c r="AJ189" s="81">
        <f t="shared" si="189"/>
        <v>-7.5360419397116671E-2</v>
      </c>
      <c r="AK189" s="81" t="e">
        <f t="shared" si="193"/>
        <v>#DIV/0!</v>
      </c>
      <c r="AL189" s="81">
        <f t="shared" si="202"/>
        <v>-0.37035361364105746</v>
      </c>
      <c r="AN189" s="132">
        <v>53423.079999999994</v>
      </c>
    </row>
    <row r="190" spans="2:40" x14ac:dyDescent="0.25">
      <c r="B190" s="8" t="s">
        <v>23</v>
      </c>
      <c r="C190" s="32">
        <v>513500</v>
      </c>
      <c r="D190" s="42">
        <v>593.48</v>
      </c>
      <c r="E190" s="89">
        <f t="shared" si="194"/>
        <v>0.10353821273240184</v>
      </c>
      <c r="F190" s="42">
        <v>743.14</v>
      </c>
      <c r="G190" s="89">
        <f t="shared" si="195"/>
        <v>0.1064792526364053</v>
      </c>
      <c r="H190" s="42">
        <v>774.37</v>
      </c>
      <c r="I190" s="89">
        <f t="shared" si="196"/>
        <v>0.11148687559747994</v>
      </c>
      <c r="J190" s="42">
        <v>847.255</v>
      </c>
      <c r="K190" s="89">
        <f t="shared" si="197"/>
        <v>8.9870839208890954E-2</v>
      </c>
      <c r="L190" s="42">
        <v>1022.21</v>
      </c>
      <c r="M190" s="89">
        <f t="shared" si="198"/>
        <v>9.7430721163285897E-2</v>
      </c>
      <c r="N190" s="42">
        <v>1079.18</v>
      </c>
      <c r="O190" s="89">
        <f t="shared" si="203"/>
        <v>6.2508833185437804E-2</v>
      </c>
      <c r="P190" s="42">
        <v>1168.3900000000001</v>
      </c>
      <c r="Q190" s="89">
        <f t="shared" si="203"/>
        <v>6.4867274668401809E-2</v>
      </c>
      <c r="R190" s="42">
        <v>1196.01</v>
      </c>
      <c r="S190" s="89">
        <f t="shared" si="199"/>
        <v>6.7125729481082044E-2</v>
      </c>
      <c r="T190" s="42">
        <v>1050.2</v>
      </c>
      <c r="U190" s="89">
        <f t="shared" si="200"/>
        <v>6.0999693317100825E-2</v>
      </c>
      <c r="V190" s="42">
        <v>1109.47</v>
      </c>
      <c r="W190" s="184">
        <f t="shared" si="201"/>
        <v>6.8624364380177508E-2</v>
      </c>
      <c r="X190" s="81">
        <f t="shared" si="191"/>
        <v>8.3293179637066395E-2</v>
      </c>
      <c r="Y190" s="81">
        <f t="shared" si="192"/>
        <v>6.5583262392786792E-2</v>
      </c>
      <c r="AA190" s="81"/>
      <c r="AB190" s="81">
        <f t="shared" si="181"/>
        <v>0.25217362000404386</v>
      </c>
      <c r="AC190" s="81">
        <f t="shared" si="182"/>
        <v>4.2024383023387277E-2</v>
      </c>
      <c r="AD190" s="81">
        <f t="shared" si="183"/>
        <v>9.412167310200549E-2</v>
      </c>
      <c r="AE190" s="81">
        <f t="shared" si="184"/>
        <v>0.20649627325893627</v>
      </c>
      <c r="AF190" s="81">
        <f t="shared" si="185"/>
        <v>5.5732188102249072E-2</v>
      </c>
      <c r="AG190" s="81">
        <f t="shared" si="186"/>
        <v>8.2664615726755528E-2</v>
      </c>
      <c r="AH190" s="81">
        <f t="shared" si="187"/>
        <v>2.3639366992185731E-2</v>
      </c>
      <c r="AI190" s="81">
        <f t="shared" si="188"/>
        <v>-0.1219136963737761</v>
      </c>
      <c r="AJ190" s="81">
        <f t="shared" si="189"/>
        <v>5.6436869167777549E-2</v>
      </c>
      <c r="AK190" s="81">
        <f t="shared" si="193"/>
        <v>7.6819477000396083E-2</v>
      </c>
      <c r="AL190" s="81">
        <f t="shared" si="202"/>
        <v>-1.3945820071270938E-2</v>
      </c>
      <c r="AN190" s="132">
        <v>71836.45</v>
      </c>
    </row>
    <row r="191" spans="2:40" x14ac:dyDescent="0.25">
      <c r="B191" s="8" t="s">
        <v>146</v>
      </c>
      <c r="C191" s="32">
        <v>513600</v>
      </c>
      <c r="D191" s="42">
        <v>223.75</v>
      </c>
      <c r="E191" s="89">
        <f t="shared" si="194"/>
        <v>3.9035308854342039E-2</v>
      </c>
      <c r="F191" s="42">
        <v>478.86</v>
      </c>
      <c r="G191" s="89">
        <f t="shared" si="195"/>
        <v>6.8612448418156807E-2</v>
      </c>
      <c r="H191" s="42">
        <v>316.06</v>
      </c>
      <c r="I191" s="89">
        <f t="shared" si="196"/>
        <v>4.5503495617520706E-2</v>
      </c>
      <c r="J191" s="42">
        <v>188.82</v>
      </c>
      <c r="K191" s="89">
        <f t="shared" si="197"/>
        <v>2.0028694855058735E-2</v>
      </c>
      <c r="L191" s="42">
        <v>341.38</v>
      </c>
      <c r="M191" s="89">
        <f t="shared" si="198"/>
        <v>3.2538225600143349E-2</v>
      </c>
      <c r="N191" s="42">
        <v>590.86</v>
      </c>
      <c r="O191" s="89">
        <f t="shared" si="203"/>
        <v>3.4224104575647979E-2</v>
      </c>
      <c r="P191" s="42">
        <v>649.64</v>
      </c>
      <c r="Q191" s="89">
        <f t="shared" si="203"/>
        <v>3.606704637627893E-2</v>
      </c>
      <c r="R191" s="42">
        <v>572.51</v>
      </c>
      <c r="S191" s="89">
        <f t="shared" si="199"/>
        <v>3.2131964937763297E-2</v>
      </c>
      <c r="T191" s="42">
        <v>198.6</v>
      </c>
      <c r="U191" s="89">
        <f t="shared" si="200"/>
        <v>1.1535459048539538E-2</v>
      </c>
      <c r="V191" s="42">
        <v>168.31</v>
      </c>
      <c r="W191" s="184">
        <f t="shared" si="201"/>
        <v>1.0410526439496044E-2</v>
      </c>
      <c r="X191" s="81">
        <f t="shared" si="191"/>
        <v>3.3008727472294733E-2</v>
      </c>
      <c r="Y191" s="81">
        <f t="shared" si="192"/>
        <v>1.8025983475266294E-2</v>
      </c>
      <c r="AA191" s="81"/>
      <c r="AB191" s="81">
        <f t="shared" si="181"/>
        <v>1.1401564245810056</v>
      </c>
      <c r="AC191" s="81">
        <f t="shared" si="182"/>
        <v>-0.33997410516643695</v>
      </c>
      <c r="AD191" s="81">
        <f t="shared" si="183"/>
        <v>-0.40258178826805041</v>
      </c>
      <c r="AE191" s="81">
        <f t="shared" si="184"/>
        <v>0.80796525791759355</v>
      </c>
      <c r="AF191" s="81">
        <f t="shared" si="185"/>
        <v>0.73079852363934628</v>
      </c>
      <c r="AG191" s="81">
        <f t="shared" si="186"/>
        <v>9.9482110821514355E-2</v>
      </c>
      <c r="AH191" s="81">
        <f t="shared" si="187"/>
        <v>-0.11872729511729573</v>
      </c>
      <c r="AI191" s="81">
        <f t="shared" si="188"/>
        <v>-0.65310649595640247</v>
      </c>
      <c r="AJ191" s="81">
        <f t="shared" si="189"/>
        <v>-0.15251762336354477</v>
      </c>
      <c r="AK191" s="81">
        <f t="shared" si="193"/>
        <v>0.12349944545419216</v>
      </c>
      <c r="AL191" s="81">
        <f t="shared" si="202"/>
        <v>-0.30811713814574765</v>
      </c>
      <c r="AN191" s="132">
        <v>8197.9300000000021</v>
      </c>
    </row>
    <row r="192" spans="2:40" x14ac:dyDescent="0.25">
      <c r="B192" s="8" t="s">
        <v>147</v>
      </c>
      <c r="C192" s="32">
        <v>513700</v>
      </c>
      <c r="D192" s="42">
        <v>36.01</v>
      </c>
      <c r="E192" s="89">
        <f t="shared" si="194"/>
        <v>6.2822859076865105E-3</v>
      </c>
      <c r="F192" s="42">
        <v>36.229999999999997</v>
      </c>
      <c r="G192" s="89">
        <f t="shared" si="195"/>
        <v>5.1911393856029333E-3</v>
      </c>
      <c r="H192" s="42">
        <v>58.71</v>
      </c>
      <c r="I192" s="89">
        <f t="shared" si="196"/>
        <v>8.4525413772848224E-3</v>
      </c>
      <c r="J192" s="42">
        <v>60.51</v>
      </c>
      <c r="K192" s="89">
        <f t="shared" si="197"/>
        <v>6.4184743442410978E-3</v>
      </c>
      <c r="L192" s="42">
        <v>49.14</v>
      </c>
      <c r="M192" s="89">
        <f t="shared" si="198"/>
        <v>4.6837202120541457E-3</v>
      </c>
      <c r="N192" s="42">
        <v>41.05</v>
      </c>
      <c r="O192" s="89">
        <f t="shared" si="203"/>
        <v>2.3777197522769342E-3</v>
      </c>
      <c r="P192" s="42">
        <v>24.53</v>
      </c>
      <c r="Q192" s="89">
        <f t="shared" si="203"/>
        <v>1.3618691084448652E-3</v>
      </c>
      <c r="R192" s="42">
        <v>14.95</v>
      </c>
      <c r="S192" s="89">
        <f t="shared" si="199"/>
        <v>8.3906460292320002E-4</v>
      </c>
      <c r="T192" s="42">
        <v>4.5</v>
      </c>
      <c r="U192" s="89">
        <f t="shared" si="200"/>
        <v>2.6137747088835812E-4</v>
      </c>
      <c r="V192" s="42">
        <v>3.17</v>
      </c>
      <c r="W192" s="184">
        <f t="shared" si="201"/>
        <v>1.9607491422495666E-4</v>
      </c>
      <c r="X192" s="81">
        <f t="shared" si="191"/>
        <v>3.6064267075627821E-3</v>
      </c>
      <c r="Y192" s="81">
        <f t="shared" si="192"/>
        <v>4.321723293455049E-4</v>
      </c>
      <c r="AA192" s="81"/>
      <c r="AB192" s="81">
        <f t="shared" si="181"/>
        <v>6.109414051652288E-3</v>
      </c>
      <c r="AC192" s="81">
        <f t="shared" si="182"/>
        <v>0.62048026497377884</v>
      </c>
      <c r="AD192" s="81">
        <f t="shared" si="183"/>
        <v>3.0659172202350489E-2</v>
      </c>
      <c r="AE192" s="81">
        <f t="shared" si="184"/>
        <v>-0.18790282597917696</v>
      </c>
      <c r="AF192" s="81">
        <f t="shared" si="185"/>
        <v>-0.1646316646316647</v>
      </c>
      <c r="AG192" s="81">
        <f t="shared" si="186"/>
        <v>-0.40243605359317897</v>
      </c>
      <c r="AH192" s="81">
        <f t="shared" si="187"/>
        <v>-0.39054219323277622</v>
      </c>
      <c r="AI192" s="81">
        <f t="shared" si="188"/>
        <v>-0.69899665551839463</v>
      </c>
      <c r="AJ192" s="81">
        <f t="shared" si="189"/>
        <v>-0.29555555555555557</v>
      </c>
      <c r="AK192" s="81">
        <f t="shared" si="193"/>
        <v>-0.16475734414255172</v>
      </c>
      <c r="AL192" s="81">
        <f t="shared" si="202"/>
        <v>-0.46169813476890881</v>
      </c>
      <c r="AN192" s="132">
        <v>9128.1899999999987</v>
      </c>
    </row>
    <row r="193" spans="2:40" x14ac:dyDescent="0.25">
      <c r="B193" s="8" t="s">
        <v>148</v>
      </c>
      <c r="C193" s="32">
        <v>513800</v>
      </c>
      <c r="D193" s="42">
        <v>158.86000000000001</v>
      </c>
      <c r="E193" s="89">
        <f t="shared" si="194"/>
        <v>2.7714633137880564E-2</v>
      </c>
      <c r="F193" s="42">
        <v>127.35</v>
      </c>
      <c r="G193" s="89">
        <f t="shared" si="195"/>
        <v>1.8247077028885828E-2</v>
      </c>
      <c r="H193" s="42">
        <v>147.34</v>
      </c>
      <c r="I193" s="89">
        <f t="shared" si="196"/>
        <v>2.1212697096391512E-2</v>
      </c>
      <c r="J193" s="42">
        <v>161.245</v>
      </c>
      <c r="K193" s="89">
        <f t="shared" si="197"/>
        <v>1.7103733195127348E-2</v>
      </c>
      <c r="L193" s="42">
        <v>182.48</v>
      </c>
      <c r="M193" s="89">
        <f t="shared" si="198"/>
        <v>1.7392862521278807E-2</v>
      </c>
      <c r="N193" s="42">
        <v>225.99</v>
      </c>
      <c r="O193" s="89">
        <f t="shared" si="203"/>
        <v>1.3089911980927269E-2</v>
      </c>
      <c r="P193" s="42">
        <v>189.44</v>
      </c>
      <c r="Q193" s="89">
        <f t="shared" si="203"/>
        <v>1.0517426983440492E-2</v>
      </c>
      <c r="R193" s="42">
        <v>202.88</v>
      </c>
      <c r="S193" s="89">
        <f t="shared" si="199"/>
        <v>1.1386583721809956E-2</v>
      </c>
      <c r="T193" s="42">
        <v>135.41</v>
      </c>
      <c r="U193" s="89">
        <f t="shared" si="200"/>
        <v>7.8651385184427946E-3</v>
      </c>
      <c r="V193" s="42">
        <v>125.47</v>
      </c>
      <c r="W193" s="184">
        <f t="shared" si="201"/>
        <v>7.7607316996231275E-3</v>
      </c>
      <c r="X193" s="81">
        <f t="shared" si="191"/>
        <v>1.5229079588380767E-2</v>
      </c>
      <c r="Y193" s="81">
        <f t="shared" si="192"/>
        <v>9.0041513132919585E-3</v>
      </c>
      <c r="AA193" s="81"/>
      <c r="AB193" s="81">
        <f t="shared" si="181"/>
        <v>-0.19835074908724673</v>
      </c>
      <c r="AC193" s="81">
        <f t="shared" si="182"/>
        <v>0.1569689831173931</v>
      </c>
      <c r="AD193" s="81">
        <f t="shared" si="183"/>
        <v>9.4373557757567533E-2</v>
      </c>
      <c r="AE193" s="81">
        <f t="shared" si="184"/>
        <v>0.13169400601569031</v>
      </c>
      <c r="AF193" s="81">
        <f t="shared" si="185"/>
        <v>0.23843708899605448</v>
      </c>
      <c r="AG193" s="81">
        <f t="shared" si="186"/>
        <v>-0.16173282003628484</v>
      </c>
      <c r="AH193" s="81">
        <f t="shared" si="187"/>
        <v>7.0945945945945929E-2</v>
      </c>
      <c r="AI193" s="81">
        <f t="shared" si="188"/>
        <v>-0.33256111987381703</v>
      </c>
      <c r="AJ193" s="81">
        <f t="shared" si="189"/>
        <v>-7.3406690790931234E-2</v>
      </c>
      <c r="AK193" s="81">
        <f t="shared" si="193"/>
        <v>-8.1813108839587159E-3</v>
      </c>
      <c r="AL193" s="81">
        <f t="shared" si="202"/>
        <v>-0.11167395490626746</v>
      </c>
      <c r="AN193" s="132">
        <v>5582.2800000000007</v>
      </c>
    </row>
    <row r="194" spans="2:40" x14ac:dyDescent="0.25">
      <c r="B194" s="8" t="s">
        <v>149</v>
      </c>
      <c r="C194" s="32">
        <v>513900</v>
      </c>
      <c r="D194" s="42">
        <v>21</v>
      </c>
      <c r="E194" s="89">
        <f t="shared" si="194"/>
        <v>3.6636490991784703E-3</v>
      </c>
      <c r="F194" s="42">
        <v>52.09</v>
      </c>
      <c r="G194" s="89">
        <f t="shared" si="195"/>
        <v>7.4636061439706551E-3</v>
      </c>
      <c r="H194" s="42">
        <v>89.71</v>
      </c>
      <c r="I194" s="89">
        <f t="shared" si="196"/>
        <v>1.2915644472086889E-2</v>
      </c>
      <c r="J194" s="42">
        <v>57.759</v>
      </c>
      <c r="K194" s="89">
        <f t="shared" si="197"/>
        <v>6.1266676524379697E-3</v>
      </c>
      <c r="L194" s="42">
        <v>72.56</v>
      </c>
      <c r="M194" s="89">
        <f t="shared" si="198"/>
        <v>6.9159694462077497E-3</v>
      </c>
      <c r="N194" s="42">
        <v>69.64</v>
      </c>
      <c r="O194" s="89">
        <f t="shared" si="203"/>
        <v>4.0337248123889329E-3</v>
      </c>
      <c r="P194" s="42">
        <v>158.61000000000001</v>
      </c>
      <c r="Q194" s="89">
        <f t="shared" si="203"/>
        <v>8.8057912470623761E-3</v>
      </c>
      <c r="R194" s="42">
        <v>390.69</v>
      </c>
      <c r="S194" s="89">
        <f t="shared" si="199"/>
        <v>2.1927367873984284E-2</v>
      </c>
      <c r="T194" s="42">
        <v>366.81</v>
      </c>
      <c r="U194" s="89">
        <f t="shared" si="200"/>
        <v>2.1305748910346367E-2</v>
      </c>
      <c r="V194" s="42">
        <v>324.77</v>
      </c>
      <c r="W194" s="184">
        <f t="shared" si="201"/>
        <v>2.0088091448845165E-2</v>
      </c>
      <c r="X194" s="81">
        <f t="shared" si="191"/>
        <v>1.1324626110650885E-2</v>
      </c>
      <c r="Y194" s="81">
        <f t="shared" si="192"/>
        <v>2.1107069411058606E-2</v>
      </c>
      <c r="AA194" s="81"/>
      <c r="AB194" s="81">
        <f t="shared" si="181"/>
        <v>1.4804761904761907</v>
      </c>
      <c r="AC194" s="81">
        <f t="shared" si="182"/>
        <v>0.72221155692071393</v>
      </c>
      <c r="AD194" s="81">
        <f t="shared" si="183"/>
        <v>-0.35615873369746959</v>
      </c>
      <c r="AE194" s="81">
        <f t="shared" si="184"/>
        <v>0.25625443653802876</v>
      </c>
      <c r="AF194" s="81">
        <f t="shared" si="185"/>
        <v>-4.0242557883131226E-2</v>
      </c>
      <c r="AG194" s="81">
        <f t="shared" si="186"/>
        <v>1.2775703618609997</v>
      </c>
      <c r="AH194" s="81">
        <f t="shared" si="187"/>
        <v>1.4632116512199733</v>
      </c>
      <c r="AI194" s="81">
        <f t="shared" si="188"/>
        <v>-6.1122629194502023E-2</v>
      </c>
      <c r="AJ194" s="81">
        <f t="shared" si="189"/>
        <v>-0.11460974346391871</v>
      </c>
      <c r="AK194" s="81">
        <f t="shared" si="193"/>
        <v>0.51417672586409824</v>
      </c>
      <c r="AL194" s="81">
        <f t="shared" si="202"/>
        <v>0.4291597595205176</v>
      </c>
      <c r="AN194" s="132">
        <v>8686.4699999999993</v>
      </c>
    </row>
    <row r="195" spans="2:40" x14ac:dyDescent="0.25">
      <c r="B195" s="8" t="s">
        <v>150</v>
      </c>
      <c r="C195" s="32">
        <v>514000</v>
      </c>
      <c r="D195" s="42">
        <v>31.11</v>
      </c>
      <c r="E195" s="89">
        <f t="shared" si="194"/>
        <v>5.4274344512115344E-3</v>
      </c>
      <c r="F195" s="42">
        <v>114.08</v>
      </c>
      <c r="G195" s="89">
        <f t="shared" si="195"/>
        <v>1.6345712975699218E-2</v>
      </c>
      <c r="H195" s="42">
        <v>92.15</v>
      </c>
      <c r="I195" s="89">
        <f t="shared" si="196"/>
        <v>1.3266933876968087E-2</v>
      </c>
      <c r="J195" s="42">
        <v>36.295000000000002</v>
      </c>
      <c r="K195" s="89">
        <f t="shared" si="197"/>
        <v>3.8499178040692556E-3</v>
      </c>
      <c r="L195" s="42">
        <v>59.78</v>
      </c>
      <c r="M195" s="89">
        <f t="shared" si="198"/>
        <v>5.6978590613878076E-3</v>
      </c>
      <c r="N195" s="42">
        <v>43.59</v>
      </c>
      <c r="O195" s="89">
        <f t="shared" si="203"/>
        <v>2.5248429720280529E-3</v>
      </c>
      <c r="P195" s="42">
        <v>158.99</v>
      </c>
      <c r="Q195" s="89">
        <f t="shared" si="203"/>
        <v>8.8268882817631126E-3</v>
      </c>
      <c r="R195" s="42">
        <v>329.77</v>
      </c>
      <c r="S195" s="89">
        <f t="shared" si="199"/>
        <v>1.8508249772975497E-2</v>
      </c>
      <c r="T195" s="42">
        <v>133.65</v>
      </c>
      <c r="U195" s="89">
        <f t="shared" si="200"/>
        <v>7.7629108853842369E-3</v>
      </c>
      <c r="V195" s="42">
        <v>74.349999999999994</v>
      </c>
      <c r="W195" s="184">
        <f t="shared" si="201"/>
        <v>4.5987917579260341E-3</v>
      </c>
      <c r="X195" s="81">
        <f t="shared" si="191"/>
        <v>8.6809541839412835E-3</v>
      </c>
      <c r="Y195" s="81">
        <f t="shared" si="192"/>
        <v>1.0289984138761922E-2</v>
      </c>
      <c r="AA195" s="81"/>
      <c r="AB195" s="81">
        <f t="shared" si="181"/>
        <v>2.6669881067180969</v>
      </c>
      <c r="AC195" s="81">
        <f t="shared" si="182"/>
        <v>-0.19223352033660582</v>
      </c>
      <c r="AD195" s="81">
        <f t="shared" si="183"/>
        <v>-0.60613130765056977</v>
      </c>
      <c r="AE195" s="81">
        <f t="shared" si="184"/>
        <v>0.64705882352941169</v>
      </c>
      <c r="AF195" s="81">
        <f t="shared" si="185"/>
        <v>-0.2708263633322181</v>
      </c>
      <c r="AG195" s="81">
        <f t="shared" si="186"/>
        <v>2.6473961917871072</v>
      </c>
      <c r="AH195" s="81">
        <f t="shared" si="187"/>
        <v>1.0741556072708973</v>
      </c>
      <c r="AI195" s="81">
        <f t="shared" si="188"/>
        <v>-0.59471753039997566</v>
      </c>
      <c r="AJ195" s="81">
        <f t="shared" si="189"/>
        <v>-0.44369622147399934</v>
      </c>
      <c r="AK195" s="81">
        <f t="shared" si="193"/>
        <v>0.54755486512357165</v>
      </c>
      <c r="AL195" s="81">
        <f t="shared" si="202"/>
        <v>1.1913951798974106E-2</v>
      </c>
      <c r="AN195" s="132">
        <v>1023.8399999999999</v>
      </c>
    </row>
    <row r="196" spans="2:40" x14ac:dyDescent="0.25">
      <c r="B196" s="8" t="s">
        <v>79</v>
      </c>
      <c r="C196" s="32">
        <v>514100</v>
      </c>
      <c r="D196" s="42">
        <v>6.19</v>
      </c>
      <c r="E196" s="89">
        <f t="shared" si="194"/>
        <v>1.0799041868530825E-3</v>
      </c>
      <c r="F196" s="42">
        <v>62.3</v>
      </c>
      <c r="G196" s="89">
        <f t="shared" si="195"/>
        <v>8.9265245300320945E-3</v>
      </c>
      <c r="H196" s="42">
        <v>11.47</v>
      </c>
      <c r="I196" s="89">
        <f t="shared" si="196"/>
        <v>1.6513481450767657E-3</v>
      </c>
      <c r="J196" s="42">
        <v>100.485</v>
      </c>
      <c r="K196" s="89">
        <f t="shared" si="197"/>
        <v>1.0658740612808902E-2</v>
      </c>
      <c r="L196" s="42">
        <v>14.24</v>
      </c>
      <c r="M196" s="89">
        <f t="shared" si="198"/>
        <v>1.3572685351984338E-3</v>
      </c>
      <c r="N196" s="42">
        <v>170.01</v>
      </c>
      <c r="O196" s="89">
        <f t="shared" si="203"/>
        <v>9.8474088936565552E-3</v>
      </c>
      <c r="P196" s="42">
        <v>20.61</v>
      </c>
      <c r="Q196" s="89">
        <f t="shared" si="203"/>
        <v>1.1442365399530645E-3</v>
      </c>
      <c r="R196" s="42">
        <v>25.9</v>
      </c>
      <c r="S196" s="89">
        <f t="shared" si="199"/>
        <v>1.4536303154321659E-3</v>
      </c>
      <c r="T196" s="42">
        <v>202.83</v>
      </c>
      <c r="U196" s="89">
        <f t="shared" si="200"/>
        <v>1.1781153871174597E-2</v>
      </c>
      <c r="V196" s="42">
        <v>6.94</v>
      </c>
      <c r="W196" s="184">
        <f t="shared" si="201"/>
        <v>4.2926179959659289E-4</v>
      </c>
      <c r="X196" s="81">
        <f t="shared" si="191"/>
        <v>4.8329477429782238E-3</v>
      </c>
      <c r="Y196" s="81">
        <f t="shared" si="192"/>
        <v>4.554681995401118E-3</v>
      </c>
      <c r="AA196" s="81"/>
      <c r="AB196" s="81">
        <f t="shared" si="181"/>
        <v>9.0646203554119538</v>
      </c>
      <c r="AC196" s="81">
        <f t="shared" si="182"/>
        <v>-0.81589085072231138</v>
      </c>
      <c r="AD196" s="81">
        <f t="shared" si="183"/>
        <v>7.7606800348735829</v>
      </c>
      <c r="AE196" s="81">
        <f t="shared" si="184"/>
        <v>-0.85828730656316865</v>
      </c>
      <c r="AF196" s="81">
        <f t="shared" si="185"/>
        <v>10.938904494382021</v>
      </c>
      <c r="AG196" s="81">
        <f t="shared" si="186"/>
        <v>-0.87877183695076755</v>
      </c>
      <c r="AH196" s="81">
        <f t="shared" si="187"/>
        <v>0.25667151868025229</v>
      </c>
      <c r="AI196" s="81">
        <f t="shared" si="188"/>
        <v>6.8312741312741316</v>
      </c>
      <c r="AJ196" s="81">
        <f t="shared" si="189"/>
        <v>-0.96578415421781794</v>
      </c>
      <c r="AK196" s="81">
        <f t="shared" si="193"/>
        <v>3.4814907095742087</v>
      </c>
      <c r="AL196" s="81">
        <f t="shared" si="202"/>
        <v>2.0407204985788554</v>
      </c>
      <c r="AN196" s="132">
        <v>798.90000000000009</v>
      </c>
    </row>
    <row r="197" spans="2:40" x14ac:dyDescent="0.25">
      <c r="B197" s="8" t="s">
        <v>80</v>
      </c>
      <c r="C197" s="32">
        <v>514500</v>
      </c>
      <c r="D197" s="42">
        <v>70.17</v>
      </c>
      <c r="E197" s="89">
        <f t="shared" si="194"/>
        <v>1.224182177568349E-2</v>
      </c>
      <c r="F197" s="42">
        <v>90.29</v>
      </c>
      <c r="G197" s="89">
        <f t="shared" si="195"/>
        <v>1.2937012838147638E-2</v>
      </c>
      <c r="H197" s="42">
        <v>65.61</v>
      </c>
      <c r="I197" s="89">
        <f t="shared" si="196"/>
        <v>9.445941743547218E-3</v>
      </c>
      <c r="J197" s="42">
        <v>38.924999999999997</v>
      </c>
      <c r="K197" s="89">
        <f t="shared" si="197"/>
        <v>4.1288896686429467E-3</v>
      </c>
      <c r="L197" s="42">
        <v>43.91</v>
      </c>
      <c r="M197" s="89">
        <f t="shared" si="198"/>
        <v>4.1852290295339347E-3</v>
      </c>
      <c r="N197" s="42">
        <v>42.29</v>
      </c>
      <c r="O197" s="89">
        <f t="shared" si="203"/>
        <v>2.4495436863286612E-3</v>
      </c>
      <c r="P197" s="42">
        <v>37.840000000000003</v>
      </c>
      <c r="Q197" s="89">
        <f t="shared" si="203"/>
        <v>2.1008205080943216E-3</v>
      </c>
      <c r="R197" s="42">
        <v>30.54</v>
      </c>
      <c r="S197" s="89">
        <f t="shared" si="199"/>
        <v>1.7140490283126775E-3</v>
      </c>
      <c r="T197" s="42">
        <v>15.43</v>
      </c>
      <c r="U197" s="89">
        <f t="shared" si="200"/>
        <v>8.962343057349702E-4</v>
      </c>
      <c r="V197" s="42">
        <v>22.59</v>
      </c>
      <c r="W197" s="184">
        <f t="shared" si="201"/>
        <v>1.3972657136724831E-3</v>
      </c>
      <c r="X197" s="81">
        <f t="shared" si="191"/>
        <v>5.1496808297698338E-3</v>
      </c>
      <c r="Y197" s="81">
        <f t="shared" si="192"/>
        <v>1.335849682573377E-3</v>
      </c>
      <c r="AA197" s="81"/>
      <c r="AB197" s="81">
        <f t="shared" si="181"/>
        <v>0.28673222174718549</v>
      </c>
      <c r="AC197" s="81">
        <f t="shared" si="182"/>
        <v>-0.27334145531066567</v>
      </c>
      <c r="AD197" s="81">
        <f t="shared" si="183"/>
        <v>-0.40672153635116604</v>
      </c>
      <c r="AE197" s="81">
        <f t="shared" si="184"/>
        <v>0.12806679511881824</v>
      </c>
      <c r="AF197" s="81">
        <f t="shared" si="185"/>
        <v>-3.6893646094283708E-2</v>
      </c>
      <c r="AG197" s="81">
        <f t="shared" si="186"/>
        <v>-0.1052258217072593</v>
      </c>
      <c r="AH197" s="81">
        <f t="shared" si="187"/>
        <v>-0.19291754756871046</v>
      </c>
      <c r="AI197" s="81">
        <f t="shared" si="188"/>
        <v>-0.49476096922069418</v>
      </c>
      <c r="AJ197" s="81">
        <f t="shared" si="189"/>
        <v>0.46403110823071941</v>
      </c>
      <c r="AK197" s="81">
        <f t="shared" si="193"/>
        <v>-7.0114539017339592E-2</v>
      </c>
      <c r="AL197" s="81">
        <f t="shared" si="202"/>
        <v>-7.4549136186228396E-2</v>
      </c>
      <c r="AN197" s="132">
        <v>6986.6699999999973</v>
      </c>
    </row>
    <row r="198" spans="2:40" x14ac:dyDescent="0.25">
      <c r="B198" s="8" t="s">
        <v>151</v>
      </c>
      <c r="C198" s="32">
        <v>515000</v>
      </c>
      <c r="D198" s="42">
        <v>13.7</v>
      </c>
      <c r="E198" s="89">
        <f t="shared" si="194"/>
        <v>2.3900948885116685E-3</v>
      </c>
      <c r="F198" s="42">
        <v>24.49</v>
      </c>
      <c r="G198" s="89">
        <f t="shared" si="195"/>
        <v>3.5089981659789083E-3</v>
      </c>
      <c r="H198" s="42">
        <v>17.95</v>
      </c>
      <c r="I198" s="89">
        <f t="shared" si="196"/>
        <v>2.5842806629579719E-3</v>
      </c>
      <c r="J198" s="42">
        <v>20.100000000000001</v>
      </c>
      <c r="K198" s="89">
        <f t="shared" si="197"/>
        <v>2.132066341418709E-3</v>
      </c>
      <c r="L198" s="42">
        <v>21.02</v>
      </c>
      <c r="M198" s="89">
        <f t="shared" si="198"/>
        <v>2.0034961102437555E-3</v>
      </c>
      <c r="N198" s="42">
        <v>24.44</v>
      </c>
      <c r="O198" s="89">
        <f t="shared" si="203"/>
        <v>1.4156265711485572E-3</v>
      </c>
      <c r="P198" s="42">
        <v>35.409999999999997</v>
      </c>
      <c r="Q198" s="89">
        <f t="shared" si="203"/>
        <v>1.9659105230343528E-3</v>
      </c>
      <c r="R198" s="42">
        <v>75.680000000000007</v>
      </c>
      <c r="S198" s="89">
        <f t="shared" si="199"/>
        <v>4.2475190066373104E-3</v>
      </c>
      <c r="T198" s="42">
        <v>38.86</v>
      </c>
      <c r="U198" s="89">
        <f t="shared" si="200"/>
        <v>2.2571396708270216E-3</v>
      </c>
      <c r="V198" s="42">
        <v>18.36</v>
      </c>
      <c r="W198" s="184">
        <f t="shared" si="201"/>
        <v>1.1356263170883925E-3</v>
      </c>
      <c r="X198" s="81">
        <f t="shared" si="191"/>
        <v>2.3640758257846644E-3</v>
      </c>
      <c r="Y198" s="81">
        <f t="shared" si="192"/>
        <v>2.5467616648509081E-3</v>
      </c>
      <c r="AA198" s="81"/>
      <c r="AB198" s="81">
        <f t="shared" si="181"/>
        <v>0.78759124087591237</v>
      </c>
      <c r="AC198" s="81">
        <f t="shared" si="182"/>
        <v>-0.26704777460187828</v>
      </c>
      <c r="AD198" s="81">
        <f t="shared" si="183"/>
        <v>0.11977715877437338</v>
      </c>
      <c r="AE198" s="81">
        <f t="shared" si="184"/>
        <v>4.5771144278606873E-2</v>
      </c>
      <c r="AF198" s="81">
        <f t="shared" si="185"/>
        <v>0.1627021883920077</v>
      </c>
      <c r="AG198" s="81">
        <f t="shared" si="186"/>
        <v>0.44885433715220929</v>
      </c>
      <c r="AH198" s="81">
        <f t="shared" si="187"/>
        <v>1.1372493645862756</v>
      </c>
      <c r="AI198" s="81">
        <f t="shared" si="188"/>
        <v>-0.4865221987315011</v>
      </c>
      <c r="AJ198" s="81">
        <f t="shared" si="189"/>
        <v>-0.52753474009264023</v>
      </c>
      <c r="AK198" s="81">
        <f t="shared" si="193"/>
        <v>0.15787119118148504</v>
      </c>
      <c r="AL198" s="81">
        <f t="shared" si="202"/>
        <v>4.1064141920711394E-2</v>
      </c>
      <c r="AN198" s="132">
        <v>1211.6999999999994</v>
      </c>
    </row>
    <row r="199" spans="2:40" x14ac:dyDescent="0.25">
      <c r="B199" s="8" t="s">
        <v>81</v>
      </c>
      <c r="C199" s="32">
        <v>515500</v>
      </c>
      <c r="D199" s="42">
        <v>124.63</v>
      </c>
      <c r="E199" s="89">
        <f t="shared" si="194"/>
        <v>2.1742885106219655E-2</v>
      </c>
      <c r="F199" s="42">
        <v>220.31</v>
      </c>
      <c r="G199" s="89">
        <f t="shared" si="195"/>
        <v>3.1566655204034844E-2</v>
      </c>
      <c r="H199" s="42">
        <v>184.86</v>
      </c>
      <c r="I199" s="89">
        <f t="shared" si="196"/>
        <v>2.6614491551777759E-2</v>
      </c>
      <c r="J199" s="42">
        <v>166.61500000000001</v>
      </c>
      <c r="K199" s="89">
        <f t="shared" si="197"/>
        <v>1.7673344949028766E-2</v>
      </c>
      <c r="L199" s="42">
        <v>183.89</v>
      </c>
      <c r="M199" s="89">
        <f t="shared" si="198"/>
        <v>1.752725498157584E-2</v>
      </c>
      <c r="N199" s="42">
        <v>276.39</v>
      </c>
      <c r="O199" s="89">
        <f t="shared" si="203"/>
        <v>1.6009207364965208E-2</v>
      </c>
      <c r="P199" s="42">
        <v>214.31</v>
      </c>
      <c r="Q199" s="89">
        <f t="shared" si="203"/>
        <v>1.1898172386091279E-2</v>
      </c>
      <c r="R199" s="42">
        <v>154.82</v>
      </c>
      <c r="S199" s="89">
        <f t="shared" si="199"/>
        <v>8.6892295534829328E-3</v>
      </c>
      <c r="T199" s="42">
        <v>47.74</v>
      </c>
      <c r="U199" s="89">
        <f t="shared" si="200"/>
        <v>2.772924546713382E-3</v>
      </c>
      <c r="V199" s="42">
        <v>52.69</v>
      </c>
      <c r="W199" s="184">
        <f t="shared" si="201"/>
        <v>3.2590495995309045E-3</v>
      </c>
      <c r="X199" s="81">
        <f t="shared" si="191"/>
        <v>1.5775321524342058E-2</v>
      </c>
      <c r="Y199" s="81">
        <f t="shared" si="192"/>
        <v>4.9070678999090728E-3</v>
      </c>
      <c r="AA199" s="81"/>
      <c r="AB199" s="81">
        <f t="shared" si="181"/>
        <v>0.76771242878921619</v>
      </c>
      <c r="AC199" s="81">
        <f t="shared" si="182"/>
        <v>-0.16090962734328895</v>
      </c>
      <c r="AD199" s="81">
        <f t="shared" si="183"/>
        <v>-9.8696310721627198E-2</v>
      </c>
      <c r="AE199" s="81">
        <f t="shared" si="184"/>
        <v>0.10368214146385366</v>
      </c>
      <c r="AF199" s="81">
        <f t="shared" si="185"/>
        <v>0.50301810865191154</v>
      </c>
      <c r="AG199" s="81">
        <f t="shared" si="186"/>
        <v>-0.22461015232099565</v>
      </c>
      <c r="AH199" s="81">
        <f t="shared" si="187"/>
        <v>-0.27758853996547062</v>
      </c>
      <c r="AI199" s="81">
        <f t="shared" si="188"/>
        <v>-0.69164190673039649</v>
      </c>
      <c r="AJ199" s="81">
        <f t="shared" si="189"/>
        <v>0.10368663594470037</v>
      </c>
      <c r="AK199" s="81">
        <f t="shared" si="193"/>
        <v>2.7391975297669821E-3</v>
      </c>
      <c r="AL199" s="81">
        <f t="shared" si="202"/>
        <v>-0.28851460358372222</v>
      </c>
      <c r="AN199" s="132">
        <v>9743.83</v>
      </c>
    </row>
    <row r="200" spans="2:40" x14ac:dyDescent="0.25">
      <c r="B200" s="8" t="s">
        <v>152</v>
      </c>
      <c r="C200" s="32">
        <v>516000</v>
      </c>
      <c r="D200" s="42">
        <v>466.66</v>
      </c>
      <c r="E200" s="89">
        <f t="shared" si="194"/>
        <v>8.1413261362982145E-2</v>
      </c>
      <c r="F200" s="42">
        <v>471.74</v>
      </c>
      <c r="G200" s="89">
        <f t="shared" si="195"/>
        <v>6.7592274186153128E-2</v>
      </c>
      <c r="H200" s="42">
        <v>482.85</v>
      </c>
      <c r="I200" s="89">
        <f t="shared" si="196"/>
        <v>6.9516429978231584E-2</v>
      </c>
      <c r="J200" s="42">
        <v>546.19500000000005</v>
      </c>
      <c r="K200" s="89">
        <f t="shared" si="197"/>
        <v>5.7936516186626451E-2</v>
      </c>
      <c r="L200" s="42">
        <v>607.91999999999996</v>
      </c>
      <c r="M200" s="89">
        <f t="shared" si="198"/>
        <v>5.7943166286364596E-2</v>
      </c>
      <c r="N200" s="42">
        <v>407.59</v>
      </c>
      <c r="O200" s="89">
        <f t="shared" si="203"/>
        <v>2.3608642967857627E-2</v>
      </c>
      <c r="P200" s="42">
        <v>600.4</v>
      </c>
      <c r="Q200" s="89">
        <f t="shared" si="203"/>
        <v>3.3333314827162536E-2</v>
      </c>
      <c r="R200" s="42">
        <v>531.76</v>
      </c>
      <c r="S200" s="89">
        <f t="shared" si="199"/>
        <v>2.9844882491668286E-2</v>
      </c>
      <c r="T200" s="42">
        <v>448.97</v>
      </c>
      <c r="U200" s="89">
        <f t="shared" si="200"/>
        <v>2.6077920689943593E-2</v>
      </c>
      <c r="V200" s="42">
        <v>430.83</v>
      </c>
      <c r="W200" s="184">
        <f t="shared" si="201"/>
        <v>2.6648250881873212E-2</v>
      </c>
      <c r="X200" s="81">
        <f t="shared" si="191"/>
        <v>4.7391465985886318E-2</v>
      </c>
      <c r="Y200" s="81">
        <f t="shared" si="192"/>
        <v>2.752368468782836E-2</v>
      </c>
      <c r="AA200" s="81"/>
      <c r="AB200" s="81">
        <f t="shared" si="181"/>
        <v>1.0885869798139939E-2</v>
      </c>
      <c r="AC200" s="81">
        <f t="shared" si="182"/>
        <v>2.3551108661550881E-2</v>
      </c>
      <c r="AD200" s="81">
        <f t="shared" si="183"/>
        <v>0.13118981050015538</v>
      </c>
      <c r="AE200" s="81">
        <f t="shared" si="184"/>
        <v>0.11300909016010748</v>
      </c>
      <c r="AF200" s="81">
        <f t="shared" si="185"/>
        <v>-0.32953349124884851</v>
      </c>
      <c r="AG200" s="81">
        <f t="shared" si="186"/>
        <v>0.47304889717608384</v>
      </c>
      <c r="AH200" s="81">
        <f t="shared" si="187"/>
        <v>-0.11432378414390404</v>
      </c>
      <c r="AI200" s="81">
        <f t="shared" si="188"/>
        <v>-0.15569053708439892</v>
      </c>
      <c r="AJ200" s="81">
        <f t="shared" si="189"/>
        <v>-4.0403590440341322E-2</v>
      </c>
      <c r="AK200" s="81">
        <f t="shared" si="193"/>
        <v>1.2414819264282749E-2</v>
      </c>
      <c r="AL200" s="81">
        <f t="shared" si="202"/>
        <v>-0.10347263722288141</v>
      </c>
      <c r="AN200" s="132">
        <v>11550.059999999996</v>
      </c>
    </row>
    <row r="201" spans="2:40" x14ac:dyDescent="0.25">
      <c r="B201" s="8" t="s">
        <v>153</v>
      </c>
      <c r="C201" s="32">
        <v>516500</v>
      </c>
      <c r="D201" s="42">
        <v>153.5</v>
      </c>
      <c r="E201" s="89">
        <f t="shared" si="194"/>
        <v>2.6779530320185485E-2</v>
      </c>
      <c r="F201" s="42">
        <v>144.59</v>
      </c>
      <c r="G201" s="89">
        <f t="shared" si="195"/>
        <v>2.0717274186153139E-2</v>
      </c>
      <c r="H201" s="42">
        <v>71.239999999999995</v>
      </c>
      <c r="I201" s="89">
        <f t="shared" si="196"/>
        <v>1.0256498853990303E-2</v>
      </c>
      <c r="J201" s="42">
        <v>106.175</v>
      </c>
      <c r="K201" s="89">
        <f t="shared" si="197"/>
        <v>1.1262295711449323E-2</v>
      </c>
      <c r="L201" s="42">
        <v>564.19000000000005</v>
      </c>
      <c r="M201" s="89">
        <f t="shared" si="198"/>
        <v>5.3775093741123908E-2</v>
      </c>
      <c r="N201" s="42">
        <v>621.17999999999995</v>
      </c>
      <c r="O201" s="89">
        <f t="shared" si="203"/>
        <v>3.5980315608267623E-2</v>
      </c>
      <c r="P201" s="42">
        <v>1446.0300000000036</v>
      </c>
      <c r="Q201" s="89">
        <f t="shared" si="203"/>
        <v>8.0281434442908001E-2</v>
      </c>
      <c r="R201" s="42">
        <v>1319.0399999999986</v>
      </c>
      <c r="S201" s="89">
        <f t="shared" si="199"/>
        <v>7.4030754102997767E-2</v>
      </c>
      <c r="T201" s="42">
        <v>2048.0500000000002</v>
      </c>
      <c r="U201" s="89">
        <f t="shared" si="200"/>
        <v>0.11895869538953377</v>
      </c>
      <c r="V201" s="42">
        <v>680.29</v>
      </c>
      <c r="W201" s="184">
        <f t="shared" si="201"/>
        <v>4.2078171418957658E-2</v>
      </c>
      <c r="X201" s="81">
        <f t="shared" si="191"/>
        <v>4.7412006377556694E-2</v>
      </c>
      <c r="Y201" s="81">
        <f t="shared" si="192"/>
        <v>7.8355873637163065E-2</v>
      </c>
      <c r="AA201" s="81"/>
      <c r="AB201" s="81">
        <f t="shared" si="181"/>
        <v>-5.8045602605863167E-2</v>
      </c>
      <c r="AC201" s="81">
        <f t="shared" si="182"/>
        <v>-0.50729649353343942</v>
      </c>
      <c r="AD201" s="81">
        <f t="shared" si="183"/>
        <v>0.49038461538461547</v>
      </c>
      <c r="AE201" s="81">
        <f t="shared" si="184"/>
        <v>4.3137744290087126</v>
      </c>
      <c r="AF201" s="81">
        <f t="shared" si="185"/>
        <v>0.1010120704018148</v>
      </c>
      <c r="AG201" s="81">
        <f t="shared" si="186"/>
        <v>1.3278759779774039</v>
      </c>
      <c r="AH201" s="81">
        <f t="shared" si="187"/>
        <v>-8.7819754776875092E-2</v>
      </c>
      <c r="AI201" s="81">
        <f t="shared" si="188"/>
        <v>0.55268225376031233</v>
      </c>
      <c r="AJ201" s="81">
        <f t="shared" si="189"/>
        <v>-0.66783525792827325</v>
      </c>
      <c r="AK201" s="81">
        <f t="shared" si="193"/>
        <v>0.60719247085426753</v>
      </c>
      <c r="AL201" s="81">
        <f t="shared" si="202"/>
        <v>-6.7657586314945339E-2</v>
      </c>
      <c r="AN201" s="132">
        <v>24533.89</v>
      </c>
    </row>
    <row r="202" spans="2:40" x14ac:dyDescent="0.25">
      <c r="B202" s="8" t="s">
        <v>47</v>
      </c>
      <c r="C202" s="32">
        <v>519500</v>
      </c>
      <c r="D202" s="42">
        <v>163.55000000000001</v>
      </c>
      <c r="E202" s="89">
        <f t="shared" si="194"/>
        <v>2.8532848103363755E-2</v>
      </c>
      <c r="F202" s="42">
        <v>167.66</v>
      </c>
      <c r="G202" s="89">
        <f t="shared" si="195"/>
        <v>2.4022810637322325E-2</v>
      </c>
      <c r="H202" s="42">
        <v>165.96</v>
      </c>
      <c r="I202" s="89">
        <f t="shared" si="196"/>
        <v>2.3893438374624241E-2</v>
      </c>
      <c r="J202" s="42">
        <v>149.065</v>
      </c>
      <c r="K202" s="89">
        <f t="shared" si="197"/>
        <v>1.5811764635998996E-2</v>
      </c>
      <c r="L202" s="42">
        <v>271.11</v>
      </c>
      <c r="M202" s="89">
        <f t="shared" si="198"/>
        <v>2.584052475966625E-2</v>
      </c>
      <c r="N202" s="42">
        <v>3166.22</v>
      </c>
      <c r="O202" s="89">
        <f t="shared" si="203"/>
        <v>0.18339546489778988</v>
      </c>
      <c r="P202" s="42">
        <v>2630.18</v>
      </c>
      <c r="Q202" s="89">
        <f t="shared" si="203"/>
        <v>0.14602368086626644</v>
      </c>
      <c r="R202" s="42">
        <v>2479.92</v>
      </c>
      <c r="S202" s="89">
        <f t="shared" si="199"/>
        <v>0.13918482207901689</v>
      </c>
      <c r="T202" s="42">
        <v>2874.7699999999986</v>
      </c>
      <c r="U202" s="89">
        <f t="shared" si="200"/>
        <v>0.16697780266349443</v>
      </c>
      <c r="V202" s="42">
        <v>3022.9299999999994</v>
      </c>
      <c r="W202" s="184">
        <f t="shared" si="201"/>
        <v>0.18697815156405304</v>
      </c>
      <c r="X202" s="81">
        <f t="shared" si="191"/>
        <v>9.4066130858159638E-2</v>
      </c>
      <c r="Y202" s="81">
        <f t="shared" si="192"/>
        <v>0.16438025876885479</v>
      </c>
      <c r="AA202" s="81"/>
      <c r="AB202" s="81">
        <f t="shared" si="181"/>
        <v>2.5129929685111494E-2</v>
      </c>
      <c r="AC202" s="81">
        <f t="shared" si="182"/>
        <v>-1.0139568173684771E-2</v>
      </c>
      <c r="AD202" s="81">
        <f t="shared" si="183"/>
        <v>-0.10180163894914443</v>
      </c>
      <c r="AE202" s="81">
        <f t="shared" si="184"/>
        <v>0.81873679267433686</v>
      </c>
      <c r="AF202" s="81">
        <f t="shared" si="185"/>
        <v>10.678728191508981</v>
      </c>
      <c r="AG202" s="81">
        <f t="shared" si="186"/>
        <v>-0.16929966963761203</v>
      </c>
      <c r="AH202" s="81">
        <f t="shared" si="187"/>
        <v>-5.7129169866701052E-2</v>
      </c>
      <c r="AI202" s="81">
        <f t="shared" si="188"/>
        <v>0.15921884576921777</v>
      </c>
      <c r="AJ202" s="81">
        <f t="shared" si="189"/>
        <v>5.1538036086365459E-2</v>
      </c>
      <c r="AK202" s="81">
        <f t="shared" si="193"/>
        <v>1.2661090832329855</v>
      </c>
      <c r="AL202" s="81">
        <f t="shared" si="202"/>
        <v>5.1209237329627393E-2</v>
      </c>
      <c r="AN202" s="132">
        <v>40030.469999999987</v>
      </c>
    </row>
    <row r="203" spans="2:40" x14ac:dyDescent="0.25">
      <c r="B203" s="8" t="s">
        <v>154</v>
      </c>
      <c r="C203" s="32">
        <v>519900</v>
      </c>
      <c r="D203" s="42">
        <v>0</v>
      </c>
      <c r="E203" s="89">
        <f t="shared" si="194"/>
        <v>0</v>
      </c>
      <c r="F203" s="42">
        <v>279.77999999999997</v>
      </c>
      <c r="G203" s="89">
        <f t="shared" si="195"/>
        <v>4.0087689133425024E-2</v>
      </c>
      <c r="H203" s="42">
        <v>288.08</v>
      </c>
      <c r="I203" s="89">
        <f t="shared" si="196"/>
        <v>4.1475185146792902E-2</v>
      </c>
      <c r="J203" s="42">
        <v>1671.2850000000001</v>
      </c>
      <c r="K203" s="89">
        <f t="shared" si="197"/>
        <v>0.17727813410039636</v>
      </c>
      <c r="L203" s="42">
        <v>245.71</v>
      </c>
      <c r="M203" s="89">
        <f t="shared" si="198"/>
        <v>2.3419554198287021E-2</v>
      </c>
      <c r="N203" s="42">
        <v>1246.3</v>
      </c>
      <c r="O203" s="89">
        <f t="shared" si="203"/>
        <v>7.2188845974731866E-2</v>
      </c>
      <c r="P203" s="42">
        <v>1.62</v>
      </c>
      <c r="Q203" s="89">
        <f t="shared" si="203"/>
        <v>8.993999003997888E-5</v>
      </c>
      <c r="R203" s="42">
        <v>33.67</v>
      </c>
      <c r="S203" s="89">
        <f t="shared" si="199"/>
        <v>1.8897194100618159E-3</v>
      </c>
      <c r="T203" s="42">
        <v>473.26</v>
      </c>
      <c r="U203" s="89">
        <f t="shared" si="200"/>
        <v>2.7488778193916527E-2</v>
      </c>
      <c r="V203" s="42">
        <v>598.75</v>
      </c>
      <c r="W203" s="184">
        <f t="shared" si="201"/>
        <v>3.7034654540123918E-2</v>
      </c>
      <c r="X203" s="81">
        <f t="shared" si="191"/>
        <v>4.2095250068777547E-2</v>
      </c>
      <c r="Y203" s="81">
        <f t="shared" si="192"/>
        <v>2.2137717381367421E-2</v>
      </c>
      <c r="AA203" s="104"/>
      <c r="AB203" s="104" t="e">
        <f t="shared" si="181"/>
        <v>#DIV/0!</v>
      </c>
      <c r="AC203" s="104">
        <f t="shared" si="182"/>
        <v>2.966616627350065E-2</v>
      </c>
      <c r="AD203" s="104">
        <f t="shared" si="183"/>
        <v>4.8014613996112203</v>
      </c>
      <c r="AE203" s="104">
        <f t="shared" si="184"/>
        <v>-0.85298138857226624</v>
      </c>
      <c r="AF203" s="104">
        <f t="shared" si="185"/>
        <v>4.0722396320866059</v>
      </c>
      <c r="AG203" s="104">
        <f t="shared" si="186"/>
        <v>-0.99870015245125576</v>
      </c>
      <c r="AH203" s="104">
        <f t="shared" si="187"/>
        <v>19.783950617283953</v>
      </c>
      <c r="AI203" s="104">
        <f t="shared" si="188"/>
        <v>13.055836055836055</v>
      </c>
      <c r="AJ203" s="104">
        <f t="shared" si="189"/>
        <v>0.26516079956049532</v>
      </c>
      <c r="AK203" s="81" t="e">
        <f t="shared" si="193"/>
        <v>#DIV/0!</v>
      </c>
      <c r="AL203" s="81">
        <f>+AVERAGE(AH203:AJ203)</f>
        <v>11.034982490893503</v>
      </c>
      <c r="AN203" s="132">
        <v>31090.05999999999</v>
      </c>
    </row>
    <row r="204" spans="2:40" s="34" customFormat="1" x14ac:dyDescent="0.25">
      <c r="B204" s="11" t="s">
        <v>133</v>
      </c>
      <c r="C204" s="12">
        <v>530000</v>
      </c>
      <c r="D204" s="48">
        <f>+SUM(D205:D214)</f>
        <v>83.630000000000095</v>
      </c>
      <c r="E204" s="90">
        <f>+D204/D$181</f>
        <v>9.206955583567749E-3</v>
      </c>
      <c r="F204" s="48">
        <f t="shared" ref="F204:V204" si="204">+SUM(F205:F214)</f>
        <v>244.59</v>
      </c>
      <c r="G204" s="90">
        <f>+F204/F$181</f>
        <v>2.0445779688134776E-2</v>
      </c>
      <c r="H204" s="48">
        <f t="shared" si="204"/>
        <v>1996.4</v>
      </c>
      <c r="I204" s="90">
        <f>+H204/H$181</f>
        <v>0.18948025804394189</v>
      </c>
      <c r="J204" s="48">
        <f t="shared" si="204"/>
        <v>1832.6599999999999</v>
      </c>
      <c r="K204" s="90">
        <f>+J204/J$181</f>
        <v>0.20425083267438235</v>
      </c>
      <c r="L204" s="48">
        <f t="shared" si="204"/>
        <v>105.35000000000001</v>
      </c>
      <c r="M204" s="90">
        <f>+L204/L$181</f>
        <v>6.3399730032094046E-3</v>
      </c>
      <c r="N204" s="48">
        <f t="shared" si="204"/>
        <v>130.41999999999791</v>
      </c>
      <c r="O204" s="90">
        <f>+N204/N$181</f>
        <v>4.9702024132271677E-3</v>
      </c>
      <c r="P204" s="48">
        <f t="shared" si="204"/>
        <v>1516.53</v>
      </c>
      <c r="Q204" s="90">
        <f>+P204/P$181</f>
        <v>6.6425236622905282E-2</v>
      </c>
      <c r="R204" s="48">
        <f t="shared" si="204"/>
        <v>4582.5999999999995</v>
      </c>
      <c r="S204" s="90">
        <f>+R204/R$181</f>
        <v>0.23554519105086583</v>
      </c>
      <c r="T204" s="48">
        <f t="shared" si="204"/>
        <v>14226.95</v>
      </c>
      <c r="U204" s="90">
        <f>+T204/T$181</f>
        <v>0.69547162155886522</v>
      </c>
      <c r="V204" s="48">
        <f t="shared" si="204"/>
        <v>943.87</v>
      </c>
      <c r="W204" s="182">
        <f>+V204/V$181</f>
        <v>4.3773782663843866E-2</v>
      </c>
      <c r="X204" s="80">
        <f t="shared" si="191"/>
        <v>0.14759098333029436</v>
      </c>
      <c r="Y204" s="80">
        <f t="shared" si="192"/>
        <v>0.32493019842452497</v>
      </c>
      <c r="AA204" s="81"/>
      <c r="AB204" s="80">
        <f t="shared" si="181"/>
        <v>1.9246681812746591</v>
      </c>
      <c r="AC204" s="80">
        <f t="shared" si="182"/>
        <v>7.162230671736376</v>
      </c>
      <c r="AD204" s="80">
        <f t="shared" si="183"/>
        <v>-8.2017631737126936E-2</v>
      </c>
      <c r="AE204" s="80">
        <f t="shared" si="184"/>
        <v>-0.94251525105584233</v>
      </c>
      <c r="AF204" s="80">
        <f t="shared" si="185"/>
        <v>0.23796867584241008</v>
      </c>
      <c r="AG204" s="80">
        <f t="shared" si="186"/>
        <v>10.628047845422666</v>
      </c>
      <c r="AH204" s="80">
        <f t="shared" si="187"/>
        <v>2.0217667965684818</v>
      </c>
      <c r="AI204" s="80">
        <f t="shared" si="188"/>
        <v>2.1045585475494266</v>
      </c>
      <c r="AJ204" s="80">
        <f t="shared" si="189"/>
        <v>-0.93365619475713346</v>
      </c>
      <c r="AK204" s="80">
        <f t="shared" si="193"/>
        <v>2.4578946267604351</v>
      </c>
      <c r="AL204" s="80">
        <f>+AVERAGE(AH204:AJ204)</f>
        <v>1.0642230497869252</v>
      </c>
      <c r="AN204" s="134">
        <v>44058.179999999993</v>
      </c>
    </row>
    <row r="205" spans="2:40" x14ac:dyDescent="0.25">
      <c r="B205" s="8" t="s">
        <v>134</v>
      </c>
      <c r="C205" s="32">
        <v>530500</v>
      </c>
      <c r="D205" s="42">
        <v>71.459999999999994</v>
      </c>
      <c r="E205" s="89">
        <f t="shared" ref="E205:E214" si="205">+D205/D$204</f>
        <v>0.85447805811311628</v>
      </c>
      <c r="F205" s="42">
        <v>207.19</v>
      </c>
      <c r="G205" s="89">
        <f t="shared" ref="G205:G214" si="206">+F205/F$204</f>
        <v>0.84709105032912213</v>
      </c>
      <c r="H205" s="42">
        <v>148.19999999999999</v>
      </c>
      <c r="I205" s="89">
        <f t="shared" ref="I205:I214" si="207">+H205/H$204</f>
        <v>7.4233620516930471E-2</v>
      </c>
      <c r="J205" s="42">
        <v>208</v>
      </c>
      <c r="K205" s="89">
        <f t="shared" ref="K205:K214" si="208">+J205/J$204</f>
        <v>0.11349622952429803</v>
      </c>
      <c r="L205" s="42">
        <v>85.91</v>
      </c>
      <c r="M205" s="89">
        <f t="shared" ref="M205:M214" si="209">+L205/L$204</f>
        <v>0.81547223540579017</v>
      </c>
      <c r="N205" s="42">
        <v>53.02</v>
      </c>
      <c r="O205" s="89">
        <f>+N205/N$204</f>
        <v>0.40653274037724929</v>
      </c>
      <c r="P205" s="42">
        <v>67.099999999999994</v>
      </c>
      <c r="Q205" s="89">
        <f>+P205/P$204</f>
        <v>4.4245745220997931E-2</v>
      </c>
      <c r="R205" s="42">
        <v>226.18</v>
      </c>
      <c r="S205" s="89">
        <f t="shared" ref="S205:S214" si="210">+R205/R$204</f>
        <v>4.9356260638065731E-2</v>
      </c>
      <c r="T205" s="42">
        <v>63.61</v>
      </c>
      <c r="U205" s="89">
        <f t="shared" ref="U205:U214" si="211">+T205/T$204</f>
        <v>4.4710918362684902E-3</v>
      </c>
      <c r="V205" s="42">
        <v>35.58</v>
      </c>
      <c r="W205" s="184">
        <f t="shared" ref="W205:W214" si="212">+V205/V$204</f>
        <v>3.7695869134520645E-2</v>
      </c>
      <c r="X205" s="81">
        <f t="shared" si="191"/>
        <v>0.32470729010963589</v>
      </c>
      <c r="Y205" s="81">
        <f t="shared" si="192"/>
        <v>3.0507740536284956E-2</v>
      </c>
      <c r="Z205" s="34"/>
      <c r="AA205" s="81"/>
      <c r="AB205" s="81">
        <f t="shared" si="181"/>
        <v>1.8993842709207953</v>
      </c>
      <c r="AC205" s="81">
        <f t="shared" si="182"/>
        <v>-0.28471451324870894</v>
      </c>
      <c r="AD205" s="81">
        <f t="shared" si="183"/>
        <v>0.40350877192982465</v>
      </c>
      <c r="AE205" s="81">
        <f t="shared" si="184"/>
        <v>-0.58697115384615384</v>
      </c>
      <c r="AF205" s="81">
        <f t="shared" si="185"/>
        <v>-0.38284250960307292</v>
      </c>
      <c r="AG205" s="81">
        <f t="shared" si="186"/>
        <v>0.26556016597510357</v>
      </c>
      <c r="AH205" s="81">
        <f t="shared" si="187"/>
        <v>2.3707898658718336</v>
      </c>
      <c r="AI205" s="81">
        <f t="shared" si="188"/>
        <v>-0.71876381642939247</v>
      </c>
      <c r="AJ205" s="81">
        <f t="shared" si="189"/>
        <v>-0.44065398522244931</v>
      </c>
      <c r="AK205" s="81">
        <f t="shared" si="193"/>
        <v>0.28058856626086442</v>
      </c>
      <c r="AL205" s="81">
        <f t="shared" si="202"/>
        <v>0.40379068807333057</v>
      </c>
      <c r="AN205" s="132">
        <v>18291.840000000015</v>
      </c>
    </row>
    <row r="206" spans="2:40" x14ac:dyDescent="0.25">
      <c r="B206" s="8" t="s">
        <v>155</v>
      </c>
      <c r="C206" s="32">
        <v>531000</v>
      </c>
      <c r="D206" s="42">
        <v>0</v>
      </c>
      <c r="E206" s="89">
        <f t="shared" si="205"/>
        <v>0</v>
      </c>
      <c r="F206" s="42">
        <v>0</v>
      </c>
      <c r="G206" s="89">
        <f t="shared" si="206"/>
        <v>0</v>
      </c>
      <c r="H206" s="42">
        <v>34.71</v>
      </c>
      <c r="I206" s="89">
        <f t="shared" si="207"/>
        <v>1.7386295331596874E-2</v>
      </c>
      <c r="J206" s="42">
        <v>16.96</v>
      </c>
      <c r="K206" s="89">
        <f t="shared" si="208"/>
        <v>9.254307945827378E-3</v>
      </c>
      <c r="L206" s="42">
        <v>10</v>
      </c>
      <c r="M206" s="89">
        <f t="shared" si="209"/>
        <v>9.4921689606074985E-2</v>
      </c>
      <c r="N206" s="42">
        <v>20</v>
      </c>
      <c r="O206" s="89">
        <f t="shared" ref="O206:Q214" si="213">+N206/N$204</f>
        <v>0.15335071308081827</v>
      </c>
      <c r="P206" s="42">
        <v>6.92</v>
      </c>
      <c r="Q206" s="89">
        <f t="shared" si="213"/>
        <v>4.5630485384397278E-3</v>
      </c>
      <c r="R206" s="42">
        <v>3.16</v>
      </c>
      <c r="S206" s="89">
        <f t="shared" si="210"/>
        <v>6.8956487583467913E-4</v>
      </c>
      <c r="T206" s="42">
        <v>50.37</v>
      </c>
      <c r="U206" s="89">
        <f t="shared" si="211"/>
        <v>3.5404636974193339E-3</v>
      </c>
      <c r="V206" s="42">
        <v>5.49</v>
      </c>
      <c r="W206" s="184">
        <f t="shared" si="212"/>
        <v>5.8164789642641468E-3</v>
      </c>
      <c r="X206" s="81">
        <f t="shared" si="191"/>
        <v>2.8952256204027537E-2</v>
      </c>
      <c r="Y206" s="81">
        <f t="shared" si="192"/>
        <v>3.3488358458393865E-3</v>
      </c>
      <c r="Z206" s="34"/>
      <c r="AA206" s="81"/>
      <c r="AB206" s="81" t="e">
        <f t="shared" si="181"/>
        <v>#DIV/0!</v>
      </c>
      <c r="AC206" s="81" t="e">
        <f t="shared" si="182"/>
        <v>#DIV/0!</v>
      </c>
      <c r="AD206" s="81">
        <f t="shared" si="183"/>
        <v>-0.51138000576202824</v>
      </c>
      <c r="AE206" s="81">
        <f t="shared" si="184"/>
        <v>-0.41037735849056606</v>
      </c>
      <c r="AF206" s="81">
        <f t="shared" si="185"/>
        <v>1</v>
      </c>
      <c r="AG206" s="81">
        <f t="shared" si="186"/>
        <v>-0.65400000000000003</v>
      </c>
      <c r="AH206" s="81">
        <f t="shared" si="187"/>
        <v>-0.54335260115606931</v>
      </c>
      <c r="AI206" s="81">
        <f t="shared" si="188"/>
        <v>14.939873417721516</v>
      </c>
      <c r="AJ206" s="81">
        <f t="shared" si="189"/>
        <v>-0.89100655151876107</v>
      </c>
      <c r="AK206" s="81" t="e">
        <f t="shared" si="193"/>
        <v>#DIV/0!</v>
      </c>
      <c r="AL206" s="81">
        <f t="shared" si="202"/>
        <v>4.5018380883488955</v>
      </c>
      <c r="AN206" s="132">
        <v>6001.5199999999995</v>
      </c>
    </row>
    <row r="207" spans="2:40" x14ac:dyDescent="0.25">
      <c r="B207" s="8" t="s">
        <v>156</v>
      </c>
      <c r="C207" s="32">
        <v>531300</v>
      </c>
      <c r="D207" s="42">
        <v>0</v>
      </c>
      <c r="E207" s="89">
        <f t="shared" si="205"/>
        <v>0</v>
      </c>
      <c r="F207" s="42">
        <v>0</v>
      </c>
      <c r="G207" s="89">
        <f t="shared" si="206"/>
        <v>0</v>
      </c>
      <c r="H207" s="42">
        <v>0</v>
      </c>
      <c r="I207" s="89">
        <f t="shared" si="207"/>
        <v>0</v>
      </c>
      <c r="J207" s="42">
        <v>0</v>
      </c>
      <c r="K207" s="89">
        <f t="shared" si="208"/>
        <v>0</v>
      </c>
      <c r="L207" s="42">
        <v>0</v>
      </c>
      <c r="M207" s="89">
        <f t="shared" si="209"/>
        <v>0</v>
      </c>
      <c r="N207" s="42">
        <v>0</v>
      </c>
      <c r="O207" s="89">
        <f t="shared" si="213"/>
        <v>0</v>
      </c>
      <c r="P207" s="42">
        <v>3.51</v>
      </c>
      <c r="Q207" s="89">
        <f t="shared" si="213"/>
        <v>2.3144942731103241E-3</v>
      </c>
      <c r="R207" s="42">
        <v>11.36</v>
      </c>
      <c r="S207" s="89">
        <f t="shared" si="210"/>
        <v>2.4789420852790994E-3</v>
      </c>
      <c r="T207" s="42">
        <v>57.34</v>
      </c>
      <c r="U207" s="89">
        <f t="shared" si="211"/>
        <v>4.0303789638678703E-3</v>
      </c>
      <c r="V207" s="42">
        <v>0</v>
      </c>
      <c r="W207" s="184">
        <f t="shared" si="212"/>
        <v>0</v>
      </c>
      <c r="X207" s="81">
        <f t="shared" si="191"/>
        <v>8.8238153222572942E-4</v>
      </c>
      <c r="Y207" s="81">
        <f t="shared" si="192"/>
        <v>2.16977368304899E-3</v>
      </c>
      <c r="Z207" s="34"/>
      <c r="AA207" s="81"/>
      <c r="AB207" s="81" t="e">
        <f t="shared" si="181"/>
        <v>#DIV/0!</v>
      </c>
      <c r="AC207" s="81" t="e">
        <f t="shared" si="182"/>
        <v>#DIV/0!</v>
      </c>
      <c r="AD207" s="81" t="e">
        <f t="shared" si="183"/>
        <v>#DIV/0!</v>
      </c>
      <c r="AE207" s="81" t="e">
        <f t="shared" si="184"/>
        <v>#DIV/0!</v>
      </c>
      <c r="AF207" s="81" t="e">
        <f t="shared" si="185"/>
        <v>#DIV/0!</v>
      </c>
      <c r="AG207" s="81" t="e">
        <f t="shared" si="186"/>
        <v>#DIV/0!</v>
      </c>
      <c r="AH207" s="81">
        <f t="shared" si="187"/>
        <v>2.2364672364672367</v>
      </c>
      <c r="AI207" s="81">
        <f t="shared" si="188"/>
        <v>4.047535211267606</v>
      </c>
      <c r="AJ207" s="81">
        <f t="shared" si="189"/>
        <v>-1</v>
      </c>
      <c r="AK207" s="81" t="e">
        <f t="shared" si="193"/>
        <v>#DIV/0!</v>
      </c>
      <c r="AL207" s="81">
        <f t="shared" si="202"/>
        <v>1.7613341492449475</v>
      </c>
      <c r="AN207" s="132">
        <v>202.56</v>
      </c>
    </row>
    <row r="208" spans="2:40" x14ac:dyDescent="0.25">
      <c r="B208" s="8" t="s">
        <v>157</v>
      </c>
      <c r="C208" s="32">
        <v>531400</v>
      </c>
      <c r="D208" s="42">
        <v>0</v>
      </c>
      <c r="E208" s="89">
        <f t="shared" si="205"/>
        <v>0</v>
      </c>
      <c r="F208" s="42">
        <v>0</v>
      </c>
      <c r="G208" s="89">
        <f t="shared" si="206"/>
        <v>0</v>
      </c>
      <c r="H208" s="42">
        <v>0</v>
      </c>
      <c r="I208" s="89">
        <f t="shared" si="207"/>
        <v>0</v>
      </c>
      <c r="J208" s="42">
        <v>121.36</v>
      </c>
      <c r="K208" s="89">
        <f t="shared" si="208"/>
        <v>6.6220684687830808E-2</v>
      </c>
      <c r="L208" s="42">
        <v>4.8099999999999996</v>
      </c>
      <c r="M208" s="89">
        <f t="shared" si="209"/>
        <v>4.5657332700522059E-2</v>
      </c>
      <c r="N208" s="42">
        <v>40.599999999997905</v>
      </c>
      <c r="O208" s="89">
        <f t="shared" si="213"/>
        <v>0.31130194755404506</v>
      </c>
      <c r="P208" s="42">
        <v>15.1</v>
      </c>
      <c r="Q208" s="89">
        <f t="shared" si="213"/>
        <v>9.9569411749190588E-3</v>
      </c>
      <c r="R208" s="42">
        <v>3.32</v>
      </c>
      <c r="S208" s="89">
        <f t="shared" si="210"/>
        <v>7.2447955309213111E-4</v>
      </c>
      <c r="T208" s="42">
        <v>28.12</v>
      </c>
      <c r="U208" s="89">
        <f t="shared" si="211"/>
        <v>1.9765304580391442E-3</v>
      </c>
      <c r="V208" s="42">
        <v>37.26</v>
      </c>
      <c r="W208" s="184">
        <f t="shared" si="212"/>
        <v>3.9475775265661581E-2</v>
      </c>
      <c r="X208" s="81">
        <f t="shared" si="191"/>
        <v>4.7531369139410987E-2</v>
      </c>
      <c r="Y208" s="81">
        <f t="shared" si="192"/>
        <v>1.4058928425597618E-2</v>
      </c>
      <c r="Z208" s="34"/>
      <c r="AA208" s="81"/>
      <c r="AB208" s="81" t="e">
        <f t="shared" si="181"/>
        <v>#DIV/0!</v>
      </c>
      <c r="AC208" s="81" t="e">
        <f t="shared" si="182"/>
        <v>#DIV/0!</v>
      </c>
      <c r="AD208" s="81" t="e">
        <f t="shared" si="183"/>
        <v>#DIV/0!</v>
      </c>
      <c r="AE208" s="81">
        <f t="shared" si="184"/>
        <v>-0.96036585365853655</v>
      </c>
      <c r="AF208" s="81">
        <f t="shared" si="185"/>
        <v>7.4407484407480053</v>
      </c>
      <c r="AG208" s="81">
        <f t="shared" si="186"/>
        <v>-0.6280788177339709</v>
      </c>
      <c r="AH208" s="81">
        <f t="shared" si="187"/>
        <v>-0.78013245033112577</v>
      </c>
      <c r="AI208" s="81">
        <f t="shared" si="188"/>
        <v>7.4698795180722897</v>
      </c>
      <c r="AJ208" s="81">
        <f t="shared" si="189"/>
        <v>0.32503556187766702</v>
      </c>
      <c r="AK208" s="81" t="e">
        <f t="shared" si="193"/>
        <v>#DIV/0!</v>
      </c>
      <c r="AL208" s="81">
        <f t="shared" si="202"/>
        <v>2.3382608765396102</v>
      </c>
      <c r="AN208" s="132">
        <v>4954.2200000000012</v>
      </c>
    </row>
    <row r="209" spans="2:40" x14ac:dyDescent="0.25">
      <c r="B209" s="8" t="s">
        <v>158</v>
      </c>
      <c r="C209" s="32">
        <v>531500</v>
      </c>
      <c r="D209" s="42">
        <v>1.7300000000000972</v>
      </c>
      <c r="E209" s="89">
        <f t="shared" si="205"/>
        <v>2.0686356570609774E-2</v>
      </c>
      <c r="F209" s="42">
        <v>0</v>
      </c>
      <c r="G209" s="89">
        <f t="shared" si="206"/>
        <v>0</v>
      </c>
      <c r="H209" s="42">
        <v>0</v>
      </c>
      <c r="I209" s="89">
        <f t="shared" si="207"/>
        <v>0</v>
      </c>
      <c r="J209" s="42">
        <v>40.94</v>
      </c>
      <c r="K209" s="89">
        <f t="shared" si="208"/>
        <v>2.2339113638099813E-2</v>
      </c>
      <c r="L209" s="42">
        <v>0</v>
      </c>
      <c r="M209" s="89">
        <f t="shared" si="209"/>
        <v>0</v>
      </c>
      <c r="N209" s="42">
        <v>0</v>
      </c>
      <c r="O209" s="89">
        <f t="shared" si="213"/>
        <v>0</v>
      </c>
      <c r="P209" s="42">
        <v>0.73</v>
      </c>
      <c r="Q209" s="89">
        <f t="shared" si="213"/>
        <v>4.813620568007227E-4</v>
      </c>
      <c r="R209" s="42">
        <v>0</v>
      </c>
      <c r="S209" s="89">
        <f t="shared" si="210"/>
        <v>0</v>
      </c>
      <c r="T209" s="42">
        <v>0</v>
      </c>
      <c r="U209" s="89">
        <f t="shared" si="211"/>
        <v>0</v>
      </c>
      <c r="V209" s="42">
        <v>0</v>
      </c>
      <c r="W209" s="184">
        <f t="shared" si="212"/>
        <v>0</v>
      </c>
      <c r="X209" s="81">
        <f t="shared" si="191"/>
        <v>4.3506832265510307E-3</v>
      </c>
      <c r="Y209" s="81">
        <f t="shared" si="192"/>
        <v>0</v>
      </c>
      <c r="Z209" s="34"/>
      <c r="AA209" s="81"/>
      <c r="AB209" s="81">
        <f t="shared" si="181"/>
        <v>-1</v>
      </c>
      <c r="AC209" s="81" t="e">
        <f t="shared" si="182"/>
        <v>#DIV/0!</v>
      </c>
      <c r="AD209" s="81" t="e">
        <f t="shared" si="183"/>
        <v>#DIV/0!</v>
      </c>
      <c r="AE209" s="81">
        <f t="shared" si="184"/>
        <v>-1</v>
      </c>
      <c r="AF209" s="81" t="e">
        <f t="shared" si="185"/>
        <v>#DIV/0!</v>
      </c>
      <c r="AG209" s="81" t="e">
        <f t="shared" si="186"/>
        <v>#DIV/0!</v>
      </c>
      <c r="AH209" s="81">
        <f t="shared" si="187"/>
        <v>-1</v>
      </c>
      <c r="AI209" s="81" t="e">
        <f t="shared" si="188"/>
        <v>#DIV/0!</v>
      </c>
      <c r="AJ209" s="81" t="e">
        <f t="shared" si="189"/>
        <v>#DIV/0!</v>
      </c>
      <c r="AK209" s="81" t="e">
        <f t="shared" si="193"/>
        <v>#DIV/0!</v>
      </c>
      <c r="AL209" s="81" t="e">
        <f t="shared" si="202"/>
        <v>#DIV/0!</v>
      </c>
      <c r="AN209" s="132">
        <v>6520.8399999999983</v>
      </c>
    </row>
    <row r="210" spans="2:40" ht="30" x14ac:dyDescent="0.25">
      <c r="B210" s="8" t="s">
        <v>159</v>
      </c>
      <c r="C210" s="32">
        <v>531600</v>
      </c>
      <c r="D210" s="42">
        <v>0</v>
      </c>
      <c r="E210" s="89">
        <f t="shared" si="205"/>
        <v>0</v>
      </c>
      <c r="F210" s="42">
        <v>0</v>
      </c>
      <c r="G210" s="89">
        <f t="shared" si="206"/>
        <v>0</v>
      </c>
      <c r="H210" s="42">
        <v>0</v>
      </c>
      <c r="I210" s="89">
        <f t="shared" si="207"/>
        <v>0</v>
      </c>
      <c r="J210" s="42">
        <v>0</v>
      </c>
      <c r="K210" s="89">
        <f t="shared" si="208"/>
        <v>0</v>
      </c>
      <c r="L210" s="42">
        <v>0</v>
      </c>
      <c r="M210" s="89">
        <f t="shared" si="209"/>
        <v>0</v>
      </c>
      <c r="N210" s="42">
        <v>0</v>
      </c>
      <c r="O210" s="89">
        <f t="shared" si="213"/>
        <v>0</v>
      </c>
      <c r="P210" s="42">
        <v>0</v>
      </c>
      <c r="Q210" s="89">
        <f t="shared" si="213"/>
        <v>0</v>
      </c>
      <c r="R210" s="42">
        <v>0</v>
      </c>
      <c r="S210" s="89">
        <f t="shared" si="210"/>
        <v>0</v>
      </c>
      <c r="T210" s="42">
        <v>0</v>
      </c>
      <c r="U210" s="89">
        <f t="shared" si="211"/>
        <v>0</v>
      </c>
      <c r="V210" s="42">
        <v>0</v>
      </c>
      <c r="W210" s="184">
        <f t="shared" si="212"/>
        <v>0</v>
      </c>
      <c r="X210" s="81">
        <f t="shared" si="191"/>
        <v>0</v>
      </c>
      <c r="Y210" s="81">
        <f t="shared" si="192"/>
        <v>0</v>
      </c>
      <c r="Z210" s="34"/>
      <c r="AA210" s="81"/>
      <c r="AB210" s="81" t="e">
        <f t="shared" si="181"/>
        <v>#DIV/0!</v>
      </c>
      <c r="AC210" s="81" t="e">
        <f t="shared" si="182"/>
        <v>#DIV/0!</v>
      </c>
      <c r="AD210" s="81" t="e">
        <f t="shared" si="183"/>
        <v>#DIV/0!</v>
      </c>
      <c r="AE210" s="81" t="e">
        <f t="shared" si="184"/>
        <v>#DIV/0!</v>
      </c>
      <c r="AF210" s="81" t="e">
        <f t="shared" si="185"/>
        <v>#DIV/0!</v>
      </c>
      <c r="AG210" s="81" t="e">
        <f t="shared" si="186"/>
        <v>#DIV/0!</v>
      </c>
      <c r="AH210" s="81" t="e">
        <f t="shared" si="187"/>
        <v>#DIV/0!</v>
      </c>
      <c r="AI210" s="81" t="e">
        <f t="shared" si="188"/>
        <v>#DIV/0!</v>
      </c>
      <c r="AJ210" s="81" t="e">
        <f t="shared" si="189"/>
        <v>#DIV/0!</v>
      </c>
      <c r="AK210" s="81" t="e">
        <f t="shared" si="193"/>
        <v>#DIV/0!</v>
      </c>
      <c r="AL210" s="81" t="e">
        <f t="shared" si="202"/>
        <v>#DIV/0!</v>
      </c>
      <c r="AN210" s="132">
        <v>0</v>
      </c>
    </row>
    <row r="211" spans="2:40" x14ac:dyDescent="0.25">
      <c r="B211" s="8" t="s">
        <v>160</v>
      </c>
      <c r="C211" s="32">
        <v>532000</v>
      </c>
      <c r="D211" s="42">
        <v>0.28000000000000003</v>
      </c>
      <c r="E211" s="89">
        <f t="shared" si="205"/>
        <v>3.3480808322372321E-3</v>
      </c>
      <c r="F211" s="42">
        <v>0</v>
      </c>
      <c r="G211" s="89">
        <f t="shared" si="206"/>
        <v>0</v>
      </c>
      <c r="H211" s="42">
        <v>253.76</v>
      </c>
      <c r="I211" s="89">
        <f t="shared" si="207"/>
        <v>0.12710879583249848</v>
      </c>
      <c r="J211" s="42">
        <v>0.54</v>
      </c>
      <c r="K211" s="89">
        <f t="shared" si="208"/>
        <v>2.9465367280346607E-4</v>
      </c>
      <c r="L211" s="42">
        <v>4.37</v>
      </c>
      <c r="M211" s="89">
        <f t="shared" si="209"/>
        <v>4.148077835785477E-2</v>
      </c>
      <c r="N211" s="42">
        <v>0.15</v>
      </c>
      <c r="O211" s="89">
        <f t="shared" si="213"/>
        <v>1.1501303481061371E-3</v>
      </c>
      <c r="P211" s="42">
        <v>212.8</v>
      </c>
      <c r="Q211" s="89">
        <f t="shared" si="213"/>
        <v>0.14032033655779971</v>
      </c>
      <c r="R211" s="42">
        <v>23.38</v>
      </c>
      <c r="S211" s="89">
        <f t="shared" si="210"/>
        <v>5.1019072142451886E-3</v>
      </c>
      <c r="T211" s="42">
        <v>20.23</v>
      </c>
      <c r="U211" s="89">
        <f t="shared" si="211"/>
        <v>1.4219491879847754E-3</v>
      </c>
      <c r="V211" s="42">
        <v>13.63</v>
      </c>
      <c r="W211" s="184">
        <f t="shared" si="212"/>
        <v>1.4440547956816088E-2</v>
      </c>
      <c r="X211" s="81">
        <f t="shared" si="191"/>
        <v>3.3466717996034581E-2</v>
      </c>
      <c r="Y211" s="81">
        <f t="shared" si="192"/>
        <v>6.9881347863486841E-3</v>
      </c>
      <c r="Z211" s="34"/>
      <c r="AA211" s="81"/>
      <c r="AB211" s="81">
        <f t="shared" si="181"/>
        <v>-1</v>
      </c>
      <c r="AC211" s="81" t="e">
        <f t="shared" si="182"/>
        <v>#DIV/0!</v>
      </c>
      <c r="AD211" s="81">
        <f t="shared" si="183"/>
        <v>-0.9978720050441362</v>
      </c>
      <c r="AE211" s="81">
        <f t="shared" si="184"/>
        <v>7.0925925925925926</v>
      </c>
      <c r="AF211" s="81">
        <f t="shared" si="185"/>
        <v>-0.96567505720823787</v>
      </c>
      <c r="AG211" s="81">
        <f t="shared" si="186"/>
        <v>1417.6666666666667</v>
      </c>
      <c r="AH211" s="81">
        <f t="shared" si="187"/>
        <v>-0.8901315789473685</v>
      </c>
      <c r="AI211" s="81">
        <f t="shared" si="188"/>
        <v>-0.13473053892215564</v>
      </c>
      <c r="AJ211" s="81">
        <f t="shared" si="189"/>
        <v>-0.32624814631735044</v>
      </c>
      <c r="AK211" s="81" t="e">
        <f t="shared" si="193"/>
        <v>#DIV/0!</v>
      </c>
      <c r="AL211" s="81">
        <f t="shared" si="202"/>
        <v>-0.45037008806229145</v>
      </c>
      <c r="AN211" s="132">
        <v>1546.1500000000005</v>
      </c>
    </row>
    <row r="212" spans="2:40" x14ac:dyDescent="0.25">
      <c r="B212" s="8" t="s">
        <v>161</v>
      </c>
      <c r="C212" s="32">
        <v>533200</v>
      </c>
      <c r="D212" s="42">
        <v>0</v>
      </c>
      <c r="E212" s="89">
        <f t="shared" si="205"/>
        <v>0</v>
      </c>
      <c r="F212" s="42">
        <v>0</v>
      </c>
      <c r="G212" s="89">
        <f t="shared" si="206"/>
        <v>0</v>
      </c>
      <c r="H212" s="42">
        <v>0</v>
      </c>
      <c r="I212" s="89">
        <f t="shared" si="207"/>
        <v>0</v>
      </c>
      <c r="J212" s="42">
        <v>0</v>
      </c>
      <c r="K212" s="89">
        <f t="shared" si="208"/>
        <v>0</v>
      </c>
      <c r="L212" s="42">
        <v>0</v>
      </c>
      <c r="M212" s="89">
        <f t="shared" si="209"/>
        <v>0</v>
      </c>
      <c r="N212" s="42">
        <v>0</v>
      </c>
      <c r="O212" s="89">
        <f t="shared" si="213"/>
        <v>0</v>
      </c>
      <c r="P212" s="42">
        <v>0</v>
      </c>
      <c r="Q212" s="89">
        <f t="shared" si="213"/>
        <v>0</v>
      </c>
      <c r="R212" s="42">
        <v>0</v>
      </c>
      <c r="S212" s="89">
        <f t="shared" si="210"/>
        <v>0</v>
      </c>
      <c r="T212" s="42">
        <v>0</v>
      </c>
      <c r="U212" s="89">
        <f t="shared" si="211"/>
        <v>0</v>
      </c>
      <c r="V212" s="42">
        <v>0</v>
      </c>
      <c r="W212" s="184">
        <f t="shared" si="212"/>
        <v>0</v>
      </c>
      <c r="X212" s="81">
        <f t="shared" si="191"/>
        <v>0</v>
      </c>
      <c r="Y212" s="81">
        <f t="shared" si="192"/>
        <v>0</v>
      </c>
      <c r="Z212" s="34"/>
      <c r="AA212" s="81"/>
      <c r="AB212" s="81" t="e">
        <f t="shared" si="181"/>
        <v>#DIV/0!</v>
      </c>
      <c r="AC212" s="81" t="e">
        <f t="shared" si="182"/>
        <v>#DIV/0!</v>
      </c>
      <c r="AD212" s="81" t="e">
        <f t="shared" si="183"/>
        <v>#DIV/0!</v>
      </c>
      <c r="AE212" s="81" t="e">
        <f t="shared" si="184"/>
        <v>#DIV/0!</v>
      </c>
      <c r="AF212" s="81" t="e">
        <f t="shared" si="185"/>
        <v>#DIV/0!</v>
      </c>
      <c r="AG212" s="81" t="e">
        <f t="shared" si="186"/>
        <v>#DIV/0!</v>
      </c>
      <c r="AH212" s="81" t="e">
        <f t="shared" si="187"/>
        <v>#DIV/0!</v>
      </c>
      <c r="AI212" s="81" t="e">
        <f t="shared" si="188"/>
        <v>#DIV/0!</v>
      </c>
      <c r="AJ212" s="81" t="e">
        <f t="shared" si="189"/>
        <v>#DIV/0!</v>
      </c>
      <c r="AK212" s="81" t="e">
        <f t="shared" si="193"/>
        <v>#DIV/0!</v>
      </c>
      <c r="AL212" s="81" t="e">
        <f t="shared" si="202"/>
        <v>#DIV/0!</v>
      </c>
      <c r="AN212" s="132">
        <v>143.01</v>
      </c>
    </row>
    <row r="213" spans="2:40" x14ac:dyDescent="0.25">
      <c r="B213" s="8" t="s">
        <v>162</v>
      </c>
      <c r="C213" s="32">
        <v>539500</v>
      </c>
      <c r="D213" s="42">
        <v>10.16</v>
      </c>
      <c r="E213" s="89">
        <f t="shared" si="205"/>
        <v>0.1214875044840367</v>
      </c>
      <c r="F213" s="42">
        <v>37.4</v>
      </c>
      <c r="G213" s="89">
        <f t="shared" si="206"/>
        <v>0.15290894967087779</v>
      </c>
      <c r="H213" s="42">
        <v>1559.73</v>
      </c>
      <c r="I213" s="89">
        <f t="shared" si="207"/>
        <v>0.78127128831897408</v>
      </c>
      <c r="J213" s="42">
        <v>1444.86</v>
      </c>
      <c r="K213" s="89">
        <f t="shared" si="208"/>
        <v>0.78839501053114058</v>
      </c>
      <c r="L213" s="42">
        <v>0.26</v>
      </c>
      <c r="M213" s="89">
        <f t="shared" si="209"/>
        <v>2.4679639297579496E-3</v>
      </c>
      <c r="N213" s="42">
        <v>16.649999999999999</v>
      </c>
      <c r="O213" s="89">
        <f t="shared" si="213"/>
        <v>0.1276644686397812</v>
      </c>
      <c r="P213" s="42">
        <v>1210.3699999999999</v>
      </c>
      <c r="Q213" s="89">
        <f t="shared" si="213"/>
        <v>0.79811807217793251</v>
      </c>
      <c r="R213" s="42">
        <v>4315.2</v>
      </c>
      <c r="S213" s="89">
        <f t="shared" si="210"/>
        <v>0.94164884563348328</v>
      </c>
      <c r="T213" s="42">
        <v>14007.28</v>
      </c>
      <c r="U213" s="89">
        <f t="shared" si="211"/>
        <v>0.98455958585642034</v>
      </c>
      <c r="V213" s="42">
        <v>851.91</v>
      </c>
      <c r="W213" s="184">
        <f t="shared" si="212"/>
        <v>0.90257132867873746</v>
      </c>
      <c r="X213" s="81">
        <f t="shared" si="191"/>
        <v>0.56010930179211416</v>
      </c>
      <c r="Y213" s="81">
        <f t="shared" si="192"/>
        <v>0.94292658672288043</v>
      </c>
      <c r="Z213" s="34"/>
      <c r="AA213" s="81"/>
      <c r="AB213" s="81">
        <f t="shared" si="181"/>
        <v>2.6811023622047241</v>
      </c>
      <c r="AC213" s="81">
        <f t="shared" si="182"/>
        <v>40.704010695187165</v>
      </c>
      <c r="AD213" s="81">
        <f t="shared" si="183"/>
        <v>-7.364736204343067E-2</v>
      </c>
      <c r="AE213" s="81">
        <f t="shared" si="184"/>
        <v>-0.99982005176972166</v>
      </c>
      <c r="AF213" s="81">
        <f t="shared" si="185"/>
        <v>63.038461538461526</v>
      </c>
      <c r="AG213" s="81">
        <f t="shared" si="186"/>
        <v>71.694894894894887</v>
      </c>
      <c r="AH213" s="81">
        <f t="shared" si="187"/>
        <v>2.5651908094219125</v>
      </c>
      <c r="AI213" s="81">
        <f t="shared" si="188"/>
        <v>2.2460326288468675</v>
      </c>
      <c r="AJ213" s="81">
        <f t="shared" si="189"/>
        <v>-0.93918091164023276</v>
      </c>
      <c r="AK213" s="81">
        <f t="shared" si="193"/>
        <v>20.101893844840411</v>
      </c>
      <c r="AL213" s="81">
        <f t="shared" si="202"/>
        <v>1.2906808422095155</v>
      </c>
      <c r="AN213" s="132">
        <v>5796.3700000000008</v>
      </c>
    </row>
    <row r="214" spans="2:40" x14ac:dyDescent="0.25">
      <c r="B214" s="8" t="s">
        <v>154</v>
      </c>
      <c r="C214" s="32">
        <v>539900</v>
      </c>
      <c r="D214" s="42">
        <v>0</v>
      </c>
      <c r="E214" s="89">
        <f t="shared" si="205"/>
        <v>0</v>
      </c>
      <c r="F214" s="42">
        <v>0</v>
      </c>
      <c r="G214" s="89">
        <f t="shared" si="206"/>
        <v>0</v>
      </c>
      <c r="H214" s="42">
        <v>0</v>
      </c>
      <c r="I214" s="89">
        <f t="shared" si="207"/>
        <v>0</v>
      </c>
      <c r="J214" s="42">
        <v>0</v>
      </c>
      <c r="K214" s="89">
        <f t="shared" si="208"/>
        <v>0</v>
      </c>
      <c r="L214" s="42">
        <v>0</v>
      </c>
      <c r="M214" s="89">
        <f t="shared" si="209"/>
        <v>0</v>
      </c>
      <c r="N214" s="42">
        <v>0</v>
      </c>
      <c r="O214" s="89">
        <f t="shared" si="213"/>
        <v>0</v>
      </c>
      <c r="P214" s="42">
        <v>0</v>
      </c>
      <c r="Q214" s="89">
        <f t="shared" si="213"/>
        <v>0</v>
      </c>
      <c r="R214" s="42">
        <v>0</v>
      </c>
      <c r="S214" s="89">
        <f t="shared" si="210"/>
        <v>0</v>
      </c>
      <c r="T214" s="42">
        <v>0</v>
      </c>
      <c r="U214" s="89">
        <f t="shared" si="211"/>
        <v>0</v>
      </c>
      <c r="V214" s="42">
        <v>0</v>
      </c>
      <c r="W214" s="184">
        <f t="shared" si="212"/>
        <v>0</v>
      </c>
      <c r="X214" s="81">
        <f t="shared" si="191"/>
        <v>0</v>
      </c>
      <c r="Y214" s="81">
        <f t="shared" si="192"/>
        <v>0</v>
      </c>
      <c r="Z214" s="34"/>
      <c r="AA214" s="81"/>
      <c r="AB214" s="81" t="e">
        <f t="shared" si="181"/>
        <v>#DIV/0!</v>
      </c>
      <c r="AC214" s="81" t="e">
        <f t="shared" si="182"/>
        <v>#DIV/0!</v>
      </c>
      <c r="AD214" s="81" t="e">
        <f t="shared" si="183"/>
        <v>#DIV/0!</v>
      </c>
      <c r="AE214" s="81" t="e">
        <f t="shared" si="184"/>
        <v>#DIV/0!</v>
      </c>
      <c r="AF214" s="81" t="e">
        <f t="shared" si="185"/>
        <v>#DIV/0!</v>
      </c>
      <c r="AG214" s="81" t="e">
        <f t="shared" si="186"/>
        <v>#DIV/0!</v>
      </c>
      <c r="AH214" s="81" t="e">
        <f t="shared" si="187"/>
        <v>#DIV/0!</v>
      </c>
      <c r="AI214" s="81" t="e">
        <f t="shared" si="188"/>
        <v>#DIV/0!</v>
      </c>
      <c r="AJ214" s="81" t="e">
        <f t="shared" si="189"/>
        <v>#DIV/0!</v>
      </c>
      <c r="AK214" s="81" t="e">
        <f t="shared" si="193"/>
        <v>#DIV/0!</v>
      </c>
      <c r="AL214" s="81" t="e">
        <f t="shared" si="202"/>
        <v>#DIV/0!</v>
      </c>
      <c r="AN214" s="132">
        <v>390.02</v>
      </c>
    </row>
    <row r="215" spans="2:40" s="34" customFormat="1" x14ac:dyDescent="0.25">
      <c r="B215" s="11" t="s">
        <v>163</v>
      </c>
      <c r="C215" s="12">
        <v>540000</v>
      </c>
      <c r="D215" s="48">
        <f t="shared" ref="D215:V215" si="214">+SUM(D216)</f>
        <v>1101.71</v>
      </c>
      <c r="E215" s="90">
        <f>+D215/D$181</f>
        <v>0.12128895176339129</v>
      </c>
      <c r="F215" s="48">
        <f t="shared" si="214"/>
        <v>1361.9</v>
      </c>
      <c r="G215" s="90">
        <f>+F215/F$181</f>
        <v>0.11384401388965515</v>
      </c>
      <c r="H215" s="48">
        <f t="shared" si="214"/>
        <v>1097.18</v>
      </c>
      <c r="I215" s="90">
        <f>+H215/H$181</f>
        <v>0.10413441671040481</v>
      </c>
      <c r="J215" s="48">
        <f t="shared" si="214"/>
        <v>443.16</v>
      </c>
      <c r="K215" s="90">
        <f>+J215/J$181</f>
        <v>4.9390393748965596E-2</v>
      </c>
      <c r="L215" s="48">
        <f t="shared" si="214"/>
        <v>972.52</v>
      </c>
      <c r="M215" s="90">
        <f>+L215/L$181</f>
        <v>5.8526345942868624E-2</v>
      </c>
      <c r="N215" s="48">
        <f t="shared" si="214"/>
        <v>3041.84</v>
      </c>
      <c r="O215" s="90">
        <f>+N215/N$181</f>
        <v>0.11592210173785593</v>
      </c>
      <c r="P215" s="48">
        <f t="shared" si="214"/>
        <v>1387.54</v>
      </c>
      <c r="Q215" s="90">
        <f>+P215/P$181</f>
        <v>6.0775370631471835E-2</v>
      </c>
      <c r="R215" s="48">
        <f t="shared" si="214"/>
        <v>712.13</v>
      </c>
      <c r="S215" s="90">
        <f>+R215/R$181</f>
        <v>3.6603412233896279E-2</v>
      </c>
      <c r="T215" s="48">
        <f t="shared" si="214"/>
        <v>1554.13</v>
      </c>
      <c r="U215" s="90">
        <f>+T215/T$181</f>
        <v>7.5972243609015222E-2</v>
      </c>
      <c r="V215" s="48">
        <f t="shared" si="214"/>
        <v>2021.48</v>
      </c>
      <c r="W215" s="182">
        <f>+V215/V$181</f>
        <v>9.3750014492787248E-2</v>
      </c>
      <c r="X215" s="80">
        <f t="shared" si="191"/>
        <v>8.3020726476031204E-2</v>
      </c>
      <c r="Y215" s="80">
        <f t="shared" si="192"/>
        <v>6.8775223445232916E-2</v>
      </c>
      <c r="AA215" s="81"/>
      <c r="AB215" s="80">
        <f t="shared" si="181"/>
        <v>0.23616922783672659</v>
      </c>
      <c r="AC215" s="80">
        <f t="shared" si="182"/>
        <v>-0.19437550480945739</v>
      </c>
      <c r="AD215" s="80">
        <f t="shared" si="183"/>
        <v>-0.59609179897555542</v>
      </c>
      <c r="AE215" s="80">
        <f t="shared" si="184"/>
        <v>1.1945121400848449</v>
      </c>
      <c r="AF215" s="80">
        <f t="shared" si="185"/>
        <v>2.1277917163657305</v>
      </c>
      <c r="AG215" s="80">
        <f t="shared" si="186"/>
        <v>-0.54384846014254529</v>
      </c>
      <c r="AH215" s="80">
        <f t="shared" si="187"/>
        <v>-0.48676794903209997</v>
      </c>
      <c r="AI215" s="80">
        <f t="shared" si="188"/>
        <v>1.1823683877943636</v>
      </c>
      <c r="AJ215" s="80">
        <f t="shared" si="189"/>
        <v>0.30071486941246861</v>
      </c>
      <c r="AK215" s="80">
        <f t="shared" si="193"/>
        <v>0.35783029205938621</v>
      </c>
      <c r="AL215" s="80">
        <f t="shared" si="202"/>
        <v>0.33210510272491073</v>
      </c>
      <c r="AN215" s="134">
        <v>59633.970000000016</v>
      </c>
    </row>
    <row r="216" spans="2:40" x14ac:dyDescent="0.25">
      <c r="B216" s="8" t="s">
        <v>163</v>
      </c>
      <c r="C216" s="32">
        <v>540500</v>
      </c>
      <c r="D216" s="43">
        <v>1101.71</v>
      </c>
      <c r="E216" s="91">
        <f>+D216/D$215</f>
        <v>1</v>
      </c>
      <c r="F216" s="43">
        <v>1361.9</v>
      </c>
      <c r="G216" s="91">
        <f>+F216/F$215</f>
        <v>1</v>
      </c>
      <c r="H216" s="43">
        <v>1097.18</v>
      </c>
      <c r="I216" s="91">
        <f>+H216/H$215</f>
        <v>1</v>
      </c>
      <c r="J216" s="43">
        <v>443.16</v>
      </c>
      <c r="K216" s="91">
        <f>+J216/J$215</f>
        <v>1</v>
      </c>
      <c r="L216" s="43">
        <v>972.52</v>
      </c>
      <c r="M216" s="91">
        <f>+L216/L$215</f>
        <v>1</v>
      </c>
      <c r="N216" s="43">
        <v>3041.84</v>
      </c>
      <c r="O216" s="91">
        <f>+N216/N$215</f>
        <v>1</v>
      </c>
      <c r="P216" s="43">
        <v>1387.54</v>
      </c>
      <c r="Q216" s="91">
        <f>+P216/P$215</f>
        <v>1</v>
      </c>
      <c r="R216" s="43">
        <v>712.13</v>
      </c>
      <c r="S216" s="91">
        <f>+R216/R$215</f>
        <v>1</v>
      </c>
      <c r="T216" s="43">
        <v>1554.13</v>
      </c>
      <c r="U216" s="91">
        <f>+T216/T$215</f>
        <v>1</v>
      </c>
      <c r="V216" s="43">
        <v>2021.48</v>
      </c>
      <c r="W216" s="185">
        <f>+V216/V$215</f>
        <v>1</v>
      </c>
      <c r="X216" s="82">
        <f t="shared" si="191"/>
        <v>1</v>
      </c>
      <c r="Y216" s="82">
        <f t="shared" si="192"/>
        <v>1</v>
      </c>
      <c r="Z216" s="34"/>
      <c r="AA216" s="82"/>
      <c r="AB216" s="82">
        <f t="shared" si="181"/>
        <v>0.23616922783672659</v>
      </c>
      <c r="AC216" s="82">
        <f t="shared" si="182"/>
        <v>-0.19437550480945739</v>
      </c>
      <c r="AD216" s="82">
        <f t="shared" si="183"/>
        <v>-0.59609179897555542</v>
      </c>
      <c r="AE216" s="82">
        <f t="shared" si="184"/>
        <v>1.1945121400848449</v>
      </c>
      <c r="AF216" s="82">
        <f t="shared" si="185"/>
        <v>2.1277917163657305</v>
      </c>
      <c r="AG216" s="82">
        <f t="shared" si="186"/>
        <v>-0.54384846014254529</v>
      </c>
      <c r="AH216" s="82">
        <f t="shared" si="187"/>
        <v>-0.48676794903209997</v>
      </c>
      <c r="AI216" s="82">
        <f t="shared" si="188"/>
        <v>1.1823683877943636</v>
      </c>
      <c r="AJ216" s="82">
        <f t="shared" si="189"/>
        <v>0.30071486941246861</v>
      </c>
      <c r="AK216" s="82">
        <f t="shared" si="193"/>
        <v>0.35783029205938621</v>
      </c>
      <c r="AL216" s="82">
        <f t="shared" si="202"/>
        <v>0.33210510272491073</v>
      </c>
      <c r="AN216" s="133">
        <v>59633.970000000016</v>
      </c>
    </row>
    <row r="217" spans="2:40" ht="5.25" customHeight="1" x14ac:dyDescent="0.25">
      <c r="B217" s="8"/>
      <c r="C217" s="32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34"/>
      <c r="AA217" s="101"/>
      <c r="AB217" s="101"/>
      <c r="AC217" s="102"/>
      <c r="AD217" s="102"/>
      <c r="AE217" s="100"/>
      <c r="AF217" s="100"/>
      <c r="AG217" s="100"/>
      <c r="AH217" s="100"/>
      <c r="AI217" s="100"/>
      <c r="AJ217" s="100"/>
      <c r="AK217" s="100"/>
      <c r="AL217" s="100"/>
      <c r="AN217" s="122"/>
    </row>
    <row r="218" spans="2:40" s="34" customFormat="1" x14ac:dyDescent="0.25">
      <c r="B218" s="11" t="s">
        <v>164</v>
      </c>
      <c r="C218" s="12">
        <v>590000</v>
      </c>
      <c r="D218" s="18">
        <f>+(D160-D182)+(D167-D204)-D215</f>
        <v>2166.0199999999995</v>
      </c>
      <c r="E218" s="93">
        <f>+D218/D$181</f>
        <v>0.23846047988902772</v>
      </c>
      <c r="F218" s="18">
        <f t="shared" ref="F218:T218" si="215">+(F160-F182)+(F167-F204)-F215</f>
        <v>3377.1699999999996</v>
      </c>
      <c r="G218" s="93">
        <f>+F218/F$181</f>
        <v>0.28230456596499492</v>
      </c>
      <c r="H218" s="18">
        <f t="shared" si="215"/>
        <v>496.76999999999975</v>
      </c>
      <c r="I218" s="93">
        <f>+H218/H$181</f>
        <v>4.7148921953761247E-2</v>
      </c>
      <c r="J218" s="18">
        <f>+(J160-J182)+(J167-J204)-J215</f>
        <v>-2730.6989999999996</v>
      </c>
      <c r="K218" s="93">
        <f>+J218/J$181</f>
        <v>-0.30433770832183993</v>
      </c>
      <c r="L218" s="18">
        <f t="shared" si="215"/>
        <v>5047.26</v>
      </c>
      <c r="M218" s="93">
        <f>+L218/L$181</f>
        <v>0.30374458604820787</v>
      </c>
      <c r="N218" s="18">
        <f t="shared" si="215"/>
        <v>5803.68</v>
      </c>
      <c r="O218" s="93">
        <f>+N218/N$181</f>
        <v>0.22117362629657039</v>
      </c>
      <c r="P218" s="18">
        <f t="shared" si="215"/>
        <v>1914.5499999999993</v>
      </c>
      <c r="Q218" s="93">
        <f>+P218/P$181</f>
        <v>8.385883350568947E-2</v>
      </c>
      <c r="R218" s="18">
        <f t="shared" si="215"/>
        <v>-3656.899999999996</v>
      </c>
      <c r="S218" s="93">
        <f>+R218/R$181</f>
        <v>-0.18796430174004067</v>
      </c>
      <c r="T218" s="18">
        <f t="shared" si="215"/>
        <v>-12541.010000000002</v>
      </c>
      <c r="U218" s="93">
        <f>+T218/T$181</f>
        <v>-0.61305596495987857</v>
      </c>
      <c r="V218" s="18">
        <f>+(V160-V182)+(V167-V204)-V215</f>
        <v>2429.809999999999</v>
      </c>
      <c r="W218" s="93">
        <f>+V218/V$181</f>
        <v>0.11268710188313477</v>
      </c>
      <c r="X218" s="174"/>
      <c r="Y218" s="174"/>
      <c r="AA218" s="105"/>
      <c r="AB218" s="93">
        <f>+(F218-D218)/D218</f>
        <v>0.55915919520595392</v>
      </c>
      <c r="AC218" s="93">
        <f>+(H218-F218)/F218</f>
        <v>-0.85290346651190196</v>
      </c>
      <c r="AD218" s="93">
        <f>+(J218-H218)/H218</f>
        <v>-6.4969080258469729</v>
      </c>
      <c r="AE218" s="93">
        <f>+(L218-J218)/J218</f>
        <v>-2.8483399305452561</v>
      </c>
      <c r="AF218" s="93">
        <f>+(N218-L218)/L218</f>
        <v>0.14986745283579606</v>
      </c>
      <c r="AG218" s="93">
        <f>+(P218-N218)/N218</f>
        <v>-0.6701144790891298</v>
      </c>
      <c r="AH218" s="93">
        <f>+(R218-P218)/P218</f>
        <v>-2.9100571935964052</v>
      </c>
      <c r="AI218" s="93">
        <f>+(T218-R218)/R218</f>
        <v>2.4294101561431858</v>
      </c>
      <c r="AJ218" s="93">
        <f>+(V218-T218)/T218</f>
        <v>-1.193749147795911</v>
      </c>
      <c r="AK218" s="190">
        <f>+AVERAGE(AB218:AJ218)</f>
        <v>-1.3148483821334045</v>
      </c>
      <c r="AL218" s="190">
        <f>+AVERAGE(AH218:AJ218)</f>
        <v>-0.5581320617497102</v>
      </c>
      <c r="AN218" s="138">
        <v>104588.7</v>
      </c>
    </row>
    <row r="219" spans="2:40" x14ac:dyDescent="0.25">
      <c r="D219" s="35">
        <f>+D218-D145</f>
        <v>0</v>
      </c>
      <c r="E219" s="35"/>
      <c r="F219" s="35">
        <f t="shared" ref="F219:L219" si="216">+F218-F145</f>
        <v>0</v>
      </c>
      <c r="G219" s="35"/>
      <c r="H219" s="35">
        <f t="shared" si="216"/>
        <v>0</v>
      </c>
      <c r="I219" s="35"/>
      <c r="J219" s="35">
        <f>+J218-J145</f>
        <v>1.0000000002037268E-3</v>
      </c>
      <c r="K219" s="35"/>
      <c r="L219" s="35">
        <f t="shared" si="216"/>
        <v>0</v>
      </c>
      <c r="M219" s="35"/>
      <c r="N219" s="35">
        <f>+N218-N145</f>
        <v>0</v>
      </c>
      <c r="O219" s="35"/>
      <c r="P219" s="35">
        <f>+P218-P145</f>
        <v>0</v>
      </c>
      <c r="Q219" s="35"/>
      <c r="R219" s="35">
        <f>+R218-R145</f>
        <v>4.0927261579781771E-12</v>
      </c>
      <c r="S219" s="35"/>
      <c r="T219" s="35">
        <f>+T218-T145</f>
        <v>0</v>
      </c>
      <c r="U219" s="35"/>
      <c r="V219" s="35">
        <f>+V218-V145</f>
        <v>0</v>
      </c>
      <c r="W219" s="35"/>
      <c r="X219" s="35"/>
      <c r="Y219" s="35"/>
      <c r="AA219" s="49"/>
      <c r="AB219" s="50"/>
      <c r="AC219" s="40"/>
      <c r="AD219" s="40"/>
      <c r="AN219" s="35">
        <f>+AN218-AN145</f>
        <v>0</v>
      </c>
    </row>
    <row r="220" spans="2:40" x14ac:dyDescent="0.25">
      <c r="D220" s="106"/>
      <c r="F220" s="1"/>
      <c r="G220" s="1"/>
      <c r="AA220" s="49"/>
      <c r="AB220" s="50"/>
      <c r="AC220" s="40"/>
      <c r="AD220" s="40"/>
    </row>
    <row r="221" spans="2:40" x14ac:dyDescent="0.25">
      <c r="B221" s="34" t="s">
        <v>221</v>
      </c>
      <c r="D221" s="79">
        <f>+D164-D182</f>
        <v>1961.79</v>
      </c>
      <c r="E221" s="79"/>
      <c r="F221" s="79">
        <f t="shared" ref="F221:V221" si="217">+F164-F182</f>
        <v>2945.5699999999997</v>
      </c>
      <c r="G221" s="79"/>
      <c r="H221" s="79">
        <f t="shared" si="217"/>
        <v>2587.62</v>
      </c>
      <c r="I221" s="79"/>
      <c r="J221" s="79">
        <f t="shared" si="217"/>
        <v>-1574.7640000000001</v>
      </c>
      <c r="K221" s="79"/>
      <c r="L221" s="79">
        <f t="shared" si="217"/>
        <v>2483.6399999999994</v>
      </c>
      <c r="M221" s="79"/>
      <c r="N221" s="79">
        <f t="shared" si="217"/>
        <v>4734.3499999999985</v>
      </c>
      <c r="O221" s="79"/>
      <c r="P221" s="79">
        <f t="shared" si="217"/>
        <v>1679.3999999999978</v>
      </c>
      <c r="Q221" s="79"/>
      <c r="R221" s="79">
        <f t="shared" si="217"/>
        <v>-783.97999999999956</v>
      </c>
      <c r="S221" s="79"/>
      <c r="T221" s="79">
        <f t="shared" si="217"/>
        <v>842.72000000000116</v>
      </c>
      <c r="U221" s="79"/>
      <c r="V221" s="79">
        <f t="shared" si="217"/>
        <v>3164.2299999999996</v>
      </c>
      <c r="AA221" s="49"/>
      <c r="AB221" s="50"/>
      <c r="AC221" s="40"/>
      <c r="AD221" s="40"/>
      <c r="AN221" s="79">
        <f>+AN160-AN182</f>
        <v>125413.59000000032</v>
      </c>
    </row>
    <row r="222" spans="2:40" x14ac:dyDescent="0.15">
      <c r="B222" s="34" t="s">
        <v>208</v>
      </c>
      <c r="C222" s="40"/>
      <c r="D222" s="79">
        <f>+D160-D182+D200+D201+D203</f>
        <v>2581.9499999999998</v>
      </c>
      <c r="F222" s="79">
        <f>+F160-F182+F200+F201+F203</f>
        <v>3865.8399999999992</v>
      </c>
      <c r="G222" s="78"/>
      <c r="H222" s="79">
        <f>+H160-H182+H200+H201+H203</f>
        <v>3429.7899999999995</v>
      </c>
      <c r="I222" s="78"/>
      <c r="J222" s="79">
        <f>+J160-J182+J200+J201+J203</f>
        <v>748.89100000000008</v>
      </c>
      <c r="K222" s="78"/>
      <c r="L222" s="79">
        <f>+L160-L182+L200+L201+L203</f>
        <v>3901.4599999999996</v>
      </c>
      <c r="M222" s="78"/>
      <c r="N222" s="79">
        <f>+N160-N182+N200+N201+N203</f>
        <v>7023.8999999999987</v>
      </c>
      <c r="O222" s="40"/>
      <c r="P222" s="79">
        <f>+P160-P182+P200+P201+P203</f>
        <v>3873.3300000000027</v>
      </c>
      <c r="Q222" s="40"/>
      <c r="R222" s="79">
        <f>+R160-R182+R200+R201+R203</f>
        <v>1589.8800000000022</v>
      </c>
      <c r="S222" s="40"/>
      <c r="T222" s="79">
        <f>+T160-T182+T200+T201+T203</f>
        <v>4561.1000000000004</v>
      </c>
      <c r="U222" s="37"/>
      <c r="V222" s="79">
        <f>+V160-V182+V200+V201+V203</f>
        <v>5163.4199999999992</v>
      </c>
      <c r="W222" s="38"/>
      <c r="X222" s="38"/>
      <c r="Y222" s="38"/>
      <c r="Z222" s="40"/>
      <c r="AA222" s="40"/>
      <c r="AN222" s="79">
        <f>+AN160-AN182+AN200+AN201+AN203</f>
        <v>192587.60000000033</v>
      </c>
    </row>
    <row r="223" spans="2:40" x14ac:dyDescent="0.15">
      <c r="C223" s="40"/>
      <c r="D223" s="40"/>
      <c r="E223" s="40"/>
      <c r="F223" s="52"/>
      <c r="G223" s="52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37"/>
      <c r="U223" s="37"/>
      <c r="V223" s="38"/>
      <c r="W223" s="38"/>
      <c r="X223" s="38"/>
      <c r="Y223" s="38"/>
      <c r="Z223" s="40"/>
      <c r="AA223" s="40"/>
    </row>
    <row r="224" spans="2:40" x14ac:dyDescent="0.25">
      <c r="B224" s="34" t="s">
        <v>210</v>
      </c>
    </row>
    <row r="225" spans="2:40" x14ac:dyDescent="0.25">
      <c r="D225" s="231">
        <v>2003</v>
      </c>
      <c r="E225" s="231">
        <v>2004</v>
      </c>
      <c r="F225" s="231">
        <v>2005</v>
      </c>
      <c r="G225" s="231">
        <v>2006</v>
      </c>
      <c r="H225" s="231">
        <v>2007</v>
      </c>
      <c r="I225" s="231">
        <v>2008</v>
      </c>
      <c r="J225" s="231">
        <v>2009</v>
      </c>
      <c r="K225" s="231">
        <v>2010</v>
      </c>
      <c r="L225" s="231">
        <v>2011</v>
      </c>
      <c r="M225" s="231">
        <v>2012</v>
      </c>
      <c r="N225" s="233" t="s">
        <v>225</v>
      </c>
    </row>
    <row r="226" spans="2:40" x14ac:dyDescent="0.25">
      <c r="B226" s="34" t="s">
        <v>211</v>
      </c>
    </row>
    <row r="227" spans="2:40" ht="30" x14ac:dyDescent="0.25">
      <c r="B227" s="107" t="s">
        <v>216</v>
      </c>
      <c r="D227" s="232">
        <f>+D80-D124</f>
        <v>10459.820000000002</v>
      </c>
      <c r="E227" s="232">
        <f>+F80-F124</f>
        <v>11786.090000000002</v>
      </c>
      <c r="F227" s="232">
        <f>+H80-H124</f>
        <v>14881.190000000002</v>
      </c>
      <c r="G227" s="232">
        <f>+J80-J124</f>
        <v>8108.1200000000008</v>
      </c>
      <c r="H227" s="232">
        <f>+L80-L124</f>
        <v>20014.68</v>
      </c>
      <c r="I227" s="232">
        <f>+N80-N124</f>
        <v>27659.969999999994</v>
      </c>
      <c r="J227" s="232">
        <f>+P80-P124</f>
        <v>27145.68</v>
      </c>
      <c r="K227" s="232">
        <f>+R80-R124</f>
        <v>20693.7</v>
      </c>
      <c r="L227" s="232">
        <f>+T80-T124</f>
        <v>18347.550000000003</v>
      </c>
      <c r="M227" s="232">
        <f>+V80-V124</f>
        <v>23398.41</v>
      </c>
      <c r="N227" s="232">
        <f>+AN227</f>
        <v>312352.56000000011</v>
      </c>
      <c r="AN227" s="106">
        <f>+AN80-AN124</f>
        <v>312352.56000000011</v>
      </c>
    </row>
    <row r="228" spans="2:40" ht="30" x14ac:dyDescent="0.25">
      <c r="B228" s="107" t="s">
        <v>217</v>
      </c>
      <c r="D228" s="106">
        <f>+D80/D124</f>
        <v>5.2256435531567638</v>
      </c>
      <c r="E228" s="106">
        <f>+F80/F124</f>
        <v>5.832563174230903</v>
      </c>
      <c r="F228" s="106">
        <f>+H80/H124</f>
        <v>7.2948663716889</v>
      </c>
      <c r="G228" s="106">
        <f>+J80/J124</f>
        <v>7.5590124415538194</v>
      </c>
      <c r="H228" s="106">
        <f>+L80/L124</f>
        <v>8.4155360093663631</v>
      </c>
      <c r="I228" s="106">
        <f>+N80/N124</f>
        <v>5.7213318744868564</v>
      </c>
      <c r="J228" s="106">
        <f>+P80/P124</f>
        <v>9.2916435033874407</v>
      </c>
      <c r="K228" s="106">
        <f>+R80/R124</f>
        <v>10.007913706644379</v>
      </c>
      <c r="L228" s="106">
        <f>+T80/T124</f>
        <v>8.1773010526809919</v>
      </c>
      <c r="M228" s="106">
        <f>+V80/V124</f>
        <v>8.7080271051097142</v>
      </c>
      <c r="N228" s="106">
        <f>+AN228</f>
        <v>2.5295784803220016</v>
      </c>
      <c r="AN228" s="106">
        <f>+AN80/AN124</f>
        <v>2.5295784803220016</v>
      </c>
    </row>
    <row r="229" spans="2:40" x14ac:dyDescent="0.25">
      <c r="E229" s="3"/>
      <c r="F229" s="1"/>
      <c r="G229" s="1"/>
      <c r="N229" s="106"/>
    </row>
    <row r="230" spans="2:40" x14ac:dyDescent="0.25">
      <c r="B230" s="34" t="s">
        <v>218</v>
      </c>
      <c r="E230" s="3"/>
      <c r="F230" s="1"/>
      <c r="G230" s="1"/>
      <c r="N230" s="106"/>
    </row>
    <row r="231" spans="2:40" ht="30" x14ac:dyDescent="0.25">
      <c r="B231" s="107" t="s">
        <v>219</v>
      </c>
      <c r="D231" s="109">
        <f>+D85/D6</f>
        <v>0.11513860663549874</v>
      </c>
      <c r="E231" s="109">
        <f>+F85/F6</f>
        <v>0.10555657745817466</v>
      </c>
      <c r="F231" s="109">
        <f>+H85/H6</f>
        <v>0.21363651509694132</v>
      </c>
      <c r="G231" s="109">
        <f>+J85/J6</f>
        <v>6.6197253230005984E-2</v>
      </c>
      <c r="H231" s="109">
        <f>+L85/L6</f>
        <v>7.7923156755959788E-2</v>
      </c>
      <c r="I231" s="109">
        <f>+N85/N6</f>
        <v>9.2296354287857707E-2</v>
      </c>
      <c r="J231" s="109">
        <f>+P85/P6</f>
        <v>4.5919762093480865E-2</v>
      </c>
      <c r="K231" s="109">
        <f>+R85/R6</f>
        <v>3.6048515984869946E-2</v>
      </c>
      <c r="L231" s="109">
        <f>+T85/T6</f>
        <v>5.0607074279741551E-2</v>
      </c>
      <c r="M231" s="109">
        <f>+V85/V6</f>
        <v>5.6177354914322609E-2</v>
      </c>
      <c r="N231" s="109">
        <f t="shared" ref="N231:N239" si="218">+AN231</f>
        <v>0.70064989716213821</v>
      </c>
      <c r="AN231" s="109">
        <f>+AN85/AN6</f>
        <v>0.70064989716213821</v>
      </c>
    </row>
    <row r="232" spans="2:40" ht="30" x14ac:dyDescent="0.25">
      <c r="B232" s="107" t="s">
        <v>222</v>
      </c>
      <c r="D232" s="109">
        <f>+D87/D6</f>
        <v>0</v>
      </c>
      <c r="E232" s="109">
        <f>+F87/F6</f>
        <v>0</v>
      </c>
      <c r="F232" s="109">
        <f>+H87/H6</f>
        <v>0.11985998695708053</v>
      </c>
      <c r="G232" s="109">
        <f>+J87/J6</f>
        <v>1.0708237472299129E-5</v>
      </c>
      <c r="H232" s="109">
        <f>+L87/L6</f>
        <v>0</v>
      </c>
      <c r="I232" s="109">
        <f>+N87/N6</f>
        <v>0</v>
      </c>
      <c r="J232" s="109">
        <f>+P87/P6</f>
        <v>0</v>
      </c>
      <c r="K232" s="109">
        <f>+R87/R6</f>
        <v>0</v>
      </c>
      <c r="L232" s="109">
        <f>+T87/T6</f>
        <v>5.7056957131923903E-4</v>
      </c>
      <c r="M232" s="109">
        <f>+V87/V6</f>
        <v>0</v>
      </c>
      <c r="N232" s="109">
        <f t="shared" si="218"/>
        <v>1.0062302703601549E-2</v>
      </c>
      <c r="AN232" s="109">
        <f>+AN87/AN6</f>
        <v>1.0062302703601549E-2</v>
      </c>
    </row>
    <row r="233" spans="2:40" ht="30" x14ac:dyDescent="0.25">
      <c r="B233" s="120" t="s">
        <v>223</v>
      </c>
      <c r="D233" s="109">
        <f>+D86/D85</f>
        <v>0</v>
      </c>
      <c r="E233" s="109">
        <f>+F86/F85</f>
        <v>0</v>
      </c>
      <c r="F233" s="109">
        <f>+H86/H85</f>
        <v>0.56104634969678269</v>
      </c>
      <c r="G233" s="109">
        <f>+J86/J85</f>
        <v>1.6176256490722918E-4</v>
      </c>
      <c r="H233" s="109">
        <f>+L86/L85</f>
        <v>4.7252266244952143E-2</v>
      </c>
      <c r="I233" s="109">
        <f>+N86/N85</f>
        <v>1.2053983227627704E-2</v>
      </c>
      <c r="J233" s="109">
        <f>+P86/P85</f>
        <v>0</v>
      </c>
      <c r="K233" s="109">
        <f>+R86/R85</f>
        <v>0</v>
      </c>
      <c r="L233" s="109">
        <f>+T86/T85</f>
        <v>1.127450222009066E-2</v>
      </c>
      <c r="M233" s="109">
        <f>+V86/V85</f>
        <v>0</v>
      </c>
      <c r="N233" s="109">
        <f t="shared" si="218"/>
        <v>0.92426092448397601</v>
      </c>
      <c r="AN233" s="109">
        <f>+AN86/AN85</f>
        <v>0.92426092448397601</v>
      </c>
    </row>
    <row r="234" spans="2:40" x14ac:dyDescent="0.25">
      <c r="B234" s="108" t="s">
        <v>224</v>
      </c>
      <c r="D234" s="109">
        <f>+D85/D126</f>
        <v>0.13012049966120479</v>
      </c>
      <c r="E234" s="109">
        <f>+F85/F126</f>
        <v>0.11801369969070202</v>
      </c>
      <c r="F234" s="109">
        <f>+H85/H126</f>
        <v>0.27167654551416259</v>
      </c>
      <c r="G234" s="109">
        <f>+J85/J126</f>
        <v>7.0889974846380599E-2</v>
      </c>
      <c r="H234" s="109">
        <f>+L85/L126</f>
        <v>8.4508311131436101E-2</v>
      </c>
      <c r="I234" s="109">
        <f>+N85/N126</f>
        <v>0.10168115411219511</v>
      </c>
      <c r="J234" s="109">
        <f>+P85/P126</f>
        <v>4.8129874479152651E-2</v>
      </c>
      <c r="K234" s="109">
        <f>+R85/R126</f>
        <v>3.7396608213846716E-2</v>
      </c>
      <c r="L234" s="109">
        <f>+T85/T126</f>
        <v>5.3304667549896073E-2</v>
      </c>
      <c r="M234" s="109">
        <f>+V85/V126</f>
        <v>5.9521092449761046E-2</v>
      </c>
      <c r="N234" s="109">
        <f t="shared" si="218"/>
        <v>2.3405699905974879</v>
      </c>
      <c r="AN234" s="109">
        <f>+AN85/AN126</f>
        <v>2.3405699905974879</v>
      </c>
    </row>
    <row r="235" spans="2:40" x14ac:dyDescent="0.25">
      <c r="E235" s="3"/>
      <c r="F235" s="1"/>
      <c r="G235" s="1"/>
      <c r="N235" s="109"/>
    </row>
    <row r="236" spans="2:40" x14ac:dyDescent="0.25">
      <c r="B236" s="34" t="s">
        <v>220</v>
      </c>
      <c r="E236" s="3"/>
      <c r="F236" s="1"/>
      <c r="G236" s="1"/>
      <c r="N236" s="109"/>
    </row>
    <row r="237" spans="2:40" ht="45" x14ac:dyDescent="0.25">
      <c r="B237" s="121" t="s">
        <v>260</v>
      </c>
      <c r="D237" s="109">
        <f>+D145/D126</f>
        <v>0.11386148242496436</v>
      </c>
      <c r="E237" s="109">
        <f>+F145/F126</f>
        <v>0.16341545792735562</v>
      </c>
      <c r="F237" s="109">
        <f>+H145/H126</f>
        <v>2.5059651423815169E-2</v>
      </c>
      <c r="G237" s="109">
        <f>+J145/J126</f>
        <v>-0.1565693834525077</v>
      </c>
      <c r="H237" s="109">
        <f>+L145/L126</f>
        <v>0.15056600295150246</v>
      </c>
      <c r="I237" s="109">
        <f>+N145/N126</f>
        <v>9.9515324730373E-2</v>
      </c>
      <c r="J237" s="109">
        <f>+P145/P126</f>
        <v>2.8146301669607656E-2</v>
      </c>
      <c r="K237" s="109">
        <f>+R145/R126</f>
        <v>-5.9529381084245742E-2</v>
      </c>
      <c r="L237" s="109">
        <f>+T145/T126</f>
        <v>-0.25855716106483984</v>
      </c>
      <c r="M237" s="109">
        <f>+V145/V126</f>
        <v>4.7643109130466842E-2</v>
      </c>
      <c r="N237" s="109">
        <f t="shared" si="218"/>
        <v>8.8900232401474932E-2</v>
      </c>
      <c r="AN237" s="109">
        <f>+AN145/AN126</f>
        <v>8.8900232401474932E-2</v>
      </c>
    </row>
    <row r="238" spans="2:40" x14ac:dyDescent="0.25">
      <c r="B238" s="123" t="s">
        <v>226</v>
      </c>
      <c r="D238" s="109">
        <f>+D145/D160</f>
        <v>0.2815287154038717</v>
      </c>
      <c r="E238" s="109">
        <f>+F145/F160</f>
        <v>0.33945057408183593</v>
      </c>
      <c r="F238" s="109">
        <f>+H145/H160</f>
        <v>5.2108048914035414E-2</v>
      </c>
      <c r="G238" s="109">
        <f>+J145/J160</f>
        <v>-0.3477398248502746</v>
      </c>
      <c r="H238" s="109">
        <f>+L145/L160</f>
        <v>0.38898984994566604</v>
      </c>
      <c r="I238" s="109">
        <f>+N145/N160</f>
        <v>0.26364461072798362</v>
      </c>
      <c r="J238" s="109">
        <f>+P145/P160</f>
        <v>9.6512678899184301E-2</v>
      </c>
      <c r="K238" s="109">
        <f>+R145/R160</f>
        <v>-0.2086929823710385</v>
      </c>
      <c r="L238" s="109">
        <f>+T145/T160</f>
        <v>-0.66681607673616095</v>
      </c>
      <c r="M238" s="109">
        <f>+V145/V160</f>
        <v>0.12383822507089401</v>
      </c>
      <c r="N238" s="109">
        <f t="shared" si="218"/>
        <v>8.474268308651707E-2</v>
      </c>
      <c r="AN238" s="109">
        <f>+AN145/AN160</f>
        <v>8.474268308651707E-2</v>
      </c>
    </row>
    <row r="239" spans="2:40" ht="30" x14ac:dyDescent="0.25">
      <c r="B239" s="121" t="s">
        <v>227</v>
      </c>
      <c r="D239" s="109">
        <f>+D222/D160</f>
        <v>0.33558926821406382</v>
      </c>
      <c r="E239" s="109">
        <f>+F222/F160</f>
        <v>0.38856841891540084</v>
      </c>
      <c r="F239" s="109">
        <f>+H222/H160</f>
        <v>0.35976340174501176</v>
      </c>
      <c r="G239" s="109">
        <f>+J222/J160</f>
        <v>9.5367204442797462E-2</v>
      </c>
      <c r="H239" s="109">
        <f>+L222/L160</f>
        <v>0.30068360654474269</v>
      </c>
      <c r="I239" s="109">
        <f>+N222/N160</f>
        <v>0.31907572114456412</v>
      </c>
      <c r="J239" s="109">
        <f>+P222/P160</f>
        <v>0.19525499702832405</v>
      </c>
      <c r="K239" s="109">
        <f>+R222/R160</f>
        <v>9.0731712327946384E-2</v>
      </c>
      <c r="L239" s="109">
        <f>+T222/T160</f>
        <v>0.24251753308555724</v>
      </c>
      <c r="M239" s="109">
        <f>+V222/V160</f>
        <v>0.26315998703419419</v>
      </c>
      <c r="N239" s="109">
        <f t="shared" si="218"/>
        <v>0.15604353006771229</v>
      </c>
      <c r="AN239" s="109">
        <f>+AN222/AN160</f>
        <v>0.15604353006771229</v>
      </c>
    </row>
    <row r="241" spans="2:19" x14ac:dyDescent="0.25">
      <c r="B241" s="34" t="s">
        <v>278</v>
      </c>
      <c r="D241" s="231">
        <v>2003</v>
      </c>
      <c r="E241" s="231">
        <v>2004</v>
      </c>
      <c r="F241" s="231">
        <v>2005</v>
      </c>
      <c r="G241" s="231">
        <v>2006</v>
      </c>
      <c r="H241" s="231">
        <v>2007</v>
      </c>
      <c r="I241" s="231">
        <v>2008</v>
      </c>
      <c r="J241" s="231">
        <v>2009</v>
      </c>
      <c r="K241" s="231">
        <v>2010</v>
      </c>
      <c r="L241" s="231">
        <v>2011</v>
      </c>
      <c r="M241" s="231">
        <v>2012</v>
      </c>
    </row>
    <row r="242" spans="2:19" x14ac:dyDescent="0.25">
      <c r="B242" s="1" t="s">
        <v>276</v>
      </c>
      <c r="D242" s="106">
        <f>+D164</f>
        <v>7693.78</v>
      </c>
      <c r="E242" s="146">
        <f>+F164</f>
        <v>9924.77</v>
      </c>
      <c r="F242" s="146">
        <f>+H164</f>
        <v>9533.4599999999991</v>
      </c>
      <c r="G242" s="146">
        <f>+J164</f>
        <v>7852.71</v>
      </c>
      <c r="H242" s="146">
        <f>+L164</f>
        <v>12975.3</v>
      </c>
      <c r="I242" s="146">
        <f>+N164</f>
        <v>21998.79</v>
      </c>
      <c r="J242" s="146">
        <f>+P164</f>
        <v>19691.41</v>
      </c>
      <c r="K242" s="146">
        <f>+R164</f>
        <v>17033.48</v>
      </c>
      <c r="L242" s="146">
        <f>+T164</f>
        <v>18059.2</v>
      </c>
      <c r="M242" s="146">
        <f>+V164</f>
        <v>19331.52</v>
      </c>
      <c r="N242" s="146"/>
      <c r="Q242" s="146"/>
      <c r="S242" s="146"/>
    </row>
    <row r="243" spans="2:19" x14ac:dyDescent="0.25">
      <c r="B243" s="1" t="s">
        <v>277</v>
      </c>
      <c r="D243" s="106">
        <f>+D182</f>
        <v>5731.99</v>
      </c>
      <c r="E243" s="106">
        <f>+F182</f>
        <v>6979.2000000000007</v>
      </c>
      <c r="F243" s="106">
        <f>+H182</f>
        <v>6945.8399999999992</v>
      </c>
      <c r="G243" s="106">
        <f>+J182</f>
        <v>9427.4740000000002</v>
      </c>
      <c r="H243" s="106">
        <f>+L182</f>
        <v>10491.66</v>
      </c>
      <c r="I243" s="106">
        <f>+N182</f>
        <v>17264.440000000002</v>
      </c>
      <c r="J243" s="106">
        <f>+P182</f>
        <v>18012.010000000002</v>
      </c>
      <c r="K243" s="106">
        <f>+R182</f>
        <v>17817.46</v>
      </c>
      <c r="L243" s="106">
        <f>+T182</f>
        <v>17216.48</v>
      </c>
      <c r="M243" s="106">
        <f>+V182</f>
        <v>16167.29</v>
      </c>
      <c r="N243" s="106"/>
      <c r="Q243" s="106"/>
      <c r="S243" s="106"/>
    </row>
    <row r="244" spans="2:19" x14ac:dyDescent="0.25">
      <c r="D244" s="34">
        <f>+CORREL(D242:S242,D243:S243)</f>
        <v>0.93770538697200856</v>
      </c>
      <c r="E244" s="232"/>
      <c r="F244" s="232"/>
      <c r="G244" s="232"/>
      <c r="H244" s="232"/>
      <c r="I244" s="232"/>
      <c r="J244" s="232"/>
      <c r="K244" s="232"/>
      <c r="L244" s="232"/>
      <c r="M244" s="232"/>
    </row>
  </sheetData>
  <mergeCells count="5">
    <mergeCell ref="D4:V4"/>
    <mergeCell ref="D157:V157"/>
    <mergeCell ref="B157:C157"/>
    <mergeCell ref="AA4:AL4"/>
    <mergeCell ref="AA157:AL15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AX259"/>
  <sheetViews>
    <sheetView showGridLines="0" tabSelected="1" zoomScale="80" zoomScaleNormal="80" workbookViewId="0">
      <pane xSplit="3" ySplit="5" topLeftCell="N242" activePane="bottomRight" state="frozen"/>
      <selection pane="topRight" activeCell="D1" sqref="D1"/>
      <selection pane="bottomLeft" activeCell="A6" sqref="A6"/>
      <selection pane="bottomRight" activeCell="N258" sqref="N258"/>
    </sheetView>
  </sheetViews>
  <sheetFormatPr baseColWidth="10" defaultColWidth="19.42578125" defaultRowHeight="15" x14ac:dyDescent="0.25"/>
  <cols>
    <col min="1" max="1" width="3.7109375" style="1" customWidth="1"/>
    <col min="2" max="2" width="68.85546875" style="1" bestFit="1" customWidth="1"/>
    <col min="3" max="3" width="7.28515625" style="1" customWidth="1"/>
    <col min="4" max="4" width="10.85546875" style="1" customWidth="1"/>
    <col min="5" max="5" width="10.7109375" style="3" customWidth="1"/>
    <col min="6" max="11" width="10.7109375" style="1" customWidth="1"/>
    <col min="12" max="12" width="12" style="1" customWidth="1"/>
    <col min="13" max="13" width="11.28515625" style="1" customWidth="1"/>
    <col min="14" max="14" width="11.7109375" style="1" bestFit="1" customWidth="1"/>
    <col min="15" max="15" width="11.5703125" style="1" bestFit="1" customWidth="1"/>
    <col min="16" max="16" width="12" style="1" customWidth="1"/>
    <col min="17" max="18" width="11.140625" style="1" bestFit="1" customWidth="1"/>
    <col min="19" max="21" width="11.85546875" style="1" bestFit="1" customWidth="1"/>
    <col min="22" max="22" width="6.140625" style="1" customWidth="1"/>
    <col min="23" max="24" width="8.5703125" style="1" bestFit="1" customWidth="1"/>
    <col min="25" max="26" width="7.85546875" style="1" bestFit="1" customWidth="1"/>
    <col min="27" max="27" width="7.7109375" style="1" bestFit="1" customWidth="1"/>
    <col min="28" max="29" width="7.85546875" style="1" bestFit="1" customWidth="1"/>
    <col min="30" max="30" width="7.7109375" style="1" bestFit="1" customWidth="1"/>
    <col min="31" max="31" width="4.85546875" style="1" customWidth="1"/>
    <col min="32" max="39" width="8.5703125" style="1" bestFit="1" customWidth="1"/>
    <col min="40" max="40" width="10.42578125" style="1" customWidth="1"/>
    <col min="41" max="41" width="49.140625" style="1" bestFit="1" customWidth="1"/>
    <col min="42" max="49" width="9.140625" style="1" bestFit="1" customWidth="1"/>
    <col min="50" max="50" width="9.7109375" style="1" bestFit="1" customWidth="1"/>
    <col min="51" max="5005" width="10.42578125" style="1" customWidth="1"/>
    <col min="5006" max="16384" width="19.42578125" style="1"/>
  </cols>
  <sheetData>
    <row r="2" spans="2:32" ht="18.75" x14ac:dyDescent="0.25">
      <c r="B2" s="31" t="s">
        <v>180</v>
      </c>
      <c r="N2" s="106"/>
    </row>
    <row r="3" spans="2:32" x14ac:dyDescent="0.25">
      <c r="B3" s="54" t="s">
        <v>206</v>
      </c>
      <c r="O3" s="106"/>
    </row>
    <row r="4" spans="2:32" x14ac:dyDescent="0.25">
      <c r="B4" s="28" t="s">
        <v>175</v>
      </c>
      <c r="C4" s="29"/>
      <c r="D4" s="384" t="s">
        <v>404</v>
      </c>
      <c r="E4" s="384"/>
      <c r="F4" s="384"/>
      <c r="G4" s="384"/>
      <c r="H4" s="384"/>
      <c r="I4" s="384"/>
      <c r="J4" s="384"/>
      <c r="K4" s="384"/>
      <c r="L4" s="384"/>
      <c r="M4" s="384"/>
      <c r="N4" s="401" t="s">
        <v>207</v>
      </c>
      <c r="O4" s="401"/>
      <c r="P4" s="401"/>
      <c r="Q4" s="401"/>
      <c r="R4" s="401"/>
      <c r="S4" s="401"/>
      <c r="T4" s="401"/>
      <c r="U4" s="401"/>
      <c r="V4" s="339"/>
    </row>
    <row r="5" spans="2:32" x14ac:dyDescent="0.25">
      <c r="C5" s="4" t="s">
        <v>0</v>
      </c>
      <c r="D5" s="26">
        <v>2003</v>
      </c>
      <c r="E5" s="26">
        <v>2004</v>
      </c>
      <c r="F5" s="26">
        <v>2005</v>
      </c>
      <c r="G5" s="26">
        <v>2006</v>
      </c>
      <c r="H5" s="26">
        <v>2007</v>
      </c>
      <c r="I5" s="26">
        <v>2008</v>
      </c>
      <c r="J5" s="26">
        <v>2009</v>
      </c>
      <c r="K5" s="26">
        <v>2010</v>
      </c>
      <c r="L5" s="26">
        <v>2011</v>
      </c>
      <c r="M5" s="26">
        <v>2012</v>
      </c>
      <c r="N5" s="162">
        <v>2013</v>
      </c>
      <c r="O5" s="162">
        <v>2014</v>
      </c>
      <c r="P5" s="162">
        <v>2015</v>
      </c>
      <c r="Q5" s="162">
        <v>2016</v>
      </c>
      <c r="R5" s="162">
        <v>2017</v>
      </c>
      <c r="S5" s="162">
        <v>2018</v>
      </c>
      <c r="T5" s="162">
        <v>2019</v>
      </c>
      <c r="U5" s="162">
        <v>2020</v>
      </c>
      <c r="V5" s="340"/>
    </row>
    <row r="6" spans="2:32" x14ac:dyDescent="0.25">
      <c r="B6" s="9" t="s">
        <v>179</v>
      </c>
      <c r="C6" s="13">
        <v>100000</v>
      </c>
      <c r="D6" s="17">
        <f t="shared" ref="D6:K6" si="0">+D7+D12+D39+D55+D67+D70+D74+D63</f>
        <v>21498.610000000004</v>
      </c>
      <c r="E6" s="17">
        <f t="shared" si="0"/>
        <v>23105.050000000003</v>
      </c>
      <c r="F6" s="17">
        <f t="shared" si="0"/>
        <v>25209.08</v>
      </c>
      <c r="G6" s="17">
        <f t="shared" si="0"/>
        <v>18677.21</v>
      </c>
      <c r="H6" s="17">
        <f t="shared" si="0"/>
        <v>36354.79</v>
      </c>
      <c r="I6" s="17">
        <f t="shared" si="0"/>
        <v>64249.450000000004</v>
      </c>
      <c r="J6" s="17">
        <f t="shared" si="0"/>
        <v>71295.23</v>
      </c>
      <c r="K6" s="17">
        <f t="shared" si="0"/>
        <v>63727.45</v>
      </c>
      <c r="L6" s="17">
        <f>+L7+L12+L39+L55+L67+L70+L74+L63</f>
        <v>51089.3</v>
      </c>
      <c r="M6" s="17">
        <f>+M7+M12+M39+M55+M67+M70+M74+M63</f>
        <v>54035.829999999994</v>
      </c>
      <c r="N6" s="195">
        <f>N145</f>
        <v>56384.946142293891</v>
      </c>
      <c r="O6" s="195">
        <f t="shared" ref="O6:U6" si="1">O145</f>
        <v>60677.127394583367</v>
      </c>
      <c r="P6" s="195">
        <f t="shared" si="1"/>
        <v>66650.48081675182</v>
      </c>
      <c r="Q6" s="195">
        <f t="shared" si="1"/>
        <v>77095.717489542585</v>
      </c>
      <c r="R6" s="195">
        <f t="shared" si="1"/>
        <v>89330.756337001585</v>
      </c>
      <c r="S6" s="195">
        <f t="shared" si="1"/>
        <v>103277.98248744437</v>
      </c>
      <c r="T6" s="195">
        <f t="shared" si="1"/>
        <v>118998.68120726269</v>
      </c>
      <c r="U6" s="195">
        <f t="shared" si="1"/>
        <v>136186.58957266161</v>
      </c>
      <c r="V6" s="300"/>
      <c r="W6" s="325">
        <f>+N6/M6-1</f>
        <v>4.347330543999961E-2</v>
      </c>
      <c r="X6" s="325">
        <f t="shared" ref="X6:AC6" si="2">+O6/N6-1</f>
        <v>7.6122822596259354E-2</v>
      </c>
      <c r="Y6" s="325">
        <f t="shared" si="2"/>
        <v>9.8444894784219583E-2</v>
      </c>
      <c r="Z6" s="325">
        <f t="shared" si="2"/>
        <v>0.15671659896211088</v>
      </c>
      <c r="AA6" s="325">
        <f t="shared" si="2"/>
        <v>0.15869933176403195</v>
      </c>
      <c r="AB6" s="325">
        <f t="shared" si="2"/>
        <v>0.15613016974609151</v>
      </c>
      <c r="AC6" s="325">
        <f t="shared" si="2"/>
        <v>0.15221732978497626</v>
      </c>
      <c r="AD6" s="325">
        <f>+U6/T6-1</f>
        <v>0.14443780545317431</v>
      </c>
      <c r="AE6" s="106"/>
      <c r="AF6" s="106"/>
    </row>
    <row r="7" spans="2:32" x14ac:dyDescent="0.25">
      <c r="B7" s="6" t="s">
        <v>2</v>
      </c>
      <c r="C7" s="13">
        <v>110000</v>
      </c>
      <c r="D7" s="17">
        <f t="shared" ref="D7:L7" si="3">+SUM(D8:D11)</f>
        <v>382.5</v>
      </c>
      <c r="E7" s="17">
        <f t="shared" si="3"/>
        <v>4771.95</v>
      </c>
      <c r="F7" s="17">
        <f t="shared" si="3"/>
        <v>813.68000000000006</v>
      </c>
      <c r="G7" s="17">
        <f t="shared" si="3"/>
        <v>848.63</v>
      </c>
      <c r="H7" s="17">
        <f t="shared" si="3"/>
        <v>11062.33</v>
      </c>
      <c r="I7" s="17">
        <f t="shared" si="3"/>
        <v>21263.360000000001</v>
      </c>
      <c r="J7" s="17">
        <f t="shared" si="3"/>
        <v>18747.010000000002</v>
      </c>
      <c r="K7" s="17">
        <f t="shared" si="3"/>
        <v>6964.7</v>
      </c>
      <c r="L7" s="17">
        <f t="shared" si="3"/>
        <v>3225.47</v>
      </c>
      <c r="M7" s="17">
        <f>+SUM(M8:M11)</f>
        <v>4655.41</v>
      </c>
      <c r="N7" s="172">
        <f>+N$6*EEFFHist!$Y7</f>
        <v>4859.9491188161983</v>
      </c>
      <c r="O7" s="172">
        <f>+O$6*EEFFHist!$Y7</f>
        <v>5229.9021634146911</v>
      </c>
      <c r="P7" s="172">
        <f>+P$6*EEFFHist!$Y7</f>
        <v>5744.7593316238135</v>
      </c>
      <c r="Q7" s="172">
        <f>+Q$6*EEFFHist!$Y7</f>
        <v>6645.0584759317471</v>
      </c>
      <c r="R7" s="172">
        <f>+R$6*EEFFHist!$Y7</f>
        <v>7699.6248155950316</v>
      </c>
      <c r="S7" s="172">
        <f>+S$6*EEFFHist!$Y7</f>
        <v>8901.7685450351019</v>
      </c>
      <c r="T7" s="172">
        <f>+T$6*EEFFHist!$Y7</f>
        <v>10256.771983324237</v>
      </c>
      <c r="U7" s="172">
        <f>+U$6*EEFFHist!$Y7</f>
        <v>11738.237619629193</v>
      </c>
      <c r="V7" s="300"/>
    </row>
    <row r="8" spans="2:32" x14ac:dyDescent="0.25">
      <c r="B8" s="7" t="s">
        <v>3</v>
      </c>
      <c r="C8" s="14">
        <v>110500</v>
      </c>
      <c r="D8" s="19">
        <v>4.97</v>
      </c>
      <c r="E8" s="19">
        <v>406.43</v>
      </c>
      <c r="F8" s="19">
        <v>6.81</v>
      </c>
      <c r="G8" s="19">
        <v>16.07</v>
      </c>
      <c r="H8" s="19">
        <v>18.559999999999999</v>
      </c>
      <c r="I8" s="19">
        <v>58.32</v>
      </c>
      <c r="J8" s="19">
        <v>35.08</v>
      </c>
      <c r="K8" s="19">
        <v>9.4</v>
      </c>
      <c r="L8" s="19">
        <v>216</v>
      </c>
      <c r="M8" s="19">
        <v>114.93</v>
      </c>
      <c r="N8" s="164">
        <f>+N$7*EEFFHist!$X8</f>
        <v>109.23497782376346</v>
      </c>
      <c r="O8" s="164">
        <f>+O$7*EEFFHist!$X8</f>
        <v>117.55025266194814</v>
      </c>
      <c r="P8" s="164">
        <f>+P$7*EEFFHist!$X8</f>
        <v>129.12247491711207</v>
      </c>
      <c r="Q8" s="164">
        <f>+Q$7*EEFFHist!$X8</f>
        <v>149.35811003569233</v>
      </c>
      <c r="R8" s="164">
        <f>+R$7*EEFFHist!$X8</f>
        <v>173.06114229189546</v>
      </c>
      <c r="S8" s="164">
        <f>+S$7*EEFFHist!$X8</f>
        <v>200.0812078143816</v>
      </c>
      <c r="T8" s="164">
        <f>+T$7*EEFFHist!$X8</f>
        <v>230.53703500803965</v>
      </c>
      <c r="U8" s="164">
        <f>+U$7*EEFFHist!$X8</f>
        <v>263.83529842028253</v>
      </c>
      <c r="V8" s="331"/>
    </row>
    <row r="9" spans="2:32" x14ac:dyDescent="0.25">
      <c r="B9" s="7" t="s">
        <v>4</v>
      </c>
      <c r="C9" s="14">
        <v>111000</v>
      </c>
      <c r="D9" s="19">
        <v>122.89</v>
      </c>
      <c r="E9" s="19">
        <v>207.43</v>
      </c>
      <c r="F9" s="19">
        <v>367.19</v>
      </c>
      <c r="G9" s="19">
        <v>193.23</v>
      </c>
      <c r="H9" s="19">
        <v>43.89</v>
      </c>
      <c r="I9" s="19">
        <v>93.4</v>
      </c>
      <c r="J9" s="19">
        <v>333.82</v>
      </c>
      <c r="K9" s="19">
        <v>856.38</v>
      </c>
      <c r="L9" s="19">
        <v>355.99</v>
      </c>
      <c r="M9" s="19">
        <v>280.41000000000003</v>
      </c>
      <c r="N9" s="164">
        <f>+N$7*EEFFHist!$X9</f>
        <v>662.62737002700669</v>
      </c>
      <c r="O9" s="164">
        <f>+O$7*EEFFHist!$X9</f>
        <v>713.06843576299855</v>
      </c>
      <c r="P9" s="164">
        <f>+P$7*EEFFHist!$X9</f>
        <v>783.26638289563505</v>
      </c>
      <c r="Q9" s="164">
        <f>+Q$7*EEFFHist!$X9</f>
        <v>906.01722650439353</v>
      </c>
      <c r="R9" s="164">
        <f>+R$7*EEFFHist!$X9</f>
        <v>1049.8015549173424</v>
      </c>
      <c r="S9" s="164">
        <f>+S$7*EEFFHist!$X9</f>
        <v>1213.7072498862976</v>
      </c>
      <c r="T9" s="164">
        <f>+T$7*EEFFHist!$X9</f>
        <v>1398.4545266046566</v>
      </c>
      <c r="U9" s="164">
        <f>+U$7*EEFFHist!$X9</f>
        <v>1600.4442294534913</v>
      </c>
      <c r="V9" s="331"/>
    </row>
    <row r="10" spans="2:32" x14ac:dyDescent="0.25">
      <c r="B10" s="7" t="s">
        <v>5</v>
      </c>
      <c r="C10" s="14">
        <v>112000</v>
      </c>
      <c r="D10" s="19">
        <v>153.07</v>
      </c>
      <c r="E10" s="19">
        <v>337.66</v>
      </c>
      <c r="F10" s="19">
        <v>314.98</v>
      </c>
      <c r="G10" s="19">
        <v>636.72</v>
      </c>
      <c r="H10" s="19">
        <v>10999.88</v>
      </c>
      <c r="I10" s="19">
        <v>20107.87</v>
      </c>
      <c r="J10" s="19">
        <v>5249.68</v>
      </c>
      <c r="K10" s="19">
        <v>1705.26</v>
      </c>
      <c r="L10" s="19">
        <v>2433.88</v>
      </c>
      <c r="M10" s="19">
        <v>4205.83</v>
      </c>
      <c r="N10" s="164">
        <f>+N$7*EEFFHist!$X10</f>
        <v>2785.3501834659583</v>
      </c>
      <c r="O10" s="164">
        <f>+O$7*EEFFHist!$X10</f>
        <v>2997.3789013503961</v>
      </c>
      <c r="P10" s="164">
        <f>+P$7*EEFFHist!$X10</f>
        <v>3292.4555519222758</v>
      </c>
      <c r="Q10" s="164">
        <f>+Q$7*EEFFHist!$X10</f>
        <v>3808.4379882534549</v>
      </c>
      <c r="R10" s="164">
        <f>+R$7*EEFFHist!$X10</f>
        <v>4412.8345520540324</v>
      </c>
      <c r="S10" s="164">
        <f>+S$7*EEFFHist!$X10</f>
        <v>5101.8111597276456</v>
      </c>
      <c r="T10" s="164">
        <f>+T$7*EEFFHist!$X10</f>
        <v>5878.3952315285806</v>
      </c>
      <c r="U10" s="164">
        <f>+U$7*EEFFHist!$X10</f>
        <v>6727.457738356974</v>
      </c>
      <c r="V10" s="331"/>
    </row>
    <row r="11" spans="2:32" x14ac:dyDescent="0.25">
      <c r="B11" s="7" t="s">
        <v>405</v>
      </c>
      <c r="C11" s="14">
        <v>112500</v>
      </c>
      <c r="D11" s="19">
        <v>101.57</v>
      </c>
      <c r="E11" s="19">
        <v>3820.43</v>
      </c>
      <c r="F11" s="19">
        <v>124.7</v>
      </c>
      <c r="G11" s="19">
        <v>2.61</v>
      </c>
      <c r="H11" s="19">
        <v>0</v>
      </c>
      <c r="I11" s="19">
        <v>1003.77</v>
      </c>
      <c r="J11" s="19">
        <v>13128.43</v>
      </c>
      <c r="K11" s="19">
        <v>4393.66</v>
      </c>
      <c r="L11" s="19">
        <v>219.6</v>
      </c>
      <c r="M11" s="19">
        <v>54.24</v>
      </c>
      <c r="N11" s="164">
        <f>+N$7*EEFFHist!$X11</f>
        <v>1302.7365874994698</v>
      </c>
      <c r="O11" s="164">
        <f>+O$7*EEFFHist!$X11</f>
        <v>1401.9045736393484</v>
      </c>
      <c r="P11" s="164">
        <f>+P$7*EEFFHist!$X11</f>
        <v>1539.9149218887906</v>
      </c>
      <c r="Q11" s="164">
        <f>+Q$7*EEFFHist!$X11</f>
        <v>1781.2451511382064</v>
      </c>
      <c r="R11" s="164">
        <f>+R$7*EEFFHist!$X11</f>
        <v>2063.9275663317617</v>
      </c>
      <c r="S11" s="164">
        <f>+S$7*EEFFHist!$X11</f>
        <v>2386.1689276067773</v>
      </c>
      <c r="T11" s="164">
        <f>+T$7*EEFFHist!$X11</f>
        <v>2749.3851901829607</v>
      </c>
      <c r="U11" s="164">
        <f>+U$7*EEFFHist!$X11</f>
        <v>3146.5003533984464</v>
      </c>
      <c r="V11" s="331"/>
    </row>
    <row r="12" spans="2:32" x14ac:dyDescent="0.25">
      <c r="B12" s="6" t="s">
        <v>7</v>
      </c>
      <c r="C12" s="13">
        <v>120000</v>
      </c>
      <c r="D12" s="17">
        <f>+SUM(D13:D38)</f>
        <v>7315.6200000000008</v>
      </c>
      <c r="E12" s="17">
        <f t="shared" ref="E12:K12" si="4">+SUM(E13:E38)</f>
        <v>5005.2000000000007</v>
      </c>
      <c r="F12" s="17">
        <f t="shared" si="4"/>
        <v>2918.59</v>
      </c>
      <c r="G12" s="17">
        <f t="shared" si="4"/>
        <v>2106.6999999999998</v>
      </c>
      <c r="H12" s="17">
        <f t="shared" si="4"/>
        <v>9096.64</v>
      </c>
      <c r="I12" s="17">
        <f t="shared" si="4"/>
        <v>26997.94</v>
      </c>
      <c r="J12" s="17">
        <f t="shared" si="4"/>
        <v>36561.759999999995</v>
      </c>
      <c r="K12" s="17">
        <f t="shared" si="4"/>
        <v>40753.300000000003</v>
      </c>
      <c r="L12" s="17">
        <f>+SUM(L13:L38)</f>
        <v>29637.68</v>
      </c>
      <c r="M12" s="17">
        <f>+SUM(M13:M38)</f>
        <v>34895.79</v>
      </c>
      <c r="N12" s="172">
        <f>+N$6*EEFFHist!Y12</f>
        <v>35060.135191269699</v>
      </c>
      <c r="O12" s="172">
        <f>+O$6*EEFFHist!$Y12</f>
        <v>37729.011642635589</v>
      </c>
      <c r="P12" s="172">
        <f>+P$6*EEFFHist!$Y12</f>
        <v>41443.240224107452</v>
      </c>
      <c r="Q12" s="172">
        <f>+Q$6*EEFFHist!$Y12</f>
        <v>47938.083881999322</v>
      </c>
      <c r="R12" s="172">
        <f>+R$6*EEFFHist!$Y12</f>
        <v>55545.825760120722</v>
      </c>
      <c r="S12" s="172">
        <f>+S$6*EEFFHist!$Y12</f>
        <v>64218.204964735189</v>
      </c>
      <c r="T12" s="172">
        <f>+T$6*EEFFHist!$Y12</f>
        <v>73993.32864805148</v>
      </c>
      <c r="U12" s="172">
        <f>+U$6*EEFFHist!$Y12</f>
        <v>84680.762656151535</v>
      </c>
      <c r="V12" s="300"/>
    </row>
    <row r="13" spans="2:32" x14ac:dyDescent="0.25">
      <c r="B13" s="7" t="s">
        <v>172</v>
      </c>
      <c r="C13" s="14">
        <v>120200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76">
        <v>1658.88</v>
      </c>
      <c r="K13" s="76">
        <v>11814.39</v>
      </c>
      <c r="L13" s="76">
        <v>4886.91</v>
      </c>
      <c r="M13" s="76">
        <v>1122.9000000000001</v>
      </c>
      <c r="N13" s="164">
        <f>+N$12*EEFFHist!$Y13</f>
        <v>5691.0462649242509</v>
      </c>
      <c r="O13" s="164">
        <f>+O$12*EEFFHist!$Y13</f>
        <v>6124.264770136183</v>
      </c>
      <c r="P13" s="164">
        <f>+P$12*EEFFHist!$Y13</f>
        <v>6727.1673710629439</v>
      </c>
      <c r="Q13" s="164">
        <f>+Q$12*EEFFHist!$Y13</f>
        <v>7781.4261621048126</v>
      </c>
      <c r="R13" s="164">
        <f>+R$12*EEFFHist!$Y13</f>
        <v>9016.3332942020024</v>
      </c>
      <c r="S13" s="164">
        <f>+S$12*EEFFHist!$Y13</f>
        <v>10424.054941913097</v>
      </c>
      <c r="T13" s="164">
        <f>+T$12*EEFFHist!$Y13</f>
        <v>12010.776750702993</v>
      </c>
      <c r="U13" s="164">
        <f>+U$12*EEFFHist!$Y13</f>
        <v>13745.586986362541</v>
      </c>
      <c r="V13" s="331"/>
    </row>
    <row r="14" spans="2:32" x14ac:dyDescent="0.25">
      <c r="B14" s="7" t="s">
        <v>406</v>
      </c>
      <c r="C14" s="14">
        <v>120400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64">
        <f>+N$12*EEFFHist!$Y14</f>
        <v>0</v>
      </c>
      <c r="O14" s="164">
        <f>+O$12*EEFFHist!$Y14</f>
        <v>0</v>
      </c>
      <c r="P14" s="164">
        <f>+P$12*EEFFHist!$Y14</f>
        <v>0</v>
      </c>
      <c r="Q14" s="164">
        <f>+Q$12*EEFFHist!$Y14</f>
        <v>0</v>
      </c>
      <c r="R14" s="164">
        <f>+R$12*EEFFHist!$Y14</f>
        <v>0</v>
      </c>
      <c r="S14" s="164">
        <f>+S$12*EEFFHist!$Y14</f>
        <v>0</v>
      </c>
      <c r="T14" s="164">
        <f>+T$12*EEFFHist!$Y14</f>
        <v>0</v>
      </c>
      <c r="U14" s="164">
        <f>+U$12*EEFFHist!$Y14</f>
        <v>0</v>
      </c>
      <c r="V14" s="331"/>
    </row>
    <row r="15" spans="2:32" ht="30" x14ac:dyDescent="0.25">
      <c r="B15" s="7" t="s">
        <v>407</v>
      </c>
      <c r="C15" s="14">
        <v>120500</v>
      </c>
      <c r="D15" s="19">
        <v>2388.3200000000002</v>
      </c>
      <c r="E15" s="19">
        <v>978.35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1107.8800000000001</v>
      </c>
      <c r="L15" s="19">
        <v>3213.52</v>
      </c>
      <c r="M15" s="19">
        <v>4350.4399999999996</v>
      </c>
      <c r="N15" s="164">
        <f>+N$12*EEFFHist!$Y15</f>
        <v>3041.8332043082637</v>
      </c>
      <c r="O15" s="164">
        <f>+O$12*EEFFHist!$Y15</f>
        <v>3273.3861336872324</v>
      </c>
      <c r="P15" s="164">
        <f>+P$12*EEFFHist!$Y15</f>
        <v>3595.6342872061959</v>
      </c>
      <c r="Q15" s="164">
        <f>+Q$12*EEFFHist!$Y15</f>
        <v>4159.1298638087046</v>
      </c>
      <c r="R15" s="164">
        <f>+R$12*EEFFHist!$Y15</f>
        <v>4819.1809939149753</v>
      </c>
      <c r="S15" s="164">
        <f>+S$12*EEFFHist!$Y15</f>
        <v>5571.6005405320575</v>
      </c>
      <c r="T15" s="164">
        <f>+T$12*EEFFHist!$Y15</f>
        <v>6419.6946974403772</v>
      </c>
      <c r="U15" s="164">
        <f>+U$12*EEFFHist!$Y15</f>
        <v>7346.9413112180464</v>
      </c>
      <c r="V15" s="331"/>
    </row>
    <row r="16" spans="2:32" ht="30" x14ac:dyDescent="0.25">
      <c r="B16" s="7" t="s">
        <v>408</v>
      </c>
      <c r="C16" s="14">
        <v>120600</v>
      </c>
      <c r="D16" s="19">
        <v>0</v>
      </c>
      <c r="E16" s="19">
        <v>145.91999999999999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64">
        <f>+N$12*EEFFHist!$Y16</f>
        <v>0</v>
      </c>
      <c r="O16" s="164">
        <f>+O$12*EEFFHist!$Y16</f>
        <v>0</v>
      </c>
      <c r="P16" s="164">
        <f>+P$12*EEFFHist!$Y16</f>
        <v>0</v>
      </c>
      <c r="Q16" s="164">
        <f>+Q$12*EEFFHist!$Y16</f>
        <v>0</v>
      </c>
      <c r="R16" s="164">
        <f>+R$12*EEFFHist!$Y16</f>
        <v>0</v>
      </c>
      <c r="S16" s="164">
        <f>+S$12*EEFFHist!$Y16</f>
        <v>0</v>
      </c>
      <c r="T16" s="164">
        <f>+T$12*EEFFHist!$Y16</f>
        <v>0</v>
      </c>
      <c r="U16" s="164">
        <f>+U$12*EEFFHist!$Y16</f>
        <v>0</v>
      </c>
      <c r="V16" s="331"/>
    </row>
    <row r="17" spans="2:22" x14ac:dyDescent="0.25">
      <c r="B17" s="7" t="s">
        <v>409</v>
      </c>
      <c r="C17" s="14">
        <v>120700</v>
      </c>
      <c r="D17" s="19">
        <v>218.35</v>
      </c>
      <c r="E17" s="19">
        <v>487.29</v>
      </c>
      <c r="F17" s="19">
        <v>0</v>
      </c>
      <c r="G17" s="19">
        <v>0</v>
      </c>
      <c r="H17" s="19">
        <v>0</v>
      </c>
      <c r="I17" s="19">
        <v>0</v>
      </c>
      <c r="J17" s="19">
        <v>7558.19</v>
      </c>
      <c r="K17" s="19">
        <v>10613.65</v>
      </c>
      <c r="L17" s="19">
        <v>7169.68</v>
      </c>
      <c r="M17" s="19">
        <v>12827.66</v>
      </c>
      <c r="N17" s="164">
        <f>+N$12*EEFFHist!$Y17</f>
        <v>10166.815396113027</v>
      </c>
      <c r="O17" s="164">
        <f>+O$12*EEFFHist!$Y17</f>
        <v>10940.742080880254</v>
      </c>
      <c r="P17" s="164">
        <f>+P$12*EEFFHist!$Y17</f>
        <v>12017.802283893798</v>
      </c>
      <c r="Q17" s="164">
        <f>+Q$12*EEFFHist!$Y17</f>
        <v>13901.191384824722</v>
      </c>
      <c r="R17" s="164">
        <f>+R$12*EEFFHist!$Y17</f>
        <v>16107.301168320322</v>
      </c>
      <c r="S17" s="164">
        <f>+S$12*EEFFHist!$Y17</f>
        <v>18622.136833881592</v>
      </c>
      <c r="T17" s="164">
        <f>+T$12*EEFFHist!$Y17</f>
        <v>21456.748777625497</v>
      </c>
      <c r="U17" s="164">
        <f>+U$12*EEFFHist!$Y17</f>
        <v>24555.914483225806</v>
      </c>
      <c r="V17" s="331"/>
    </row>
    <row r="18" spans="2:22" ht="30" x14ac:dyDescent="0.25">
      <c r="B18" s="7" t="s">
        <v>410</v>
      </c>
      <c r="C18" s="14">
        <v>120800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64">
        <f>+N$12*EEFFHist!$Y18</f>
        <v>0</v>
      </c>
      <c r="O18" s="164">
        <f>+O$12*EEFFHist!$Y18</f>
        <v>0</v>
      </c>
      <c r="P18" s="164">
        <f>+P$12*EEFFHist!$Y18</f>
        <v>0</v>
      </c>
      <c r="Q18" s="164">
        <f>+Q$12*EEFFHist!$Y18</f>
        <v>0</v>
      </c>
      <c r="R18" s="164">
        <f>+R$12*EEFFHist!$Y18</f>
        <v>0</v>
      </c>
      <c r="S18" s="164">
        <f>+S$12*EEFFHist!$Y18</f>
        <v>0</v>
      </c>
      <c r="T18" s="164">
        <f>+T$12*EEFFHist!$Y18</f>
        <v>0</v>
      </c>
      <c r="U18" s="164">
        <f>+U$12*EEFFHist!$Y18</f>
        <v>0</v>
      </c>
      <c r="V18" s="331"/>
    </row>
    <row r="19" spans="2:22" ht="30" x14ac:dyDescent="0.25">
      <c r="B19" s="7" t="s">
        <v>13</v>
      </c>
      <c r="C19" s="14">
        <v>120900</v>
      </c>
      <c r="D19" s="19">
        <v>98.28</v>
      </c>
      <c r="E19" s="19">
        <v>97.95</v>
      </c>
      <c r="F19" s="19">
        <v>97.76</v>
      </c>
      <c r="G19" s="19">
        <v>83.45</v>
      </c>
      <c r="H19" s="19">
        <v>51.19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64">
        <f>+N$12*EEFFHist!$Y19</f>
        <v>0</v>
      </c>
      <c r="O19" s="164">
        <f>+O$12*EEFFHist!$Y19</f>
        <v>0</v>
      </c>
      <c r="P19" s="164">
        <f>+P$12*EEFFHist!$Y19</f>
        <v>0</v>
      </c>
      <c r="Q19" s="164">
        <f>+Q$12*EEFFHist!$Y19</f>
        <v>0</v>
      </c>
      <c r="R19" s="164">
        <f>+R$12*EEFFHist!$Y19</f>
        <v>0</v>
      </c>
      <c r="S19" s="164">
        <f>+S$12*EEFFHist!$Y19</f>
        <v>0</v>
      </c>
      <c r="T19" s="164">
        <f>+T$12*EEFFHist!$Y19</f>
        <v>0</v>
      </c>
      <c r="U19" s="164">
        <f>+U$12*EEFFHist!$Y19</f>
        <v>0</v>
      </c>
      <c r="V19" s="331"/>
    </row>
    <row r="20" spans="2:22" ht="30" x14ac:dyDescent="0.25">
      <c r="B20" s="7" t="s">
        <v>14</v>
      </c>
      <c r="C20" s="14">
        <v>121000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64">
        <f>+N$12*EEFFHist!$Y20</f>
        <v>0</v>
      </c>
      <c r="O20" s="164">
        <f>+O$12*EEFFHist!$Y20</f>
        <v>0</v>
      </c>
      <c r="P20" s="164">
        <f>+P$12*EEFFHist!$Y20</f>
        <v>0</v>
      </c>
      <c r="Q20" s="164">
        <f>+Q$12*EEFFHist!$Y20</f>
        <v>0</v>
      </c>
      <c r="R20" s="164">
        <f>+R$12*EEFFHist!$Y20</f>
        <v>0</v>
      </c>
      <c r="S20" s="164">
        <f>+S$12*EEFFHist!$Y20</f>
        <v>0</v>
      </c>
      <c r="T20" s="164">
        <f>+T$12*EEFFHist!$Y20</f>
        <v>0</v>
      </c>
      <c r="U20" s="164">
        <f>+U$12*EEFFHist!$Y20</f>
        <v>0</v>
      </c>
      <c r="V20" s="331"/>
    </row>
    <row r="21" spans="2:22" ht="30" x14ac:dyDescent="0.25">
      <c r="B21" s="7" t="s">
        <v>15</v>
      </c>
      <c r="C21" s="14">
        <v>121100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505.57</v>
      </c>
      <c r="N21" s="164">
        <f>+N$12*EEFFHist!$Y21</f>
        <v>169.31701072106617</v>
      </c>
      <c r="O21" s="164">
        <f>+O$12*EEFFHist!$Y21</f>
        <v>182.20589949071481</v>
      </c>
      <c r="P21" s="164">
        <f>+P$12*EEFFHist!$Y21</f>
        <v>200.14314009514237</v>
      </c>
      <c r="Q21" s="164">
        <f>+Q$12*EEFFHist!$Y21</f>
        <v>231.50889231645036</v>
      </c>
      <c r="R21" s="164">
        <f>+R$12*EEFFHist!$Y21</f>
        <v>268.24919882450223</v>
      </c>
      <c r="S21" s="164">
        <f>+S$12*EEFFHist!$Y21</f>
        <v>310.13099177122484</v>
      </c>
      <c r="T21" s="164">
        <f>+T$12*EEFFHist!$Y21</f>
        <v>357.33830322220706</v>
      </c>
      <c r="U21" s="164">
        <f>+U$12*EEFFHist!$Y21</f>
        <v>408.95146354398366</v>
      </c>
      <c r="V21" s="331"/>
    </row>
    <row r="22" spans="2:22" ht="30" x14ac:dyDescent="0.25">
      <c r="B22" s="7" t="s">
        <v>16</v>
      </c>
      <c r="C22" s="14">
        <v>121200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64">
        <f>+N$12*EEFFHist!$Y22</f>
        <v>0</v>
      </c>
      <c r="O22" s="164">
        <f>+O$12*EEFFHist!$Y22</f>
        <v>0</v>
      </c>
      <c r="P22" s="164">
        <f>+P$12*EEFFHist!$Y22</f>
        <v>0</v>
      </c>
      <c r="Q22" s="164">
        <f>+Q$12*EEFFHist!$Y22</f>
        <v>0</v>
      </c>
      <c r="R22" s="164">
        <f>+R$12*EEFFHist!$Y22</f>
        <v>0</v>
      </c>
      <c r="S22" s="164">
        <f>+S$12*EEFFHist!$Y22</f>
        <v>0</v>
      </c>
      <c r="T22" s="164">
        <f>+T$12*EEFFHist!$Y22</f>
        <v>0</v>
      </c>
      <c r="U22" s="164">
        <f>+U$12*EEFFHist!$Y22</f>
        <v>0</v>
      </c>
      <c r="V22" s="331"/>
    </row>
    <row r="23" spans="2:22" ht="30" x14ac:dyDescent="0.25">
      <c r="B23" s="7" t="s">
        <v>411</v>
      </c>
      <c r="C23" s="14">
        <v>121400</v>
      </c>
      <c r="D23" s="19">
        <v>2186.94</v>
      </c>
      <c r="E23" s="19">
        <v>2805.66</v>
      </c>
      <c r="F23" s="19">
        <v>1278.48</v>
      </c>
      <c r="G23" s="19">
        <v>2407.4499999999998</v>
      </c>
      <c r="H23" s="19">
        <v>5161.22</v>
      </c>
      <c r="I23" s="19">
        <v>21739.05</v>
      </c>
      <c r="J23" s="19">
        <v>20583.98</v>
      </c>
      <c r="K23" s="19">
        <v>16742.5</v>
      </c>
      <c r="L23" s="19">
        <v>14603.7</v>
      </c>
      <c r="M23" s="19">
        <v>16396.28</v>
      </c>
      <c r="N23" s="164">
        <f>+N$12*EEFFHist!$Y23</f>
        <v>16050.889296727722</v>
      </c>
      <c r="O23" s="164">
        <f>+O$12*EEFFHist!$Y23</f>
        <v>17272.728295174722</v>
      </c>
      <c r="P23" s="164">
        <f>+P$12*EEFFHist!$Y23</f>
        <v>18973.140214829615</v>
      </c>
      <c r="Q23" s="164">
        <f>+Q$12*EEFFHist!$Y23</f>
        <v>21946.546220928965</v>
      </c>
      <c r="R23" s="164">
        <f>+R$12*EEFFHist!$Y23</f>
        <v>25429.448440718832</v>
      </c>
      <c r="S23" s="164">
        <f>+S$12*EEFFHist!$Y23</f>
        <v>29399.752542317743</v>
      </c>
      <c r="T23" s="164">
        <f>+T$12*EEFFHist!$Y23</f>
        <v>33874.904370648415</v>
      </c>
      <c r="U23" s="164">
        <f>+U$12*EEFFHist!$Y23</f>
        <v>38767.721217881015</v>
      </c>
      <c r="V23" s="331"/>
    </row>
    <row r="24" spans="2:22" ht="30" x14ac:dyDescent="0.25">
      <c r="B24" s="7" t="s">
        <v>412</v>
      </c>
      <c r="C24" s="14">
        <v>121500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64">
        <f>+N$12*EEFFHist!$Y24</f>
        <v>0</v>
      </c>
      <c r="O24" s="164">
        <f>+O$12*EEFFHist!$Y24</f>
        <v>0</v>
      </c>
      <c r="P24" s="164">
        <f>+P$12*EEFFHist!$Y24</f>
        <v>0</v>
      </c>
      <c r="Q24" s="164">
        <f>+Q$12*EEFFHist!$Y24</f>
        <v>0</v>
      </c>
      <c r="R24" s="164">
        <f>+R$12*EEFFHist!$Y24</f>
        <v>0</v>
      </c>
      <c r="S24" s="164">
        <f>+S$12*EEFFHist!$Y24</f>
        <v>0</v>
      </c>
      <c r="T24" s="164">
        <f>+T$12*EEFFHist!$Y24</f>
        <v>0</v>
      </c>
      <c r="U24" s="164">
        <f>+U$12*EEFFHist!$Y24</f>
        <v>0</v>
      </c>
      <c r="V24" s="331"/>
    </row>
    <row r="25" spans="2:22" ht="30" x14ac:dyDescent="0.25">
      <c r="B25" s="7" t="s">
        <v>413</v>
      </c>
      <c r="C25" s="14">
        <v>121600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64">
        <f>+N$12*EEFFHist!$Y25</f>
        <v>0</v>
      </c>
      <c r="O25" s="164">
        <f>+O$12*EEFFHist!$Y25</f>
        <v>0</v>
      </c>
      <c r="P25" s="164">
        <f>+P$12*EEFFHist!$Y25</f>
        <v>0</v>
      </c>
      <c r="Q25" s="164">
        <f>+Q$12*EEFFHist!$Y25</f>
        <v>0</v>
      </c>
      <c r="R25" s="164">
        <f>+R$12*EEFFHist!$Y25</f>
        <v>0</v>
      </c>
      <c r="S25" s="164">
        <f>+S$12*EEFFHist!$Y25</f>
        <v>0</v>
      </c>
      <c r="T25" s="164">
        <f>+T$12*EEFFHist!$Y25</f>
        <v>0</v>
      </c>
      <c r="U25" s="164">
        <f>+U$12*EEFFHist!$Y25</f>
        <v>0</v>
      </c>
      <c r="V25" s="331"/>
    </row>
    <row r="26" spans="2:22" ht="30" x14ac:dyDescent="0.25">
      <c r="B26" s="7" t="s">
        <v>414</v>
      </c>
      <c r="C26" s="14">
        <v>121700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64">
        <f>+N$12*EEFFHist!$Y26</f>
        <v>0</v>
      </c>
      <c r="O26" s="164">
        <f>+O$12*EEFFHist!$Y26</f>
        <v>0</v>
      </c>
      <c r="P26" s="164">
        <f>+P$12*EEFFHist!$Y26</f>
        <v>0</v>
      </c>
      <c r="Q26" s="164">
        <f>+Q$12*EEFFHist!$Y26</f>
        <v>0</v>
      </c>
      <c r="R26" s="164">
        <f>+R$12*EEFFHist!$Y26</f>
        <v>0</v>
      </c>
      <c r="S26" s="164">
        <f>+S$12*EEFFHist!$Y26</f>
        <v>0</v>
      </c>
      <c r="T26" s="164">
        <f>+T$12*EEFFHist!$Y26</f>
        <v>0</v>
      </c>
      <c r="U26" s="164">
        <f>+U$12*EEFFHist!$Y26</f>
        <v>0</v>
      </c>
      <c r="V26" s="331"/>
    </row>
    <row r="27" spans="2:22" ht="30" x14ac:dyDescent="0.25">
      <c r="B27" s="7" t="s">
        <v>415</v>
      </c>
      <c r="C27" s="14">
        <v>121800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64">
        <f>+N$12*EEFFHist!$Y27</f>
        <v>0</v>
      </c>
      <c r="O27" s="164">
        <f>+O$12*EEFFHist!$Y27</f>
        <v>0</v>
      </c>
      <c r="P27" s="164">
        <f>+P$12*EEFFHist!$Y27</f>
        <v>0</v>
      </c>
      <c r="Q27" s="164">
        <f>+Q$12*EEFFHist!$Y27</f>
        <v>0</v>
      </c>
      <c r="R27" s="164">
        <f>+R$12*EEFFHist!$Y27</f>
        <v>0</v>
      </c>
      <c r="S27" s="164">
        <f>+S$12*EEFFHist!$Y27</f>
        <v>0</v>
      </c>
      <c r="T27" s="164">
        <f>+T$12*EEFFHist!$Y27</f>
        <v>0</v>
      </c>
      <c r="U27" s="164">
        <f>+U$12*EEFFHist!$Y27</f>
        <v>0</v>
      </c>
      <c r="V27" s="331"/>
    </row>
    <row r="28" spans="2:22" x14ac:dyDescent="0.25">
      <c r="B28" s="7" t="s">
        <v>173</v>
      </c>
      <c r="C28" s="14">
        <v>122300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6996.66</v>
      </c>
      <c r="K28" s="19">
        <v>1001.19</v>
      </c>
      <c r="L28" s="19">
        <v>0</v>
      </c>
      <c r="M28" s="19">
        <v>0</v>
      </c>
      <c r="N28" s="164">
        <f>+N$12*EEFFHist!$Y28</f>
        <v>287.10850206934009</v>
      </c>
      <c r="O28" s="164">
        <f>+O$12*EEFFHist!$Y28</f>
        <v>308.9640116382422</v>
      </c>
      <c r="P28" s="164">
        <f>+P$12*EEFFHist!$Y28</f>
        <v>339.37994125607941</v>
      </c>
      <c r="Q28" s="164">
        <f>+Q$12*EEFFHist!$Y28</f>
        <v>392.56641140569315</v>
      </c>
      <c r="R28" s="164">
        <f>+R$12*EEFFHist!$Y28</f>
        <v>454.86643856878072</v>
      </c>
      <c r="S28" s="164">
        <f>+S$12*EEFFHist!$Y28</f>
        <v>525.88481283432452</v>
      </c>
      <c r="T28" s="164">
        <f>+T$12*EEFFHist!$Y28</f>
        <v>605.93359481843731</v>
      </c>
      <c r="U28" s="164">
        <f>+U$12*EEFFHist!$Y28</f>
        <v>693.45331350436538</v>
      </c>
      <c r="V28" s="331"/>
    </row>
    <row r="29" spans="2:22" ht="30" x14ac:dyDescent="0.25">
      <c r="B29" s="7" t="s">
        <v>416</v>
      </c>
      <c r="C29" s="14">
        <v>122500</v>
      </c>
      <c r="D29" s="19">
        <v>2443.73</v>
      </c>
      <c r="E29" s="19">
        <v>0</v>
      </c>
      <c r="F29" s="19">
        <v>1589.56</v>
      </c>
      <c r="G29" s="19">
        <v>174.65</v>
      </c>
      <c r="H29" s="19">
        <v>4436.75</v>
      </c>
      <c r="I29" s="19">
        <v>6322.75</v>
      </c>
      <c r="J29" s="19">
        <v>351.49</v>
      </c>
      <c r="K29" s="19">
        <v>0</v>
      </c>
      <c r="L29" s="19">
        <v>0</v>
      </c>
      <c r="M29" s="19">
        <v>0</v>
      </c>
      <c r="N29" s="164">
        <f>+N$12*EEFFHist!$Y29</f>
        <v>0</v>
      </c>
      <c r="O29" s="164">
        <f>+O$12*EEFFHist!$Y29</f>
        <v>0</v>
      </c>
      <c r="P29" s="164">
        <f>+P$12*EEFFHist!$Y29</f>
        <v>0</v>
      </c>
      <c r="Q29" s="164">
        <f>+Q$12*EEFFHist!$Y29</f>
        <v>0</v>
      </c>
      <c r="R29" s="164">
        <f>+R$12*EEFFHist!$Y29</f>
        <v>0</v>
      </c>
      <c r="S29" s="164">
        <f>+S$12*EEFFHist!$Y29</f>
        <v>0</v>
      </c>
      <c r="T29" s="164">
        <f>+T$12*EEFFHist!$Y29</f>
        <v>0</v>
      </c>
      <c r="U29" s="164">
        <f>+U$12*EEFFHist!$Y29</f>
        <v>0</v>
      </c>
      <c r="V29" s="331"/>
    </row>
    <row r="30" spans="2:22" x14ac:dyDescent="0.25">
      <c r="B30" s="7" t="s">
        <v>24</v>
      </c>
      <c r="C30" s="14">
        <v>127900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64">
        <f>+N$12*EEFFHist!$Y30</f>
        <v>0</v>
      </c>
      <c r="O30" s="164">
        <f>+O$12*EEFFHist!$Y30</f>
        <v>0</v>
      </c>
      <c r="P30" s="164">
        <f>+P$12*EEFFHist!$Y30</f>
        <v>0</v>
      </c>
      <c r="Q30" s="164">
        <f>+Q$12*EEFFHist!$Y30</f>
        <v>0</v>
      </c>
      <c r="R30" s="164">
        <f>+R$12*EEFFHist!$Y30</f>
        <v>0</v>
      </c>
      <c r="S30" s="164">
        <f>+S$12*EEFFHist!$Y30</f>
        <v>0</v>
      </c>
      <c r="T30" s="164">
        <f>+T$12*EEFFHist!$Y30</f>
        <v>0</v>
      </c>
      <c r="U30" s="164">
        <f>+U$12*EEFFHist!$Y30</f>
        <v>0</v>
      </c>
      <c r="V30" s="331"/>
    </row>
    <row r="31" spans="2:22" x14ac:dyDescent="0.25">
      <c r="B31" s="7" t="s">
        <v>25</v>
      </c>
      <c r="C31" s="14">
        <v>128100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64">
        <f>+N$12*EEFFHist!$Y31</f>
        <v>0</v>
      </c>
      <c r="O31" s="164">
        <f>+O$12*EEFFHist!$Y31</f>
        <v>0</v>
      </c>
      <c r="P31" s="164">
        <f>+P$12*EEFFHist!$Y31</f>
        <v>0</v>
      </c>
      <c r="Q31" s="164">
        <f>+Q$12*EEFFHist!$Y31</f>
        <v>0</v>
      </c>
      <c r="R31" s="164">
        <f>+R$12*EEFFHist!$Y31</f>
        <v>0</v>
      </c>
      <c r="S31" s="164">
        <f>+S$12*EEFFHist!$Y31</f>
        <v>0</v>
      </c>
      <c r="T31" s="164">
        <f>+T$12*EEFFHist!$Y31</f>
        <v>0</v>
      </c>
      <c r="U31" s="164">
        <f>+U$12*EEFFHist!$Y31</f>
        <v>0</v>
      </c>
      <c r="V31" s="331"/>
    </row>
    <row r="32" spans="2:22" x14ac:dyDescent="0.25">
      <c r="B32" s="7" t="s">
        <v>26</v>
      </c>
      <c r="C32" s="14">
        <v>128300</v>
      </c>
      <c r="D32" s="19">
        <v>0</v>
      </c>
      <c r="E32" s="19">
        <v>537.22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64">
        <f>+N$12*EEFFHist!$Y32</f>
        <v>0</v>
      </c>
      <c r="O32" s="164">
        <f>+O$12*EEFFHist!$Y32</f>
        <v>0</v>
      </c>
      <c r="P32" s="164">
        <f>+P$12*EEFFHist!$Y32</f>
        <v>0</v>
      </c>
      <c r="Q32" s="164">
        <f>+Q$12*EEFFHist!$Y32</f>
        <v>0</v>
      </c>
      <c r="R32" s="164">
        <f>+R$12*EEFFHist!$Y32</f>
        <v>0</v>
      </c>
      <c r="S32" s="164">
        <f>+S$12*EEFFHist!$Y32</f>
        <v>0</v>
      </c>
      <c r="T32" s="164">
        <f>+T$12*EEFFHist!$Y32</f>
        <v>0</v>
      </c>
      <c r="U32" s="164">
        <f>+U$12*EEFFHist!$Y32</f>
        <v>0</v>
      </c>
      <c r="V32" s="331"/>
    </row>
    <row r="33" spans="2:22" x14ac:dyDescent="0.25">
      <c r="B33" s="7" t="s">
        <v>27</v>
      </c>
      <c r="C33" s="14">
        <v>128900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64">
        <f>+N$12*EEFFHist!$Y33</f>
        <v>0</v>
      </c>
      <c r="O33" s="164">
        <f>+O$12*EEFFHist!$Y33</f>
        <v>0</v>
      </c>
      <c r="P33" s="164">
        <f>+P$12*EEFFHist!$Y33</f>
        <v>0</v>
      </c>
      <c r="Q33" s="164">
        <f>+Q$12*EEFFHist!$Y33</f>
        <v>0</v>
      </c>
      <c r="R33" s="164">
        <f>+R$12*EEFFHist!$Y33</f>
        <v>0</v>
      </c>
      <c r="S33" s="164">
        <f>+S$12*EEFFHist!$Y33</f>
        <v>0</v>
      </c>
      <c r="T33" s="164">
        <f>+T$12*EEFFHist!$Y33</f>
        <v>0</v>
      </c>
      <c r="U33" s="164">
        <f>+U$12*EEFFHist!$Y33</f>
        <v>0</v>
      </c>
      <c r="V33" s="331"/>
    </row>
    <row r="34" spans="2:22" x14ac:dyDescent="0.25">
      <c r="B34" s="7" t="s">
        <v>417</v>
      </c>
      <c r="C34" s="14">
        <v>129500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64">
        <f>+N$12*EEFFHist!$Y34</f>
        <v>0</v>
      </c>
      <c r="O34" s="164">
        <f>+O$12*EEFFHist!$Y34</f>
        <v>0</v>
      </c>
      <c r="P34" s="164">
        <f>+P$12*EEFFHist!$Y34</f>
        <v>0</v>
      </c>
      <c r="Q34" s="164">
        <f>+Q$12*EEFFHist!$Y34</f>
        <v>0</v>
      </c>
      <c r="R34" s="164">
        <f>+R$12*EEFFHist!$Y34</f>
        <v>0</v>
      </c>
      <c r="S34" s="164">
        <f>+S$12*EEFFHist!$Y34</f>
        <v>0</v>
      </c>
      <c r="T34" s="164">
        <f>+T$12*EEFFHist!$Y34</f>
        <v>0</v>
      </c>
      <c r="U34" s="164">
        <f>+U$12*EEFFHist!$Y34</f>
        <v>0</v>
      </c>
      <c r="V34" s="331"/>
    </row>
    <row r="35" spans="2:22" x14ac:dyDescent="0.25">
      <c r="B35" s="7" t="s">
        <v>418</v>
      </c>
      <c r="C35" s="14">
        <v>129600</v>
      </c>
      <c r="D35" s="19">
        <v>0</v>
      </c>
      <c r="E35" s="19">
        <v>0</v>
      </c>
      <c r="F35" s="19">
        <v>0</v>
      </c>
      <c r="G35" s="19">
        <v>-538.85</v>
      </c>
      <c r="H35" s="19">
        <v>-532.52</v>
      </c>
      <c r="I35" s="19">
        <v>-1043.8599999999999</v>
      </c>
      <c r="J35" s="19">
        <v>-567.44000000000005</v>
      </c>
      <c r="K35" s="19">
        <v>-506.31</v>
      </c>
      <c r="L35" s="19">
        <v>-216.13</v>
      </c>
      <c r="M35" s="19">
        <v>-287.06</v>
      </c>
      <c r="N35" s="164">
        <f>+N$12*EEFFHist!$Y35</f>
        <v>-326.55468693068121</v>
      </c>
      <c r="O35" s="164">
        <f>+O$12*EEFFHist!$Y35</f>
        <v>-351.41295143188245</v>
      </c>
      <c r="P35" s="164">
        <f>+P$12*EEFFHist!$Y35</f>
        <v>-386.00776246140623</v>
      </c>
      <c r="Q35" s="164">
        <f>+Q$12*EEFFHist!$Y35</f>
        <v>-446.50158616733222</v>
      </c>
      <c r="R35" s="164">
        <f>+R$12*EEFFHist!$Y35</f>
        <v>-517.36108952366817</v>
      </c>
      <c r="S35" s="164">
        <f>+S$12*EEFFHist!$Y35</f>
        <v>-598.13676425102119</v>
      </c>
      <c r="T35" s="164">
        <f>+T$12*EEFFHist!$Y35</f>
        <v>-689.18354535153753</v>
      </c>
      <c r="U35" s="164">
        <f>+U$12*EEFFHist!$Y35</f>
        <v>-788.72770419655183</v>
      </c>
      <c r="V35" s="331"/>
    </row>
    <row r="36" spans="2:22" x14ac:dyDescent="0.25">
      <c r="B36" s="7" t="s">
        <v>419</v>
      </c>
      <c r="C36" s="14">
        <v>129700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64">
        <f>+N$12*EEFFHist!$Y36</f>
        <v>0</v>
      </c>
      <c r="O36" s="164">
        <f>+O$12*EEFFHist!$Y36</f>
        <v>0</v>
      </c>
      <c r="P36" s="164">
        <f>+P$12*EEFFHist!$Y36</f>
        <v>0</v>
      </c>
      <c r="Q36" s="164">
        <f>+Q$12*EEFFHist!$Y36</f>
        <v>0</v>
      </c>
      <c r="R36" s="164">
        <f>+R$12*EEFFHist!$Y36</f>
        <v>0</v>
      </c>
      <c r="S36" s="164">
        <f>+S$12*EEFFHist!$Y36</f>
        <v>0</v>
      </c>
      <c r="T36" s="164">
        <f>+T$12*EEFFHist!$Y36</f>
        <v>0</v>
      </c>
      <c r="U36" s="164">
        <f>+U$12*EEFFHist!$Y36</f>
        <v>0</v>
      </c>
      <c r="V36" s="331"/>
    </row>
    <row r="37" spans="2:22" ht="30" x14ac:dyDescent="0.25">
      <c r="B37" s="7" t="s">
        <v>420</v>
      </c>
      <c r="C37" s="14">
        <v>129800</v>
      </c>
      <c r="D37" s="19">
        <v>-20</v>
      </c>
      <c r="E37" s="19">
        <v>-20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64">
        <f>+N$12*EEFFHist!$Y37</f>
        <v>0</v>
      </c>
      <c r="O37" s="164">
        <f>+O$12*EEFFHist!$Y37</f>
        <v>0</v>
      </c>
      <c r="P37" s="164">
        <f>+P$12*EEFFHist!$Y37</f>
        <v>0</v>
      </c>
      <c r="Q37" s="164">
        <f>+Q$12*EEFFHist!$Y37</f>
        <v>0</v>
      </c>
      <c r="R37" s="164">
        <f>+R$12*EEFFHist!$Y37</f>
        <v>0</v>
      </c>
      <c r="S37" s="164">
        <f>+S$12*EEFFHist!$Y37</f>
        <v>0</v>
      </c>
      <c r="T37" s="164">
        <f>+T$12*EEFFHist!$Y37</f>
        <v>0</v>
      </c>
      <c r="U37" s="164">
        <f>+U$12*EEFFHist!$Y37</f>
        <v>0</v>
      </c>
      <c r="V37" s="331"/>
    </row>
    <row r="38" spans="2:22" ht="30" x14ac:dyDescent="0.25">
      <c r="B38" s="7" t="s">
        <v>421</v>
      </c>
      <c r="C38" s="14">
        <v>129900</v>
      </c>
      <c r="D38" s="19">
        <v>0</v>
      </c>
      <c r="E38" s="19">
        <v>-27.19</v>
      </c>
      <c r="F38" s="19">
        <v>-47.21</v>
      </c>
      <c r="G38" s="19">
        <v>-20</v>
      </c>
      <c r="H38" s="19">
        <v>-20</v>
      </c>
      <c r="I38" s="19">
        <v>-20</v>
      </c>
      <c r="J38" s="19">
        <v>-20</v>
      </c>
      <c r="K38" s="19">
        <v>-20</v>
      </c>
      <c r="L38" s="19">
        <v>-20</v>
      </c>
      <c r="M38" s="19">
        <v>-20</v>
      </c>
      <c r="N38" s="164">
        <f>+N$12*EEFFHist!$Y38</f>
        <v>-20.319796663288848</v>
      </c>
      <c r="O38" s="164">
        <f>+O$12*EEFFHist!$Y38</f>
        <v>-21.866596939880445</v>
      </c>
      <c r="P38" s="164">
        <f>+P$12*EEFFHist!$Y38</f>
        <v>-24.019251774915919</v>
      </c>
      <c r="Q38" s="164">
        <f>+Q$12*EEFFHist!$Y38</f>
        <v>-27.783467222695386</v>
      </c>
      <c r="R38" s="164">
        <f>+R$12*EEFFHist!$Y38</f>
        <v>-32.192684905025025</v>
      </c>
      <c r="S38" s="164">
        <f>+S$12*EEFFHist!$Y38</f>
        <v>-37.21893426382902</v>
      </c>
      <c r="T38" s="164">
        <f>+T$12*EEFFHist!$Y38</f>
        <v>-42.884301054911631</v>
      </c>
      <c r="U38" s="164">
        <f>+U$12*EEFFHist!$Y38</f>
        <v>-49.078415387676316</v>
      </c>
      <c r="V38" s="331"/>
    </row>
    <row r="39" spans="2:22" x14ac:dyDescent="0.25">
      <c r="B39" s="6" t="s">
        <v>33</v>
      </c>
      <c r="C39" s="13">
        <v>130000</v>
      </c>
      <c r="D39" s="17">
        <f t="shared" ref="D39:L39" si="5">+SUM(D40:D54)</f>
        <v>7460.2000000000007</v>
      </c>
      <c r="E39" s="17">
        <f t="shared" si="5"/>
        <v>7263.9900000000016</v>
      </c>
      <c r="F39" s="17">
        <f t="shared" si="5"/>
        <v>14786.2</v>
      </c>
      <c r="G39" s="17">
        <f t="shared" si="5"/>
        <v>8285.33</v>
      </c>
      <c r="H39" s="17">
        <f t="shared" si="5"/>
        <v>7146.6399999999994</v>
      </c>
      <c r="I39" s="17">
        <f t="shared" si="5"/>
        <v>5848.81</v>
      </c>
      <c r="J39" s="17">
        <f t="shared" si="5"/>
        <v>3685.1799999999994</v>
      </c>
      <c r="K39" s="17">
        <f t="shared" si="5"/>
        <v>4206.5600000000004</v>
      </c>
      <c r="L39" s="17">
        <f t="shared" si="5"/>
        <v>7191.85</v>
      </c>
      <c r="M39" s="17">
        <f>+SUM(M40:M54)</f>
        <v>4507.3200000000015</v>
      </c>
      <c r="N39" s="172">
        <f>+N$6*EEFFHist!Y$39</f>
        <v>5454.1595786485295</v>
      </c>
      <c r="O39" s="172">
        <f>+O$6*EEFFHist!$Y39</f>
        <v>5869.3456006656797</v>
      </c>
      <c r="P39" s="172">
        <f>+P$6*EEFFHist!$Y39</f>
        <v>6447.1527107754355</v>
      </c>
      <c r="Q39" s="172">
        <f>+Q$6*EEFFHist!$Y39</f>
        <v>7457.5285565975164</v>
      </c>
      <c r="R39" s="172">
        <f>+R$6*EEFFHist!$Y39</f>
        <v>8641.0333551407275</v>
      </c>
      <c r="S39" s="172">
        <f>+S$6*EEFFHist!$Y39</f>
        <v>9990.1593596604871</v>
      </c>
      <c r="T39" s="172">
        <f>+T$6*EEFFHist!$Y39</f>
        <v>11510.834741514394</v>
      </c>
      <c r="U39" s="172">
        <f>+U$6*EEFFHist!$Y39</f>
        <v>13173.434450512892</v>
      </c>
      <c r="V39" s="300"/>
    </row>
    <row r="40" spans="2:22" x14ac:dyDescent="0.25">
      <c r="B40" s="7" t="s">
        <v>34</v>
      </c>
      <c r="C40" s="14">
        <v>130500</v>
      </c>
      <c r="D40" s="19">
        <v>212.52</v>
      </c>
      <c r="E40" s="19">
        <v>448.32</v>
      </c>
      <c r="F40" s="19">
        <v>445.39</v>
      </c>
      <c r="G40" s="19">
        <v>354.88</v>
      </c>
      <c r="H40" s="19">
        <v>370.69</v>
      </c>
      <c r="I40" s="19">
        <v>103.7</v>
      </c>
      <c r="J40" s="19">
        <v>198.39</v>
      </c>
      <c r="K40" s="19">
        <v>88.12</v>
      </c>
      <c r="L40" s="19">
        <v>157.25</v>
      </c>
      <c r="M40" s="19">
        <v>274.58999999999997</v>
      </c>
      <c r="N40" s="164">
        <f>+N$39*EEFFHist!$Y40</f>
        <v>188.59422627066357</v>
      </c>
      <c r="O40" s="164">
        <f>+O$39*EEFFHist!$Y40</f>
        <v>202.95055109974408</v>
      </c>
      <c r="P40" s="164">
        <f>+P$39*EEFFHist!$Y40</f>
        <v>222.92999674915777</v>
      </c>
      <c r="Q40" s="164">
        <f>+Q$39*EEFFHist!$Y40</f>
        <v>257.86682764632025</v>
      </c>
      <c r="R40" s="164">
        <f>+R$39*EEFFHist!$Y40</f>
        <v>298.79012087790204</v>
      </c>
      <c r="S40" s="164">
        <f>+S$39*EEFFHist!$Y40</f>
        <v>345.44027316902407</v>
      </c>
      <c r="T40" s="164">
        <f>+T$39*EEFFHist!$Y40</f>
        <v>398.02226915100567</v>
      </c>
      <c r="U40" s="164">
        <f>+U$39*EEFFHist!$Y40</f>
        <v>455.5117322286697</v>
      </c>
      <c r="V40" s="331"/>
    </row>
    <row r="41" spans="2:22" x14ac:dyDescent="0.25">
      <c r="B41" s="7" t="s">
        <v>35</v>
      </c>
      <c r="C41" s="14">
        <v>131100</v>
      </c>
      <c r="D41" s="19">
        <v>3438.69</v>
      </c>
      <c r="E41" s="19">
        <v>3193.63</v>
      </c>
      <c r="F41" s="19">
        <v>2555.4699999999998</v>
      </c>
      <c r="G41" s="19">
        <v>2590.15</v>
      </c>
      <c r="H41" s="19">
        <v>3312.42</v>
      </c>
      <c r="I41" s="19">
        <v>3386.13</v>
      </c>
      <c r="J41" s="19">
        <v>3155.76</v>
      </c>
      <c r="K41" s="19">
        <v>2809.72</v>
      </c>
      <c r="L41" s="19">
        <v>3087.63</v>
      </c>
      <c r="M41" s="19">
        <v>4537.5200000000004</v>
      </c>
      <c r="N41" s="164">
        <f>+N$39*EEFFHist!$Y41</f>
        <v>3825.1137041155748</v>
      </c>
      <c r="O41" s="164">
        <f>+O$39*EEFFHist!$Y41</f>
        <v>4116.2921560244849</v>
      </c>
      <c r="P41" s="164">
        <f>+P$39*EEFFHist!$Y41</f>
        <v>4521.5201042254248</v>
      </c>
      <c r="Q41" s="164">
        <f>+Q$39*EEFFHist!$Y41</f>
        <v>5230.1173570984429</v>
      </c>
      <c r="R41" s="164">
        <f>+R$39*EEFFHist!$Y41</f>
        <v>6060.1334867174301</v>
      </c>
      <c r="S41" s="164">
        <f>+S$39*EEFFHist!$Y41</f>
        <v>7006.3031566825948</v>
      </c>
      <c r="T41" s="164">
        <f>+T$39*EEFFHist!$Y41</f>
        <v>8072.7839148568701</v>
      </c>
      <c r="U41" s="164">
        <f>+U$39*EEFFHist!$Y41</f>
        <v>9238.799107416482</v>
      </c>
      <c r="V41" s="331"/>
    </row>
    <row r="42" spans="2:22" ht="30" x14ac:dyDescent="0.25">
      <c r="B42" s="7" t="s">
        <v>422</v>
      </c>
      <c r="C42" s="14">
        <v>131200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64">
        <f>+N$39*EEFFHist!$Y42</f>
        <v>0</v>
      </c>
      <c r="O42" s="164">
        <f>+O$39*EEFFHist!$Y42</f>
        <v>0</v>
      </c>
      <c r="P42" s="164">
        <f>+P$39*EEFFHist!$Y42</f>
        <v>0</v>
      </c>
      <c r="Q42" s="164">
        <f>+Q$39*EEFFHist!$Y42</f>
        <v>0</v>
      </c>
      <c r="R42" s="164">
        <f>+R$39*EEFFHist!$Y42</f>
        <v>0</v>
      </c>
      <c r="S42" s="164">
        <f>+S$39*EEFFHist!$Y42</f>
        <v>0</v>
      </c>
      <c r="T42" s="164">
        <f>+T$39*EEFFHist!$Y42</f>
        <v>0</v>
      </c>
      <c r="U42" s="164">
        <f>+U$39*EEFFHist!$Y42</f>
        <v>0</v>
      </c>
      <c r="V42" s="331"/>
    </row>
    <row r="43" spans="2:22" x14ac:dyDescent="0.25">
      <c r="B43" s="7" t="s">
        <v>423</v>
      </c>
      <c r="C43" s="14">
        <v>131400</v>
      </c>
      <c r="D43" s="19">
        <v>8.35</v>
      </c>
      <c r="E43" s="19">
        <v>19.579999999999998</v>
      </c>
      <c r="F43" s="19">
        <v>370.62</v>
      </c>
      <c r="G43" s="19">
        <v>6.96</v>
      </c>
      <c r="H43" s="19">
        <v>725.13</v>
      </c>
      <c r="I43" s="19">
        <v>1560.75</v>
      </c>
      <c r="J43" s="19">
        <v>94.07</v>
      </c>
      <c r="K43" s="19">
        <v>734.16</v>
      </c>
      <c r="L43" s="19">
        <v>431.39</v>
      </c>
      <c r="M43" s="19">
        <v>0</v>
      </c>
      <c r="N43" s="164">
        <f>+N$39*EEFFHist!$Y43</f>
        <v>426.35270912517586</v>
      </c>
      <c r="O43" s="164">
        <f>+O$39*EEFFHist!$Y43</f>
        <v>458.80788076534617</v>
      </c>
      <c r="P43" s="164">
        <f>+P$39*EEFFHist!$Y43</f>
        <v>503.97517431346154</v>
      </c>
      <c r="Q43" s="164">
        <f>+Q$39*EEFFHist!$Y43</f>
        <v>582.9564495932043</v>
      </c>
      <c r="R43" s="164">
        <f>+R$39*EEFFHist!$Y43</f>
        <v>675.47124859117832</v>
      </c>
      <c r="S43" s="164">
        <f>+S$39*EEFFHist!$Y43</f>
        <v>780.93268929232329</v>
      </c>
      <c r="T43" s="164">
        <f>+T$39*EEFFHist!$Y43</f>
        <v>899.80417799820123</v>
      </c>
      <c r="U43" s="164">
        <f>+U$39*EEFFHist!$Y43</f>
        <v>1029.7699188058589</v>
      </c>
      <c r="V43" s="331"/>
    </row>
    <row r="44" spans="2:22" ht="30" x14ac:dyDescent="0.25">
      <c r="B44" s="7" t="s">
        <v>424</v>
      </c>
      <c r="C44" s="14">
        <v>132200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64">
        <f>+N$39*EEFFHist!$Y44</f>
        <v>0</v>
      </c>
      <c r="O44" s="164">
        <f>+O$39*EEFFHist!$Y44</f>
        <v>0</v>
      </c>
      <c r="P44" s="164">
        <f>+P$39*EEFFHist!$Y44</f>
        <v>0</v>
      </c>
      <c r="Q44" s="164">
        <f>+Q$39*EEFFHist!$Y44</f>
        <v>0</v>
      </c>
      <c r="R44" s="164">
        <f>+R$39*EEFFHist!$Y44</f>
        <v>0</v>
      </c>
      <c r="S44" s="164">
        <f>+S$39*EEFFHist!$Y44</f>
        <v>0</v>
      </c>
      <c r="T44" s="164">
        <f>+T$39*EEFFHist!$Y44</f>
        <v>0</v>
      </c>
      <c r="U44" s="164">
        <f>+U$39*EEFFHist!$Y44</f>
        <v>0</v>
      </c>
      <c r="V44" s="331"/>
    </row>
    <row r="45" spans="2:22" x14ac:dyDescent="0.25">
      <c r="B45" s="7" t="s">
        <v>39</v>
      </c>
      <c r="C45" s="14">
        <v>132500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64">
        <f>+N$39*EEFFHist!$Y45</f>
        <v>0</v>
      </c>
      <c r="O45" s="164">
        <f>+O$39*EEFFHist!$Y45</f>
        <v>0</v>
      </c>
      <c r="P45" s="164">
        <f>+P$39*EEFFHist!$Y45</f>
        <v>0</v>
      </c>
      <c r="Q45" s="164">
        <f>+Q$39*EEFFHist!$Y45</f>
        <v>0</v>
      </c>
      <c r="R45" s="164">
        <f>+R$39*EEFFHist!$Y45</f>
        <v>0</v>
      </c>
      <c r="S45" s="164">
        <f>+S$39*EEFFHist!$Y45</f>
        <v>0</v>
      </c>
      <c r="T45" s="164">
        <f>+T$39*EEFFHist!$Y45</f>
        <v>0</v>
      </c>
      <c r="U45" s="164">
        <f>+U$39*EEFFHist!$Y45</f>
        <v>0</v>
      </c>
      <c r="V45" s="331"/>
    </row>
    <row r="46" spans="2:22" x14ac:dyDescent="0.25">
      <c r="B46" s="7" t="s">
        <v>40</v>
      </c>
      <c r="C46" s="14">
        <v>133000</v>
      </c>
      <c r="D46" s="19">
        <v>159.69</v>
      </c>
      <c r="E46" s="19">
        <v>98.01</v>
      </c>
      <c r="F46" s="19">
        <v>38.700000000000003</v>
      </c>
      <c r="G46" s="19">
        <v>2.8</v>
      </c>
      <c r="H46" s="19">
        <v>29.5</v>
      </c>
      <c r="I46" s="19">
        <v>570.88</v>
      </c>
      <c r="J46" s="19">
        <v>32.28</v>
      </c>
      <c r="K46" s="19">
        <v>0</v>
      </c>
      <c r="L46" s="19">
        <v>50.94</v>
      </c>
      <c r="M46" s="19">
        <v>9.92</v>
      </c>
      <c r="N46" s="164">
        <f>+N$39*EEFFHist!$Y46</f>
        <v>16.878591229063261</v>
      </c>
      <c r="O46" s="164">
        <f>+O$39*EEFFHist!$Y46</f>
        <v>18.16343723486802</v>
      </c>
      <c r="P46" s="164">
        <f>+P$39*EEFFHist!$Y46</f>
        <v>19.951534902374384</v>
      </c>
      <c r="Q46" s="164">
        <f>+Q$39*EEFFHist!$Y46</f>
        <v>23.078271596348348</v>
      </c>
      <c r="R46" s="164">
        <f>+R$39*EEFFHist!$Y46</f>
        <v>26.740777876957669</v>
      </c>
      <c r="S46" s="164">
        <f>+S$39*EEFFHist!$Y46</f>
        <v>30.915820066029596</v>
      </c>
      <c r="T46" s="164">
        <f>+T$39*EEFFHist!$Y46</f>
        <v>35.621743644593408</v>
      </c>
      <c r="U46" s="164">
        <f>+U$39*EEFFHist!$Y46</f>
        <v>40.766870123034046</v>
      </c>
      <c r="V46" s="331"/>
    </row>
    <row r="47" spans="2:22" x14ac:dyDescent="0.25">
      <c r="B47" s="7" t="s">
        <v>425</v>
      </c>
      <c r="C47" s="14">
        <v>133500</v>
      </c>
      <c r="D47" s="19">
        <v>0</v>
      </c>
      <c r="E47" s="19">
        <v>0</v>
      </c>
      <c r="F47" s="19">
        <v>0</v>
      </c>
      <c r="G47" s="19">
        <v>10.5</v>
      </c>
      <c r="H47" s="19">
        <v>0.5</v>
      </c>
      <c r="I47" s="19">
        <v>0.5</v>
      </c>
      <c r="J47" s="19">
        <v>0.5</v>
      </c>
      <c r="K47" s="19">
        <v>0.5</v>
      </c>
      <c r="L47" s="19">
        <v>2700.93</v>
      </c>
      <c r="M47" s="19">
        <v>6.14</v>
      </c>
      <c r="N47" s="164">
        <f>+N$39*EEFFHist!$Y47</f>
        <v>685.4703469144979</v>
      </c>
      <c r="O47" s="164">
        <f>+O$39*EEFFHist!$Y47</f>
        <v>737.65028452766649</v>
      </c>
      <c r="P47" s="164">
        <f>+P$39*EEFFHist!$Y47</f>
        <v>810.26818917554237</v>
      </c>
      <c r="Q47" s="164">
        <f>+Q$39*EEFFHist!$Y47</f>
        <v>937.25066403032179</v>
      </c>
      <c r="R47" s="164">
        <f>+R$39*EEFFHist!$Y47</f>
        <v>1085.991718107329</v>
      </c>
      <c r="S47" s="164">
        <f>+S$39*EEFFHist!$Y47</f>
        <v>1255.5477893982757</v>
      </c>
      <c r="T47" s="164">
        <f>+T$39*EEFFHist!$Y47</f>
        <v>1446.663921317911</v>
      </c>
      <c r="U47" s="164">
        <f>+U$39*EEFFHist!$Y47</f>
        <v>1655.6168833413537</v>
      </c>
      <c r="V47" s="331"/>
    </row>
    <row r="48" spans="2:22" x14ac:dyDescent="0.25">
      <c r="B48" s="7" t="s">
        <v>41</v>
      </c>
      <c r="C48" s="14">
        <v>134000</v>
      </c>
      <c r="D48" s="19">
        <v>4.82</v>
      </c>
      <c r="E48" s="19">
        <v>1.55</v>
      </c>
      <c r="F48" s="19">
        <v>3.45</v>
      </c>
      <c r="G48" s="19">
        <v>7.59</v>
      </c>
      <c r="H48" s="19">
        <v>16.64</v>
      </c>
      <c r="I48" s="19">
        <v>14.47</v>
      </c>
      <c r="J48" s="19">
        <v>4.87</v>
      </c>
      <c r="K48" s="19">
        <v>9.99</v>
      </c>
      <c r="L48" s="19">
        <v>20.18</v>
      </c>
      <c r="M48" s="19">
        <v>38.869999999999997</v>
      </c>
      <c r="N48" s="164">
        <f>+N$39*EEFFHist!$Y48</f>
        <v>25.097435098696014</v>
      </c>
      <c r="O48" s="164">
        <f>+O$39*EEFFHist!$Y48</f>
        <v>27.007922698335182</v>
      </c>
      <c r="P48" s="164">
        <f>+P$39*EEFFHist!$Y48</f>
        <v>29.666714806713131</v>
      </c>
      <c r="Q48" s="164">
        <f>+Q$39*EEFFHist!$Y48</f>
        <v>34.315981453600109</v>
      </c>
      <c r="R48" s="164">
        <f>+R$39*EEFFHist!$Y48</f>
        <v>39.761904779113365</v>
      </c>
      <c r="S48" s="164">
        <f>+S$39*EEFFHist!$Y48</f>
        <v>45.969937721704255</v>
      </c>
      <c r="T48" s="164">
        <f>+T$39*EEFFHist!$Y48</f>
        <v>52.96735889208373</v>
      </c>
      <c r="U48" s="164">
        <f>+U$39*EEFFHist!$Y48</f>
        <v>60.61784797110699</v>
      </c>
      <c r="V48" s="331"/>
    </row>
    <row r="49" spans="2:22" x14ac:dyDescent="0.25">
      <c r="B49" s="7" t="s">
        <v>43</v>
      </c>
      <c r="C49" s="14">
        <v>134500</v>
      </c>
      <c r="D49" s="19">
        <v>1355.66</v>
      </c>
      <c r="E49" s="19">
        <v>993.95</v>
      </c>
      <c r="F49" s="19">
        <v>722.07</v>
      </c>
      <c r="G49" s="19">
        <v>67.319999999999993</v>
      </c>
      <c r="H49" s="19">
        <v>0</v>
      </c>
      <c r="I49" s="19">
        <v>0</v>
      </c>
      <c r="J49" s="19">
        <v>0</v>
      </c>
      <c r="K49" s="19">
        <v>449.11</v>
      </c>
      <c r="L49" s="19">
        <v>527.54</v>
      </c>
      <c r="M49" s="19">
        <v>90.59</v>
      </c>
      <c r="N49" s="164">
        <f>+N$39*EEFFHist!$Y49</f>
        <v>364.00168351036632</v>
      </c>
      <c r="O49" s="164">
        <f>+O$39*EEFFHist!$Y49</f>
        <v>391.71051908896561</v>
      </c>
      <c r="P49" s="164">
        <f>+P$39*EEFFHist!$Y49</f>
        <v>430.27241992655092</v>
      </c>
      <c r="Q49" s="164">
        <f>+Q$39*EEFFHist!$Y49</f>
        <v>497.70325020463724</v>
      </c>
      <c r="R49" s="164">
        <f>+R$39*EEFFHist!$Y49</f>
        <v>576.68842342889991</v>
      </c>
      <c r="S49" s="164">
        <f>+S$39*EEFFHist!$Y49</f>
        <v>666.72688486945992</v>
      </c>
      <c r="T49" s="164">
        <f>+T$39*EEFFHist!$Y49</f>
        <v>768.21427098014442</v>
      </c>
      <c r="U49" s="164">
        <f>+U$39*EEFFHist!$Y49</f>
        <v>879.17345439832673</v>
      </c>
      <c r="V49" s="331"/>
    </row>
    <row r="50" spans="2:22" x14ac:dyDescent="0.25">
      <c r="B50" s="7" t="s">
        <v>45</v>
      </c>
      <c r="C50" s="14">
        <v>135000</v>
      </c>
      <c r="D50" s="19">
        <v>0</v>
      </c>
      <c r="E50" s="19">
        <v>0</v>
      </c>
      <c r="F50" s="19">
        <v>0</v>
      </c>
      <c r="G50" s="19">
        <v>0</v>
      </c>
      <c r="H50" s="19">
        <v>2.23</v>
      </c>
      <c r="I50" s="19">
        <v>1.2</v>
      </c>
      <c r="J50" s="19">
        <v>0</v>
      </c>
      <c r="K50" s="19">
        <v>0.05</v>
      </c>
      <c r="L50" s="19">
        <v>0</v>
      </c>
      <c r="M50" s="19">
        <v>0</v>
      </c>
      <c r="N50" s="164">
        <f>+N$39*EEFFHist!$Y50</f>
        <v>2.1609738038716231E-2</v>
      </c>
      <c r="O50" s="164">
        <f>+O$39*EEFFHist!$Y50</f>
        <v>2.3254732293789063E-2</v>
      </c>
      <c r="P50" s="164">
        <f>+P$39*EEFFHist!$Y50</f>
        <v>2.5544041967686323E-2</v>
      </c>
      <c r="Q50" s="164">
        <f>+Q$39*EEFFHist!$Y50</f>
        <v>2.9547217348607557E-2</v>
      </c>
      <c r="R50" s="164">
        <f>+R$39*EEFFHist!$Y50</f>
        <v>3.4236340997318183E-2</v>
      </c>
      <c r="S50" s="164">
        <f>+S$39*EEFFHist!$Y50</f>
        <v>3.9581666728714542E-2</v>
      </c>
      <c r="T50" s="164">
        <f>+T$39*EEFFHist!$Y50</f>
        <v>4.5606682346598301E-2</v>
      </c>
      <c r="U50" s="164">
        <f>+U$39*EEFFHist!$Y50</f>
        <v>5.2194011458740995E-2</v>
      </c>
      <c r="V50" s="331"/>
    </row>
    <row r="51" spans="2:22" x14ac:dyDescent="0.25">
      <c r="B51" s="7" t="s">
        <v>168</v>
      </c>
      <c r="C51" s="14">
        <v>135500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6.08</v>
      </c>
      <c r="K51" s="19">
        <v>0</v>
      </c>
      <c r="L51" s="19">
        <v>0.32</v>
      </c>
      <c r="M51" s="19">
        <v>0</v>
      </c>
      <c r="N51" s="164">
        <f>+N$39*EEFFHist!$Y51</f>
        <v>8.0893931564550131E-2</v>
      </c>
      <c r="O51" s="164">
        <f>+O$39*EEFFHist!$Y51</f>
        <v>8.7051805966152321E-2</v>
      </c>
      <c r="P51" s="164">
        <f>+P$39*EEFFHist!$Y51</f>
        <v>9.5621611845266491E-2</v>
      </c>
      <c r="Q51" s="164">
        <f>+Q$39*EEFFHist!$Y51</f>
        <v>0.11060710564093176</v>
      </c>
      <c r="R51" s="164">
        <f>+R$39*EEFFHist!$Y51</f>
        <v>0.12816037939450131</v>
      </c>
      <c r="S51" s="164">
        <f>+S$39*EEFFHist!$Y51</f>
        <v>0.14817008118408828</v>
      </c>
      <c r="T51" s="164">
        <f>+T$39*EEFFHist!$Y51</f>
        <v>0.17072413529595334</v>
      </c>
      <c r="U51" s="164">
        <f>+U$39*EEFFHist!$Y51</f>
        <v>0.19538315473599169</v>
      </c>
      <c r="V51" s="331"/>
    </row>
    <row r="52" spans="2:22" x14ac:dyDescent="0.25">
      <c r="B52" s="7" t="s">
        <v>46</v>
      </c>
      <c r="C52" s="14">
        <v>136000</v>
      </c>
      <c r="D52" s="19">
        <v>2338.27</v>
      </c>
      <c r="E52" s="19">
        <v>2819.33</v>
      </c>
      <c r="F52" s="19">
        <v>11248.95</v>
      </c>
      <c r="G52" s="19">
        <v>6608.46</v>
      </c>
      <c r="H52" s="19">
        <v>4290.2</v>
      </c>
      <c r="I52" s="19">
        <v>2073.42</v>
      </c>
      <c r="J52" s="19">
        <v>203.41</v>
      </c>
      <c r="K52" s="19">
        <v>153.43</v>
      </c>
      <c r="L52" s="19">
        <v>726.84</v>
      </c>
      <c r="M52" s="19">
        <v>554.5</v>
      </c>
      <c r="N52" s="164">
        <f>+N$39*EEFFHist!$Y52</f>
        <v>473.71282903911151</v>
      </c>
      <c r="O52" s="164">
        <f>+O$39*EEFFHist!$Y52</f>
        <v>509.77318668562788</v>
      </c>
      <c r="P52" s="164">
        <f>+P$39*EEFFHist!$Y52</f>
        <v>559.95775441271098</v>
      </c>
      <c r="Q52" s="164">
        <f>+Q$39*EEFFHist!$Y52</f>
        <v>647.71242924673197</v>
      </c>
      <c r="R52" s="164">
        <f>+R$39*EEFFHist!$Y52</f>
        <v>750.50395894344615</v>
      </c>
      <c r="S52" s="164">
        <f>+S$39*EEFFHist!$Y52</f>
        <v>867.68026944840005</v>
      </c>
      <c r="T52" s="164">
        <f>+T$39*EEFFHist!$Y52</f>
        <v>999.75624317094423</v>
      </c>
      <c r="U52" s="164">
        <f>+U$39*EEFFHist!$Y52</f>
        <v>1144.1588409226656</v>
      </c>
      <c r="V52" s="331"/>
    </row>
    <row r="53" spans="2:22" x14ac:dyDescent="0.25">
      <c r="B53" s="7" t="s">
        <v>48</v>
      </c>
      <c r="C53" s="14">
        <v>139000</v>
      </c>
      <c r="D53" s="19">
        <v>160.35</v>
      </c>
      <c r="E53" s="19">
        <v>160.35</v>
      </c>
      <c r="F53" s="19">
        <v>160.35</v>
      </c>
      <c r="G53" s="19">
        <v>527.9</v>
      </c>
      <c r="H53" s="19">
        <v>527.9</v>
      </c>
      <c r="I53" s="19">
        <v>815.14</v>
      </c>
      <c r="J53" s="19">
        <v>2022.29</v>
      </c>
      <c r="K53" s="19">
        <v>1977.14</v>
      </c>
      <c r="L53" s="19">
        <v>1977.14</v>
      </c>
      <c r="M53" s="19">
        <v>1977.14</v>
      </c>
      <c r="N53" s="164">
        <f>+N$39*EEFFHist!$Y53</f>
        <v>2151.8084409156513</v>
      </c>
      <c r="O53" s="164">
        <f>+O$39*EEFFHist!$Y53</f>
        <v>2315.6101731246067</v>
      </c>
      <c r="P53" s="164">
        <f>+P$39*EEFFHist!$Y53</f>
        <v>2543.5701729791272</v>
      </c>
      <c r="Q53" s="164">
        <f>+Q$39*EEFFHist!$Y53</f>
        <v>2942.1898397098844</v>
      </c>
      <c r="R53" s="164">
        <f>+R$39*EEFFHist!$Y53</f>
        <v>3409.1134011947674</v>
      </c>
      <c r="S53" s="164">
        <f>+S$39*EEFFHist!$Y53</f>
        <v>3941.3788552069814</v>
      </c>
      <c r="T53" s="164">
        <f>+T$39*EEFFHist!$Y53</f>
        <v>4541.325020217555</v>
      </c>
      <c r="U53" s="164">
        <f>+U$39*EEFFHist!$Y53</f>
        <v>5197.2640399873708</v>
      </c>
      <c r="V53" s="331"/>
    </row>
    <row r="54" spans="2:22" x14ac:dyDescent="0.25">
      <c r="B54" s="7" t="s">
        <v>49</v>
      </c>
      <c r="C54" s="14">
        <v>139900</v>
      </c>
      <c r="D54" s="19">
        <v>-218.15</v>
      </c>
      <c r="E54" s="19">
        <v>-470.73</v>
      </c>
      <c r="F54" s="19">
        <v>-758.8</v>
      </c>
      <c r="G54" s="19">
        <v>-1891.23</v>
      </c>
      <c r="H54" s="19">
        <v>-2128.5700000000002</v>
      </c>
      <c r="I54" s="19">
        <v>-2677.38</v>
      </c>
      <c r="J54" s="19">
        <v>-2032.47</v>
      </c>
      <c r="K54" s="19">
        <v>-2015.66</v>
      </c>
      <c r="L54" s="19">
        <v>-2488.31</v>
      </c>
      <c r="M54" s="19">
        <v>-2981.95</v>
      </c>
      <c r="N54" s="164">
        <f>+N$39*EEFFHist!$Y54</f>
        <v>-2702.972891239875</v>
      </c>
      <c r="O54" s="164">
        <f>+O$39*EEFFHist!$Y54</f>
        <v>-2908.7308171222262</v>
      </c>
      <c r="P54" s="164">
        <f>+P$39*EEFFHist!$Y54</f>
        <v>-3195.0805163694408</v>
      </c>
      <c r="Q54" s="164">
        <f>+Q$39*EEFFHist!$Y54</f>
        <v>-3695.8026683049652</v>
      </c>
      <c r="R54" s="164">
        <f>+R$39*EEFFHist!$Y54</f>
        <v>-4282.3240820966894</v>
      </c>
      <c r="S54" s="164">
        <f>+S$39*EEFFHist!$Y54</f>
        <v>-4950.9240679422201</v>
      </c>
      <c r="T54" s="164">
        <f>+T$39*EEFFHist!$Y54</f>
        <v>-5704.5405095325577</v>
      </c>
      <c r="U54" s="164">
        <f>+U$39*EEFFHist!$Y54</f>
        <v>-6528.4918218481735</v>
      </c>
      <c r="V54" s="331"/>
    </row>
    <row r="55" spans="2:22" x14ac:dyDescent="0.25">
      <c r="B55" s="6" t="s">
        <v>50</v>
      </c>
      <c r="C55" s="13">
        <v>150000</v>
      </c>
      <c r="D55" s="17">
        <f>+SUM(D56:D62)</f>
        <v>5216.4199999999992</v>
      </c>
      <c r="E55" s="17">
        <f t="shared" ref="E55:M55" si="6">+SUM(E56:E62)</f>
        <v>4933.4599999999982</v>
      </c>
      <c r="F55" s="17">
        <f t="shared" si="6"/>
        <v>4692.59</v>
      </c>
      <c r="G55" s="17">
        <f t="shared" si="6"/>
        <v>4126.1399999999994</v>
      </c>
      <c r="H55" s="17">
        <f t="shared" si="6"/>
        <v>3868.1899999999996</v>
      </c>
      <c r="I55" s="17">
        <f t="shared" si="6"/>
        <v>3862.3099999999995</v>
      </c>
      <c r="J55" s="17">
        <f t="shared" si="6"/>
        <v>3869.87</v>
      </c>
      <c r="K55" s="17">
        <f t="shared" si="6"/>
        <v>3556.9199999999992</v>
      </c>
      <c r="L55" s="17">
        <f t="shared" si="6"/>
        <v>3106.8700000000008</v>
      </c>
      <c r="M55" s="17">
        <f t="shared" si="6"/>
        <v>2653.0499999999993</v>
      </c>
      <c r="N55" s="172">
        <f>+N$6*EEFFHist!$Y55</f>
        <v>3114.7999550632926</v>
      </c>
      <c r="O55" s="172">
        <f>+O$6*EEFFHist!$Y55</f>
        <v>3351.9073194654125</v>
      </c>
      <c r="P55" s="172">
        <f>+P$6*EEFFHist!$Y55</f>
        <v>3681.8854828566409</v>
      </c>
      <c r="Q55" s="172">
        <f>+Q$6*EEFFHist!$Y55</f>
        <v>4258.8980534979037</v>
      </c>
      <c r="R55" s="172">
        <f>+R$6*EEFFHist!$Y55</f>
        <v>4934.7823286391567</v>
      </c>
      <c r="S55" s="172">
        <f>+S$6*EEFFHist!$Y55</f>
        <v>5705.2507312696007</v>
      </c>
      <c r="T55" s="172">
        <f>+T$6*EEFFHist!$Y55</f>
        <v>6573.6887633372426</v>
      </c>
      <c r="U55" s="172">
        <f>+U$6*EEFFHist!$Y55</f>
        <v>7523.1779420458652</v>
      </c>
      <c r="V55" s="300"/>
    </row>
    <row r="56" spans="2:22" x14ac:dyDescent="0.25">
      <c r="B56" s="7" t="s">
        <v>51</v>
      </c>
      <c r="C56" s="14">
        <v>150400</v>
      </c>
      <c r="D56" s="19">
        <v>908.7</v>
      </c>
      <c r="E56" s="19">
        <v>908.7</v>
      </c>
      <c r="F56" s="19">
        <v>908.7</v>
      </c>
      <c r="G56" s="19">
        <v>908.7</v>
      </c>
      <c r="H56" s="19">
        <v>908.7</v>
      </c>
      <c r="I56" s="19">
        <v>908.7</v>
      </c>
      <c r="J56" s="19">
        <v>908.7</v>
      </c>
      <c r="K56" s="19">
        <v>908.7</v>
      </c>
      <c r="L56" s="19">
        <v>908.7</v>
      </c>
      <c r="M56" s="19">
        <v>880.29</v>
      </c>
      <c r="N56" s="164">
        <f>+N$55*EEFFHist!$Y56</f>
        <v>913.42309499513533</v>
      </c>
      <c r="O56" s="164">
        <f>+O$55*EEFFHist!$Y56</f>
        <v>982.95543921077626</v>
      </c>
      <c r="P56" s="164">
        <f>+P$55*EEFFHist!$Y56</f>
        <v>1079.7223840014576</v>
      </c>
      <c r="Q56" s="164">
        <f>+Q$55*EEFFHist!$Y56</f>
        <v>1248.9328038454285</v>
      </c>
      <c r="R56" s="164">
        <f>+R$55*EEFFHist!$Y56</f>
        <v>1447.1376052338767</v>
      </c>
      <c r="S56" s="164">
        <f>+S$55*EEFFHist!$Y56</f>
        <v>1673.079445184994</v>
      </c>
      <c r="T56" s="164">
        <f>+T$55*EEFFHist!$Y56</f>
        <v>1927.7511308491835</v>
      </c>
      <c r="U56" s="164">
        <f>+U$55*EEFFHist!$Y56</f>
        <v>2206.1912736489144</v>
      </c>
      <c r="V56" s="331"/>
    </row>
    <row r="57" spans="2:22" x14ac:dyDescent="0.25">
      <c r="B57" s="7" t="s">
        <v>52</v>
      </c>
      <c r="C57" s="14">
        <v>151600</v>
      </c>
      <c r="D57" s="19">
        <v>5553.51</v>
      </c>
      <c r="E57" s="19">
        <v>5481.32</v>
      </c>
      <c r="F57" s="19">
        <v>5481.32</v>
      </c>
      <c r="G57" s="19">
        <v>5348.33</v>
      </c>
      <c r="H57" s="19">
        <v>5348.33</v>
      </c>
      <c r="I57" s="19">
        <v>5274.63</v>
      </c>
      <c r="J57" s="19">
        <v>5274.63</v>
      </c>
      <c r="K57" s="19">
        <v>5262.64</v>
      </c>
      <c r="L57" s="19">
        <v>5249.83</v>
      </c>
      <c r="M57" s="19">
        <v>5088.8100000000004</v>
      </c>
      <c r="N57" s="164">
        <f>+N$55*EEFFHist!$Y57</f>
        <v>5282.0742417998208</v>
      </c>
      <c r="O57" s="164">
        <f>+O$55*EEFFHist!$Y57</f>
        <v>5684.1606422486202</v>
      </c>
      <c r="P57" s="164">
        <f>+P$55*EEFFHist!$Y57</f>
        <v>6243.7372386113884</v>
      </c>
      <c r="Q57" s="164">
        <f>+Q$55*EEFFHist!$Y57</f>
        <v>7222.2345034596483</v>
      </c>
      <c r="R57" s="164">
        <f>+R$55*EEFFHist!$Y57</f>
        <v>8368.3982930018283</v>
      </c>
      <c r="S57" s="164">
        <f>+S$55*EEFFHist!$Y57</f>
        <v>9674.9577389911046</v>
      </c>
      <c r="T57" s="164">
        <f>+T$55*EEFFHist!$Y57</f>
        <v>11147.653971802823</v>
      </c>
      <c r="U57" s="164">
        <f>+U$55*EEFFHist!$Y57</f>
        <v>12757.796647441384</v>
      </c>
      <c r="V57" s="331"/>
    </row>
    <row r="58" spans="2:22" x14ac:dyDescent="0.25">
      <c r="B58" s="7" t="s">
        <v>53</v>
      </c>
      <c r="C58" s="14">
        <v>152000</v>
      </c>
      <c r="D58" s="19">
        <v>1015.7</v>
      </c>
      <c r="E58" s="19">
        <v>1044.3499999999999</v>
      </c>
      <c r="F58" s="19">
        <v>1064.17</v>
      </c>
      <c r="G58" s="19">
        <v>1083.33</v>
      </c>
      <c r="H58" s="19">
        <v>1135.3499999999999</v>
      </c>
      <c r="I58" s="19">
        <v>855.37</v>
      </c>
      <c r="J58" s="19">
        <v>1425.8</v>
      </c>
      <c r="K58" s="19">
        <v>1231.8699999999999</v>
      </c>
      <c r="L58" s="19">
        <v>1080.0899999999999</v>
      </c>
      <c r="M58" s="19">
        <v>1097.48</v>
      </c>
      <c r="N58" s="164">
        <f>+N$55*EEFFHist!$Y58</f>
        <v>1150.0293319417397</v>
      </c>
      <c r="O58" s="164">
        <f>+O$55*EEFFHist!$Y58</f>
        <v>1237.5728107576356</v>
      </c>
      <c r="P58" s="164">
        <f>+P$55*EEFFHist!$Y58</f>
        <v>1359.4055359004819</v>
      </c>
      <c r="Q58" s="164">
        <f>+Q$55*EEFFHist!$Y58</f>
        <v>1572.4469480970715</v>
      </c>
      <c r="R58" s="164">
        <f>+R$55*EEFFHist!$Y58</f>
        <v>1821.9932279944678</v>
      </c>
      <c r="S58" s="164">
        <f>+S$55*EEFFHist!$Y58</f>
        <v>2106.4613399574732</v>
      </c>
      <c r="T58" s="164">
        <f>+T$55*EEFFHist!$Y58</f>
        <v>2427.1012604210832</v>
      </c>
      <c r="U58" s="164">
        <f>+U$55*EEFFHist!$Y58</f>
        <v>2777.6664400889376</v>
      </c>
      <c r="V58" s="331"/>
    </row>
    <row r="59" spans="2:22" x14ac:dyDescent="0.25">
      <c r="B59" s="7" t="s">
        <v>426</v>
      </c>
      <c r="C59" s="14">
        <v>152400</v>
      </c>
      <c r="D59" s="19">
        <v>872.63</v>
      </c>
      <c r="E59" s="19">
        <v>1087.21</v>
      </c>
      <c r="F59" s="19">
        <v>933.22</v>
      </c>
      <c r="G59" s="19">
        <v>914.46</v>
      </c>
      <c r="H59" s="19">
        <v>1209.19</v>
      </c>
      <c r="I59" s="19">
        <v>1120.6300000000001</v>
      </c>
      <c r="J59" s="19">
        <v>1101.44</v>
      </c>
      <c r="K59" s="19">
        <v>1241.5999999999999</v>
      </c>
      <c r="L59" s="19">
        <v>912.98</v>
      </c>
      <c r="M59" s="19">
        <v>948.03</v>
      </c>
      <c r="N59" s="164">
        <f>+N$55*EEFFHist!$Y59</f>
        <v>1038.5370075035182</v>
      </c>
      <c r="O59" s="164">
        <f>+O$55*EEFFHist!$Y59</f>
        <v>1117.5933758853587</v>
      </c>
      <c r="P59" s="164">
        <f>+P$55*EEFFHist!$Y59</f>
        <v>1227.6147381859337</v>
      </c>
      <c r="Q59" s="164">
        <f>+Q$55*EEFFHist!$Y59</f>
        <v>1420.0023447901956</v>
      </c>
      <c r="R59" s="164">
        <f>+R$55*EEFFHist!$Y59</f>
        <v>1645.3557680117578</v>
      </c>
      <c r="S59" s="164">
        <f>+S$55*EEFFHist!$Y59</f>
        <v>1902.2454433641442</v>
      </c>
      <c r="T59" s="164">
        <f>+T$55*EEFFHist!$Y59</f>
        <v>2191.8001653486726</v>
      </c>
      <c r="U59" s="164">
        <f>+U$55*EEFFHist!$Y59</f>
        <v>2508.3789712235393</v>
      </c>
      <c r="V59" s="331"/>
    </row>
    <row r="60" spans="2:22" x14ac:dyDescent="0.25">
      <c r="B60" s="7" t="s">
        <v>55</v>
      </c>
      <c r="C60" s="14">
        <v>152800</v>
      </c>
      <c r="D60" s="19">
        <v>83</v>
      </c>
      <c r="E60" s="19">
        <v>83</v>
      </c>
      <c r="F60" s="19">
        <v>135</v>
      </c>
      <c r="G60" s="19">
        <v>135</v>
      </c>
      <c r="H60" s="19">
        <v>135</v>
      </c>
      <c r="I60" s="19">
        <v>135</v>
      </c>
      <c r="J60" s="19">
        <v>135</v>
      </c>
      <c r="K60" s="19">
        <v>135</v>
      </c>
      <c r="L60" s="19">
        <v>135</v>
      </c>
      <c r="M60" s="19">
        <v>135</v>
      </c>
      <c r="N60" s="164">
        <f>+N$55*EEFFHist!$Y60</f>
        <v>137.35344513139128</v>
      </c>
      <c r="O60" s="164">
        <f>+O$55*EEFFHist!$Y60</f>
        <v>147.80917706811323</v>
      </c>
      <c r="P60" s="164">
        <f>+P$55*EEFFHist!$Y60</f>
        <v>162.36023595272573</v>
      </c>
      <c r="Q60" s="164">
        <f>+Q$55*EEFFHist!$Y60</f>
        <v>187.80477993792277</v>
      </c>
      <c r="R60" s="164">
        <f>+R$55*EEFFHist!$Y60</f>
        <v>217.60927301616215</v>
      </c>
      <c r="S60" s="164">
        <f>+S$55*EEFFHist!$Y60</f>
        <v>251.58464575049911</v>
      </c>
      <c r="T60" s="164">
        <f>+T$55*EEFFHist!$Y60</f>
        <v>289.88018874153926</v>
      </c>
      <c r="U60" s="164">
        <f>+U$55*EEFFHist!$Y60</f>
        <v>331.74984704771919</v>
      </c>
      <c r="V60" s="331"/>
    </row>
    <row r="61" spans="2:22" x14ac:dyDescent="0.25">
      <c r="B61" s="7" t="s">
        <v>427</v>
      </c>
      <c r="C61" s="14">
        <v>159200</v>
      </c>
      <c r="D61" s="19">
        <v>-3217.12</v>
      </c>
      <c r="E61" s="19">
        <v>-3671.12</v>
      </c>
      <c r="F61" s="19">
        <v>-3829.82</v>
      </c>
      <c r="G61" s="19">
        <v>-4263.68</v>
      </c>
      <c r="H61" s="19">
        <v>-4868.38</v>
      </c>
      <c r="I61" s="19">
        <v>-4432.0200000000004</v>
      </c>
      <c r="J61" s="19">
        <v>-4975.7</v>
      </c>
      <c r="K61" s="19">
        <v>-5222.8900000000003</v>
      </c>
      <c r="L61" s="19">
        <v>-5179.7299999999996</v>
      </c>
      <c r="M61" s="19">
        <v>-5496.56</v>
      </c>
      <c r="N61" s="164">
        <f>+N$55*EEFFHist!$Y61</f>
        <v>-5406.6171663083142</v>
      </c>
      <c r="O61" s="164">
        <f>+O$55*EEFFHist!$Y61</f>
        <v>-5818.1841257050928</v>
      </c>
      <c r="P61" s="164">
        <f>+P$55*EEFFHist!$Y61</f>
        <v>-6390.9546497953479</v>
      </c>
      <c r="Q61" s="164">
        <f>+Q$55*EEFFHist!$Y61</f>
        <v>-7392.5233266323648</v>
      </c>
      <c r="R61" s="164">
        <f>+R$55*EEFFHist!$Y61</f>
        <v>-8565.7118386189377</v>
      </c>
      <c r="S61" s="164">
        <f>+S$55*EEFFHist!$Y61</f>
        <v>-9903.0778819786174</v>
      </c>
      <c r="T61" s="164">
        <f>+T$55*EEFFHist!$Y61</f>
        <v>-11410.497953826061</v>
      </c>
      <c r="U61" s="164">
        <f>+U$55*EEFFHist!$Y61</f>
        <v>-13058.605237404634</v>
      </c>
      <c r="V61" s="331"/>
    </row>
    <row r="62" spans="2:22" x14ac:dyDescent="0.25">
      <c r="B62" s="7" t="s">
        <v>57</v>
      </c>
      <c r="C62" s="14">
        <v>159900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64">
        <f>+N$55*EEFFHist!$Y62</f>
        <v>0</v>
      </c>
      <c r="O62" s="164">
        <f>+O$55*EEFFHist!$Y62</f>
        <v>0</v>
      </c>
      <c r="P62" s="164">
        <f>+P$55*EEFFHist!$Y62</f>
        <v>0</v>
      </c>
      <c r="Q62" s="164">
        <f>+Q$55*EEFFHist!$Y62</f>
        <v>0</v>
      </c>
      <c r="R62" s="164">
        <f>+R$55*EEFFHist!$Y62</f>
        <v>0</v>
      </c>
      <c r="S62" s="164">
        <f>+S$55*EEFFHist!$Y62</f>
        <v>0</v>
      </c>
      <c r="T62" s="164">
        <f>+T$55*EEFFHist!$Y62</f>
        <v>0</v>
      </c>
      <c r="U62" s="164">
        <f>+U$55*EEFFHist!$Y62</f>
        <v>0</v>
      </c>
      <c r="V62" s="331"/>
    </row>
    <row r="63" spans="2:22" x14ac:dyDescent="0.25">
      <c r="B63" s="6" t="s">
        <v>58</v>
      </c>
      <c r="C63" s="13">
        <v>160000</v>
      </c>
      <c r="D63" s="17">
        <f t="shared" ref="D63:M63" si="7">+SUM(D64:D66)</f>
        <v>0</v>
      </c>
      <c r="E63" s="17">
        <f t="shared" si="7"/>
        <v>0</v>
      </c>
      <c r="F63" s="17">
        <f t="shared" si="7"/>
        <v>270</v>
      </c>
      <c r="G63" s="17">
        <f t="shared" si="7"/>
        <v>530</v>
      </c>
      <c r="H63" s="17">
        <f t="shared" si="7"/>
        <v>427.75</v>
      </c>
      <c r="I63" s="17">
        <f t="shared" si="7"/>
        <v>190</v>
      </c>
      <c r="J63" s="17">
        <f t="shared" si="7"/>
        <v>0</v>
      </c>
      <c r="K63" s="17">
        <f t="shared" si="7"/>
        <v>0</v>
      </c>
      <c r="L63" s="17">
        <f t="shared" si="7"/>
        <v>0</v>
      </c>
      <c r="M63" s="17">
        <f t="shared" si="7"/>
        <v>0</v>
      </c>
      <c r="N63" s="164">
        <f>+N$55*EEFFHist!$Y63</f>
        <v>0</v>
      </c>
      <c r="O63" s="164">
        <f>+O$55*EEFFHist!$Y63</f>
        <v>0</v>
      </c>
      <c r="P63" s="164">
        <f>+P$55*EEFFHist!$Y63</f>
        <v>0</v>
      </c>
      <c r="Q63" s="164">
        <f>+Q$55*EEFFHist!$Y63</f>
        <v>0</v>
      </c>
      <c r="R63" s="164">
        <f>+R$55*EEFFHist!$Y63</f>
        <v>0</v>
      </c>
      <c r="S63" s="164">
        <f>+S$55*EEFFHist!$Y63</f>
        <v>0</v>
      </c>
      <c r="T63" s="164">
        <f>+T$55*EEFFHist!$Y63</f>
        <v>0</v>
      </c>
      <c r="U63" s="164">
        <f>+U$55*EEFFHist!$Y63</f>
        <v>0</v>
      </c>
      <c r="V63" s="331"/>
    </row>
    <row r="64" spans="2:22" x14ac:dyDescent="0.25">
      <c r="B64" s="7" t="s">
        <v>59</v>
      </c>
      <c r="C64" s="14">
        <v>161000</v>
      </c>
      <c r="D64" s="19">
        <v>0</v>
      </c>
      <c r="E64" s="19">
        <v>0</v>
      </c>
      <c r="F64" s="19">
        <v>270</v>
      </c>
      <c r="G64" s="19">
        <v>530</v>
      </c>
      <c r="H64" s="19">
        <v>427.75</v>
      </c>
      <c r="I64" s="19">
        <v>210</v>
      </c>
      <c r="J64" s="19">
        <v>0</v>
      </c>
      <c r="K64" s="19">
        <v>0</v>
      </c>
      <c r="L64" s="19">
        <v>0</v>
      </c>
      <c r="M64" s="19">
        <v>0</v>
      </c>
      <c r="N64" s="164">
        <v>0</v>
      </c>
      <c r="O64" s="164">
        <v>0</v>
      </c>
      <c r="P64" s="164">
        <v>0</v>
      </c>
      <c r="Q64" s="164">
        <v>0</v>
      </c>
      <c r="R64" s="164">
        <v>0</v>
      </c>
      <c r="S64" s="164">
        <v>0</v>
      </c>
      <c r="T64" s="164">
        <v>0</v>
      </c>
      <c r="U64" s="164">
        <v>0</v>
      </c>
      <c r="V64" s="331"/>
    </row>
    <row r="65" spans="2:30" x14ac:dyDescent="0.25">
      <c r="B65" s="7" t="s">
        <v>428</v>
      </c>
      <c r="C65" s="14">
        <v>169800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64">
        <v>0</v>
      </c>
      <c r="O65" s="164">
        <v>0</v>
      </c>
      <c r="P65" s="164">
        <v>0</v>
      </c>
      <c r="Q65" s="164">
        <v>0</v>
      </c>
      <c r="R65" s="164">
        <v>0</v>
      </c>
      <c r="S65" s="164">
        <v>0</v>
      </c>
      <c r="T65" s="164">
        <v>0</v>
      </c>
      <c r="U65" s="164">
        <v>0</v>
      </c>
      <c r="V65" s="331"/>
    </row>
    <row r="66" spans="2:30" x14ac:dyDescent="0.25">
      <c r="B66" s="7" t="s">
        <v>61</v>
      </c>
      <c r="C66" s="14">
        <v>169900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-20</v>
      </c>
      <c r="J66" s="19">
        <v>0</v>
      </c>
      <c r="K66" s="19">
        <v>0</v>
      </c>
      <c r="L66" s="19">
        <v>0</v>
      </c>
      <c r="M66" s="19">
        <v>0</v>
      </c>
      <c r="N66" s="164">
        <v>0</v>
      </c>
      <c r="O66" s="164">
        <v>0</v>
      </c>
      <c r="P66" s="164">
        <v>0</v>
      </c>
      <c r="Q66" s="164">
        <v>0</v>
      </c>
      <c r="R66" s="164">
        <v>0</v>
      </c>
      <c r="S66" s="164">
        <v>0</v>
      </c>
      <c r="T66" s="164">
        <v>0</v>
      </c>
      <c r="U66" s="164">
        <v>0</v>
      </c>
      <c r="V66" s="331"/>
    </row>
    <row r="67" spans="2:30" x14ac:dyDescent="0.25">
      <c r="B67" s="6" t="s">
        <v>62</v>
      </c>
      <c r="C67" s="13">
        <v>170000</v>
      </c>
      <c r="D67" s="17">
        <f t="shared" ref="D67:M67" si="8">+SUM(D68:D69)</f>
        <v>162.33000000000001</v>
      </c>
      <c r="E67" s="17">
        <f t="shared" si="8"/>
        <v>170.17</v>
      </c>
      <c r="F67" s="17">
        <f t="shared" si="8"/>
        <v>137.81</v>
      </c>
      <c r="G67" s="17">
        <f t="shared" si="8"/>
        <v>841.74</v>
      </c>
      <c r="H67" s="17">
        <f t="shared" si="8"/>
        <v>1220.74</v>
      </c>
      <c r="I67" s="17">
        <f t="shared" si="8"/>
        <v>2453.58</v>
      </c>
      <c r="J67" s="17">
        <f t="shared" si="8"/>
        <v>3352.84</v>
      </c>
      <c r="K67" s="17">
        <f t="shared" si="8"/>
        <v>2964.14</v>
      </c>
      <c r="L67" s="17">
        <f t="shared" si="8"/>
        <v>1091.22</v>
      </c>
      <c r="M67" s="17">
        <f t="shared" si="8"/>
        <v>421.41</v>
      </c>
      <c r="N67" s="172">
        <f>+N$6*EEFFHist!$Y67</f>
        <v>1422.2266672498263</v>
      </c>
      <c r="O67" s="172">
        <f>+O$6*EEFFHist!$Y67</f>
        <v>1530.490575532554</v>
      </c>
      <c r="P67" s="172">
        <f>+P$6*EEFFHist!$Y67</f>
        <v>1681.1595592090962</v>
      </c>
      <c r="Q67" s="172">
        <f>+Q$6*EEFFHist!$Y67</f>
        <v>1944.6251676409872</v>
      </c>
      <c r="R67" s="172">
        <f>+R$6*EEFFHist!$Y67</f>
        <v>2253.2358822771307</v>
      </c>
      <c r="S67" s="172">
        <f>+S$6*EEFFHist!$Y67</f>
        <v>2605.0339830550429</v>
      </c>
      <c r="T67" s="172">
        <f>+T$6*EEFFHist!$Y67</f>
        <v>3001.5652999548029</v>
      </c>
      <c r="U67" s="172">
        <f>+U$6*EEFFHist!$Y67</f>
        <v>3435.1048048046732</v>
      </c>
      <c r="V67" s="300"/>
    </row>
    <row r="68" spans="2:30" x14ac:dyDescent="0.25">
      <c r="B68" s="7" t="s">
        <v>63</v>
      </c>
      <c r="C68" s="14">
        <v>170500</v>
      </c>
      <c r="D68" s="19">
        <v>42.04</v>
      </c>
      <c r="E68" s="19">
        <v>40.26</v>
      </c>
      <c r="F68" s="19">
        <v>55.77</v>
      </c>
      <c r="G68" s="19">
        <v>35.69</v>
      </c>
      <c r="H68" s="19">
        <v>67.98</v>
      </c>
      <c r="I68" s="19">
        <v>83.56</v>
      </c>
      <c r="J68" s="19">
        <v>77.67</v>
      </c>
      <c r="K68" s="19">
        <v>98.19</v>
      </c>
      <c r="L68" s="19">
        <v>103.36</v>
      </c>
      <c r="M68" s="19">
        <v>93.17</v>
      </c>
      <c r="N68" s="164">
        <f>+N$67*EEFFHist!$Y68</f>
        <v>165.42237713566982</v>
      </c>
      <c r="O68" s="164">
        <f>+O$67*EEFFHist!$Y68</f>
        <v>178.01479540381993</v>
      </c>
      <c r="P68" s="164">
        <f>+P$67*EEFFHist!$Y68</f>
        <v>195.53944320738339</v>
      </c>
      <c r="Q68" s="164">
        <f>+Q$67*EEFFHist!$Y68</f>
        <v>226.18371970978933</v>
      </c>
      <c r="R68" s="164">
        <f>+R$67*EEFFHist!$Y68</f>
        <v>262.07892488363603</v>
      </c>
      <c r="S68" s="164">
        <f>+S$67*EEFFHist!$Y68</f>
        <v>302.99735191259123</v>
      </c>
      <c r="T68" s="164">
        <f>+T$67*EEFFHist!$Y68</f>
        <v>349.11879975264469</v>
      </c>
      <c r="U68" s="164">
        <f>+U$67*EEFFHist!$Y68</f>
        <v>399.54475303136286</v>
      </c>
      <c r="V68" s="331"/>
    </row>
    <row r="69" spans="2:30" x14ac:dyDescent="0.25">
      <c r="B69" s="7" t="s">
        <v>64</v>
      </c>
      <c r="C69" s="14">
        <v>171000</v>
      </c>
      <c r="D69" s="19">
        <v>120.29</v>
      </c>
      <c r="E69" s="19">
        <v>129.91</v>
      </c>
      <c r="F69" s="19">
        <v>82.04</v>
      </c>
      <c r="G69" s="19">
        <v>806.05</v>
      </c>
      <c r="H69" s="19">
        <v>1152.76</v>
      </c>
      <c r="I69" s="19">
        <v>2370.02</v>
      </c>
      <c r="J69" s="19">
        <v>3275.17</v>
      </c>
      <c r="K69" s="19">
        <v>2865.95</v>
      </c>
      <c r="L69" s="19">
        <v>987.86</v>
      </c>
      <c r="M69" s="19">
        <v>328.24</v>
      </c>
      <c r="N69" s="164">
        <f>+N$67*EEFFHist!$Y69</f>
        <v>1256.8042901141564</v>
      </c>
      <c r="O69" s="164">
        <f>+O$67*EEFFHist!$Y69</f>
        <v>1352.475780128734</v>
      </c>
      <c r="P69" s="164">
        <f>+P$67*EEFFHist!$Y69</f>
        <v>1485.6201160017126</v>
      </c>
      <c r="Q69" s="164">
        <f>+Q$67*EEFFHist!$Y69</f>
        <v>1718.4414479311979</v>
      </c>
      <c r="R69" s="164">
        <f>+R$67*EEFFHist!$Y69</f>
        <v>1991.1569573934946</v>
      </c>
      <c r="S69" s="164">
        <f>+S$67*EEFFHist!$Y69</f>
        <v>2302.0366311424514</v>
      </c>
      <c r="T69" s="164">
        <f>+T$67*EEFFHist!$Y69</f>
        <v>2652.4465002021579</v>
      </c>
      <c r="U69" s="164">
        <f>+U$67*EEFFHist!$Y69</f>
        <v>3035.5600517733101</v>
      </c>
      <c r="V69" s="331"/>
    </row>
    <row r="70" spans="2:30" x14ac:dyDescent="0.25">
      <c r="B70" s="6" t="s">
        <v>65</v>
      </c>
      <c r="C70" s="13">
        <v>180000</v>
      </c>
      <c r="D70" s="17">
        <f t="shared" ref="D70:M70" si="9">+SUM(D71:D73)</f>
        <v>87.539999999999992</v>
      </c>
      <c r="E70" s="17">
        <f t="shared" si="9"/>
        <v>87.539999999999992</v>
      </c>
      <c r="F70" s="17">
        <f t="shared" si="9"/>
        <v>87.539999999999992</v>
      </c>
      <c r="G70" s="17">
        <f t="shared" si="9"/>
        <v>87.539999999999992</v>
      </c>
      <c r="H70" s="17">
        <f t="shared" si="9"/>
        <v>647.54</v>
      </c>
      <c r="I70" s="17">
        <f t="shared" si="9"/>
        <v>529.29999999999995</v>
      </c>
      <c r="J70" s="17">
        <f t="shared" si="9"/>
        <v>87.539999999999992</v>
      </c>
      <c r="K70" s="17">
        <f t="shared" si="9"/>
        <v>87.539999999999992</v>
      </c>
      <c r="L70" s="17">
        <f t="shared" si="9"/>
        <v>73.69</v>
      </c>
      <c r="M70" s="17">
        <f t="shared" si="9"/>
        <v>73.69</v>
      </c>
      <c r="N70" s="172">
        <f>+N$6*EEFFHist!$Y70</f>
        <v>78.558580527329909</v>
      </c>
      <c r="O70" s="172">
        <f>+O$6*EEFFHist!$Y70</f>
        <v>84.538681416225799</v>
      </c>
      <c r="P70" s="172">
        <f>+P$6*EEFFHist!$Y70</f>
        <v>92.861083013442823</v>
      </c>
      <c r="Q70" s="172">
        <f>+Q$6*EEFFHist!$Y70</f>
        <v>107.41395611924783</v>
      </c>
      <c r="R70" s="172">
        <f>+R$6*EEFFHist!$Y70</f>
        <v>124.46047917750352</v>
      </c>
      <c r="S70" s="172">
        <f>+S$6*EEFFHist!$Y70</f>
        <v>143.89251491816702</v>
      </c>
      <c r="T70" s="172">
        <f>+T$6*EEFFHist!$Y70</f>
        <v>165.79544931505527</v>
      </c>
      <c r="U70" s="172">
        <f>+U$6*EEFFHist!$Y70</f>
        <v>189.74258016824484</v>
      </c>
      <c r="V70" s="300"/>
    </row>
    <row r="71" spans="2:30" x14ac:dyDescent="0.25">
      <c r="B71" s="7" t="s">
        <v>66</v>
      </c>
      <c r="C71" s="14">
        <v>180500</v>
      </c>
      <c r="D71" s="19">
        <v>49.54</v>
      </c>
      <c r="E71" s="19">
        <v>49.54</v>
      </c>
      <c r="F71" s="19">
        <v>49.54</v>
      </c>
      <c r="G71" s="19">
        <v>49.54</v>
      </c>
      <c r="H71" s="19">
        <v>49.54</v>
      </c>
      <c r="I71" s="19">
        <v>49.54</v>
      </c>
      <c r="J71" s="19">
        <v>49.54</v>
      </c>
      <c r="K71" s="19">
        <v>49.54</v>
      </c>
      <c r="L71" s="19">
        <v>35.69</v>
      </c>
      <c r="M71" s="19">
        <v>35.69</v>
      </c>
      <c r="N71" s="164">
        <f>+N$70*EEFFHist!$Y71</f>
        <v>40.184420981859084</v>
      </c>
      <c r="O71" s="164">
        <f>+O$70*EEFFHist!$Y71</f>
        <v>43.243372531394542</v>
      </c>
      <c r="P71" s="164">
        <f>+P$70*EEFFHist!$Y71</f>
        <v>47.5004617903625</v>
      </c>
      <c r="Q71" s="164">
        <f>+Q$70*EEFFHist!$Y71</f>
        <v>54.944572611277813</v>
      </c>
      <c r="R71" s="164">
        <f>+R$70*EEFFHist!$Y71</f>
        <v>63.664239568747931</v>
      </c>
      <c r="S71" s="164">
        <f>+S$70*EEFFHist!$Y71</f>
        <v>73.604148099372381</v>
      </c>
      <c r="T71" s="164">
        <f>+T$70*EEFFHist!$Y71</f>
        <v>84.807974984156786</v>
      </c>
      <c r="U71" s="164">
        <f>+U$70*EEFFHist!$Y71</f>
        <v>97.057452775796094</v>
      </c>
      <c r="V71" s="331"/>
    </row>
    <row r="72" spans="2:30" x14ac:dyDescent="0.25">
      <c r="B72" s="7" t="s">
        <v>47</v>
      </c>
      <c r="C72" s="14">
        <v>189500</v>
      </c>
      <c r="D72" s="19">
        <v>38</v>
      </c>
      <c r="E72" s="19">
        <v>38</v>
      </c>
      <c r="F72" s="19">
        <v>38</v>
      </c>
      <c r="G72" s="19">
        <v>38</v>
      </c>
      <c r="H72" s="19">
        <v>598</v>
      </c>
      <c r="I72" s="19">
        <v>548</v>
      </c>
      <c r="J72" s="19">
        <v>38</v>
      </c>
      <c r="K72" s="19">
        <v>38</v>
      </c>
      <c r="L72" s="19">
        <v>38</v>
      </c>
      <c r="M72" s="19">
        <v>38</v>
      </c>
      <c r="N72" s="164">
        <f>+N$70*EEFFHist!$Y72</f>
        <v>38.374159545470825</v>
      </c>
      <c r="O72" s="164">
        <f>+O$70*EEFFHist!$Y72</f>
        <v>41.29530888483125</v>
      </c>
      <c r="P72" s="164">
        <f>+P$70*EEFFHist!$Y72</f>
        <v>45.360621223080315</v>
      </c>
      <c r="Q72" s="164">
        <f>+Q$70*EEFFHist!$Y72</f>
        <v>52.469383507970015</v>
      </c>
      <c r="R72" s="164">
        <f>+R$70*EEFFHist!$Y72</f>
        <v>60.796239608755577</v>
      </c>
      <c r="S72" s="164">
        <f>+S$70*EEFFHist!$Y72</f>
        <v>70.288366818794628</v>
      </c>
      <c r="T72" s="164">
        <f>+T$70*EEFFHist!$Y72</f>
        <v>80.987474330898479</v>
      </c>
      <c r="U72" s="164">
        <f>+U$70*EEFFHist!$Y72</f>
        <v>92.685127392448734</v>
      </c>
      <c r="V72" s="331"/>
    </row>
    <row r="73" spans="2:30" x14ac:dyDescent="0.25">
      <c r="B73" s="7" t="s">
        <v>67</v>
      </c>
      <c r="C73" s="14">
        <v>189900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-68.239999999999995</v>
      </c>
      <c r="J73" s="19">
        <v>0</v>
      </c>
      <c r="K73" s="19">
        <v>0</v>
      </c>
      <c r="L73" s="19">
        <v>0</v>
      </c>
      <c r="M73" s="19">
        <v>0</v>
      </c>
      <c r="N73" s="164">
        <f>+N$70*EEFFHist!$Y73</f>
        <v>0</v>
      </c>
      <c r="O73" s="164">
        <f>+O$70*EEFFHist!$Y73</f>
        <v>0</v>
      </c>
      <c r="P73" s="164">
        <f>+P$70*EEFFHist!$Y73</f>
        <v>0</v>
      </c>
      <c r="Q73" s="164">
        <f>+Q$70*EEFFHist!$Y73</f>
        <v>0</v>
      </c>
      <c r="R73" s="164">
        <f>+R$70*EEFFHist!$Y73</f>
        <v>0</v>
      </c>
      <c r="S73" s="164">
        <f>+S$70*EEFFHist!$Y73</f>
        <v>0</v>
      </c>
      <c r="T73" s="164">
        <f>+T$70*EEFFHist!$Y73</f>
        <v>0</v>
      </c>
      <c r="U73" s="164">
        <f>+U$70*EEFFHist!$Y73</f>
        <v>0</v>
      </c>
      <c r="V73" s="331"/>
    </row>
    <row r="74" spans="2:30" x14ac:dyDescent="0.25">
      <c r="B74" s="6" t="s">
        <v>68</v>
      </c>
      <c r="C74" s="13">
        <v>190000</v>
      </c>
      <c r="D74" s="17">
        <f t="shared" ref="D74:J74" si="10">+SUM(D75:D78)</f>
        <v>874</v>
      </c>
      <c r="E74" s="17">
        <f t="shared" si="10"/>
        <v>872.74</v>
      </c>
      <c r="F74" s="17">
        <f t="shared" si="10"/>
        <v>1502.6699999999998</v>
      </c>
      <c r="G74" s="17">
        <f t="shared" si="10"/>
        <v>1851.1299999999999</v>
      </c>
      <c r="H74" s="17">
        <f t="shared" si="10"/>
        <v>2884.9599999999996</v>
      </c>
      <c r="I74" s="17">
        <f t="shared" si="10"/>
        <v>3104.15</v>
      </c>
      <c r="J74" s="17">
        <f t="shared" si="10"/>
        <v>4991.03</v>
      </c>
      <c r="K74" s="17">
        <f>+SUM(K75:K78)</f>
        <v>5194.29</v>
      </c>
      <c r="L74" s="17">
        <f>+SUM(L75:L78)</f>
        <v>6762.5199999999995</v>
      </c>
      <c r="M74" s="17">
        <f>+SUM(M75:M78)</f>
        <v>6829.1599999999989</v>
      </c>
      <c r="N74" s="172">
        <f>+N$6*EEFFHist!$Y74</f>
        <v>6395.1170507190236</v>
      </c>
      <c r="O74" s="172">
        <f>+O$6*EEFFHist!$Y74</f>
        <v>6881.9314114532217</v>
      </c>
      <c r="P74" s="172">
        <f>+P$6*EEFFHist!$Y74</f>
        <v>7559.4224251659498</v>
      </c>
      <c r="Q74" s="172">
        <f>+Q$6*EEFFHist!$Y74</f>
        <v>8744.1093977558703</v>
      </c>
      <c r="R74" s="172">
        <f>+R$6*EEFFHist!$Y74</f>
        <v>10131.793716051319</v>
      </c>
      <c r="S74" s="172">
        <f>+S$6*EEFFHist!$Y74</f>
        <v>11713.672388770794</v>
      </c>
      <c r="T74" s="172">
        <f>+T$6*EEFFHist!$Y74</f>
        <v>13496.696321765488</v>
      </c>
      <c r="U74" s="172">
        <f>+U$6*EEFFHist!$Y74</f>
        <v>15446.129519349226</v>
      </c>
      <c r="V74" s="300"/>
    </row>
    <row r="75" spans="2:30" x14ac:dyDescent="0.25">
      <c r="B75" s="8" t="s">
        <v>429</v>
      </c>
      <c r="C75" s="15">
        <v>190500</v>
      </c>
      <c r="D75" s="19">
        <v>309.88</v>
      </c>
      <c r="E75" s="19">
        <v>27.63</v>
      </c>
      <c r="F75" s="19">
        <v>38.06</v>
      </c>
      <c r="G75" s="19">
        <v>85.61</v>
      </c>
      <c r="H75" s="19">
        <v>114.97</v>
      </c>
      <c r="I75" s="19">
        <v>97.15</v>
      </c>
      <c r="J75" s="19">
        <v>121.15</v>
      </c>
      <c r="K75" s="19">
        <v>130.41</v>
      </c>
      <c r="L75" s="19">
        <v>99.99</v>
      </c>
      <c r="M75" s="19">
        <v>69.150000000000006</v>
      </c>
      <c r="N75" s="164">
        <f>+N$74*EEFFHist!$Y75</f>
        <v>106.62369627725171</v>
      </c>
      <c r="O75" s="164">
        <f>+O$74*EEFFHist!$Y75</f>
        <v>114.7401929935224</v>
      </c>
      <c r="P75" s="164">
        <f>+P$74*EEFFHist!$Y75</f>
        <v>126.03577922029075</v>
      </c>
      <c r="Q75" s="164">
        <f>+Q$74*EEFFHist!$Y75</f>
        <v>145.78767788723422</v>
      </c>
      <c r="R75" s="164">
        <f>+R$74*EEFFHist!$Y75</f>
        <v>168.92408494736824</v>
      </c>
      <c r="S75" s="164">
        <f>+S$74*EEFFHist!$Y75</f>
        <v>195.29823100440402</v>
      </c>
      <c r="T75" s="164">
        <f>+T$74*EEFFHist!$Y75</f>
        <v>225.02600623962385</v>
      </c>
      <c r="U75" s="164">
        <f>+U$74*EEFFHist!$Y75</f>
        <v>257.52826875076744</v>
      </c>
      <c r="V75" s="331"/>
    </row>
    <row r="76" spans="2:30" x14ac:dyDescent="0.25">
      <c r="B76" s="8" t="s">
        <v>50</v>
      </c>
      <c r="C76" s="15">
        <v>191000</v>
      </c>
      <c r="D76" s="19">
        <v>564.29</v>
      </c>
      <c r="E76" s="19">
        <v>845.11</v>
      </c>
      <c r="F76" s="19">
        <v>1464.61</v>
      </c>
      <c r="G76" s="19">
        <v>1765.52</v>
      </c>
      <c r="H76" s="19">
        <v>2769.99</v>
      </c>
      <c r="I76" s="19">
        <v>3007</v>
      </c>
      <c r="J76" s="19">
        <v>4869.88</v>
      </c>
      <c r="K76" s="19">
        <v>5063.88</v>
      </c>
      <c r="L76" s="19">
        <v>6558.55</v>
      </c>
      <c r="M76" s="19">
        <v>6656.03</v>
      </c>
      <c r="N76" s="164">
        <f>+N$74*EEFFHist!$Y76</f>
        <v>6223.2593037418583</v>
      </c>
      <c r="O76" s="164">
        <f>+O$74*EEFFHist!$Y76</f>
        <v>6696.991367691121</v>
      </c>
      <c r="P76" s="164">
        <f>+P$74*EEFFHist!$Y76</f>
        <v>7356.2759782543008</v>
      </c>
      <c r="Q76" s="164">
        <f>+Q$74*EEFFHist!$Y76</f>
        <v>8509.1265305929901</v>
      </c>
      <c r="R76" s="164">
        <f>+R$74*EEFFHist!$Y76</f>
        <v>9859.5192248936928</v>
      </c>
      <c r="S76" s="164">
        <f>+S$74*EEFFHist!$Y76</f>
        <v>11398.887635091198</v>
      </c>
      <c r="T76" s="164">
        <f>+T$74*EEFFHist!$Y76</f>
        <v>13133.995873423763</v>
      </c>
      <c r="U76" s="164">
        <f>+U$74*EEFFHist!$Y76</f>
        <v>15031.041414212139</v>
      </c>
      <c r="V76" s="331"/>
    </row>
    <row r="77" spans="2:30" x14ac:dyDescent="0.25">
      <c r="B77" s="8" t="s">
        <v>65</v>
      </c>
      <c r="C77" s="15">
        <v>199500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103.98</v>
      </c>
      <c r="M77" s="19">
        <v>103.98</v>
      </c>
      <c r="N77" s="164">
        <f>+N$74*EEFFHist!$Y77</f>
        <v>65.234050699913823</v>
      </c>
      <c r="O77" s="164">
        <f>+O$74*EEFFHist!$Y77</f>
        <v>70.199850768578756</v>
      </c>
      <c r="P77" s="164">
        <f>+P$74*EEFFHist!$Y77</f>
        <v>77.11066769135941</v>
      </c>
      <c r="Q77" s="164">
        <f>+Q$74*EEFFHist!$Y77</f>
        <v>89.195189275646783</v>
      </c>
      <c r="R77" s="164">
        <f>+R$74*EEFFHist!$Y77</f>
        <v>103.35040621025829</v>
      </c>
      <c r="S77" s="164">
        <f>+S$74*EEFFHist!$Y77</f>
        <v>119.48652267519341</v>
      </c>
      <c r="T77" s="164">
        <f>+T$74*EEFFHist!$Y77</f>
        <v>137.67444210210337</v>
      </c>
      <c r="U77" s="164">
        <f>+U$74*EEFFHist!$Y77</f>
        <v>157.55983638632128</v>
      </c>
      <c r="V77" s="331"/>
    </row>
    <row r="78" spans="2:30" x14ac:dyDescent="0.25">
      <c r="B78" s="8" t="s">
        <v>70</v>
      </c>
      <c r="C78" s="15">
        <v>199600</v>
      </c>
      <c r="D78" s="20">
        <v>-0.17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196">
        <f>+N$74*EEFFHist!$Y78</f>
        <v>0</v>
      </c>
      <c r="O78" s="196">
        <f>+O$74*EEFFHist!$Y78</f>
        <v>0</v>
      </c>
      <c r="P78" s="196">
        <f>+P$74*EEFFHist!$Y78</f>
        <v>0</v>
      </c>
      <c r="Q78" s="196">
        <f>+Q$74*EEFFHist!$Y78</f>
        <v>0</v>
      </c>
      <c r="R78" s="196">
        <f>+R$74*EEFFHist!$Y78</f>
        <v>0</v>
      </c>
      <c r="S78" s="196">
        <f>+S$74*EEFFHist!$Y78</f>
        <v>0</v>
      </c>
      <c r="T78" s="196">
        <f>+T$74*EEFFHist!$Y78</f>
        <v>0</v>
      </c>
      <c r="U78" s="196">
        <f>+U$74*EEFFHist!$Y78</f>
        <v>0</v>
      </c>
      <c r="V78" s="331"/>
    </row>
    <row r="79" spans="2:30" x14ac:dyDescent="0.25">
      <c r="B79" s="2"/>
      <c r="C79" s="15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0"/>
      <c r="O79" s="30"/>
      <c r="P79" s="30"/>
      <c r="Q79" s="30"/>
      <c r="R79" s="30"/>
      <c r="S79" s="30"/>
      <c r="T79" s="30"/>
      <c r="U79" s="30"/>
      <c r="V79" s="30"/>
    </row>
    <row r="80" spans="2:30" x14ac:dyDescent="0.25">
      <c r="B80" s="9" t="s">
        <v>178</v>
      </c>
      <c r="C80" s="13">
        <v>200000</v>
      </c>
      <c r="D80" s="16">
        <f t="shared" ref="D80:M80" si="11">+D81+D84+D93+D97+D104+D110+D113</f>
        <v>2475.3200000000002</v>
      </c>
      <c r="E80" s="16">
        <f t="shared" si="11"/>
        <v>2438.889999999999</v>
      </c>
      <c r="F80" s="16">
        <f t="shared" si="11"/>
        <v>5385.5800000000017</v>
      </c>
      <c r="G80" s="16">
        <f t="shared" si="11"/>
        <v>1236.3800000000001</v>
      </c>
      <c r="H80" s="16">
        <f t="shared" si="11"/>
        <v>2832.8799999999997</v>
      </c>
      <c r="I80" s="16">
        <f t="shared" si="11"/>
        <v>5929.99</v>
      </c>
      <c r="J80" s="16">
        <f t="shared" si="11"/>
        <v>3273.8599999999997</v>
      </c>
      <c r="K80" s="16">
        <f t="shared" si="11"/>
        <v>2297.2800000000002</v>
      </c>
      <c r="L80" s="16">
        <f t="shared" si="11"/>
        <v>2585.48</v>
      </c>
      <c r="M80" s="124">
        <f t="shared" si="11"/>
        <v>3035.5900000000006</v>
      </c>
      <c r="N80" s="195">
        <f>+((M80-L80)*(1+Supuestos!E5))+M80</f>
        <v>3497.4028600000011</v>
      </c>
      <c r="O80" s="195">
        <f>+((N80-M80)*(1+Supuestos!F5))+N80</f>
        <v>3975.6562578160015</v>
      </c>
      <c r="P80" s="195">
        <f>+((O80-N80)*(1+Supuestos!G5))+O80</f>
        <v>4468.5442096051711</v>
      </c>
      <c r="Q80" s="195">
        <f>+((P80-O80)*(1+Supuestos!H5))+P80</f>
        <v>4976.9088430805205</v>
      </c>
      <c r="R80" s="195">
        <f>+((Q80-P80)*(1+Supuestos!I5))+Q80</f>
        <v>5501.0327801936055</v>
      </c>
      <c r="S80" s="195">
        <f>+((R80-Q80)*(1+Supuestos!J5))+R80</f>
        <v>6041.1949097823508</v>
      </c>
      <c r="T80" s="195">
        <f>+((S80-R80)*(1+Supuestos!K5))+S80</f>
        <v>6597.8860005365113</v>
      </c>
      <c r="U80" s="195">
        <f>+((T80-S80)*(1+Supuestos!L5))+T80</f>
        <v>7171.611838667749</v>
      </c>
      <c r="V80" s="300"/>
      <c r="W80" s="325">
        <f>+N80/M80-1</f>
        <v>0.15213281767300613</v>
      </c>
      <c r="X80" s="325">
        <f t="shared" ref="X80" si="12">+O80/N80-1</f>
        <v>0.13674529842867456</v>
      </c>
      <c r="Y80" s="325">
        <f t="shared" ref="Y80" si="13">+P80/O80-1</f>
        <v>0.12397650094123924</v>
      </c>
      <c r="Z80" s="325">
        <f t="shared" ref="Z80" si="14">+Q80/P80-1</f>
        <v>0.11376515697945111</v>
      </c>
      <c r="AA80" s="325">
        <f t="shared" ref="AA80" si="15">+R80/Q80-1</f>
        <v>0.10531113862810315</v>
      </c>
      <c r="AB80" s="325">
        <f t="shared" ref="AB80" si="16">+S80/R80-1</f>
        <v>9.8192857809099365E-2</v>
      </c>
      <c r="AC80" s="325">
        <f t="shared" ref="AC80" si="17">+T80/S80-1</f>
        <v>9.2149169008390208E-2</v>
      </c>
      <c r="AD80" s="325">
        <f>+U80/T80-1</f>
        <v>8.6956009558907921E-2</v>
      </c>
    </row>
    <row r="81" spans="2:22" x14ac:dyDescent="0.25">
      <c r="B81" s="6" t="s">
        <v>71</v>
      </c>
      <c r="C81" s="13">
        <v>210000</v>
      </c>
      <c r="D81" s="17">
        <f>+SUM(D82:D83)</f>
        <v>0</v>
      </c>
      <c r="E81" s="17">
        <f t="shared" ref="E81:M81" si="18">+SUM(E82:E83)</f>
        <v>0</v>
      </c>
      <c r="F81" s="17">
        <f t="shared" si="18"/>
        <v>3021.56</v>
      </c>
      <c r="G81" s="17">
        <f t="shared" si="18"/>
        <v>0.2</v>
      </c>
      <c r="H81" s="17">
        <f t="shared" si="18"/>
        <v>133.86000000000001</v>
      </c>
      <c r="I81" s="17">
        <f t="shared" si="18"/>
        <v>71.48</v>
      </c>
      <c r="J81" s="17">
        <f t="shared" si="18"/>
        <v>0</v>
      </c>
      <c r="K81" s="17">
        <f t="shared" si="18"/>
        <v>0</v>
      </c>
      <c r="L81" s="17">
        <f t="shared" si="18"/>
        <v>29.15</v>
      </c>
      <c r="M81" s="125">
        <f t="shared" si="18"/>
        <v>0</v>
      </c>
      <c r="N81" s="172">
        <f>+N$80*EEFFHist!$Y86</f>
        <v>13.143825436540478</v>
      </c>
      <c r="O81" s="172">
        <f>+O$80*EEFFHist!$Y86</f>
        <v>14.94118176835461</v>
      </c>
      <c r="P81" s="172">
        <f>+P$80*EEFFHist!$Y86</f>
        <v>16.793537203922256</v>
      </c>
      <c r="Q81" s="172">
        <f>+Q$80*EEFFHist!$Y86</f>
        <v>18.704056600166719</v>
      </c>
      <c r="R81" s="172">
        <f>+R$80*EEFFHist!$Y86</f>
        <v>20.673802097694765</v>
      </c>
      <c r="S81" s="172">
        <f>+S$80*EEFFHist!$Y86</f>
        <v>22.703821807447166</v>
      </c>
      <c r="T81" s="172">
        <f>+T$80*EEFFHist!$Y86</f>
        <v>24.795960120317993</v>
      </c>
      <c r="U81" s="172">
        <f>+U$80*EEFFHist!$Y86</f>
        <v>26.952117865562663</v>
      </c>
      <c r="V81" s="300"/>
    </row>
    <row r="82" spans="2:22" x14ac:dyDescent="0.25">
      <c r="B82" s="7" t="s">
        <v>72</v>
      </c>
      <c r="C82" s="14">
        <v>210500</v>
      </c>
      <c r="D82" s="19">
        <v>0</v>
      </c>
      <c r="E82" s="19">
        <v>0</v>
      </c>
      <c r="F82" s="19">
        <v>3021.56</v>
      </c>
      <c r="G82" s="19">
        <v>0.2</v>
      </c>
      <c r="H82" s="19">
        <v>0</v>
      </c>
      <c r="I82" s="19"/>
      <c r="J82" s="19">
        <v>0</v>
      </c>
      <c r="K82" s="19">
        <v>0</v>
      </c>
      <c r="L82" s="19">
        <v>29.15</v>
      </c>
      <c r="M82" s="126">
        <v>0</v>
      </c>
      <c r="N82" s="164">
        <f t="shared" ref="N82:S82" si="19">+N81</f>
        <v>13.143825436540478</v>
      </c>
      <c r="O82" s="164">
        <f t="shared" si="19"/>
        <v>14.94118176835461</v>
      </c>
      <c r="P82" s="164">
        <f t="shared" si="19"/>
        <v>16.793537203922256</v>
      </c>
      <c r="Q82" s="164">
        <f t="shared" si="19"/>
        <v>18.704056600166719</v>
      </c>
      <c r="R82" s="164">
        <f t="shared" si="19"/>
        <v>20.673802097694765</v>
      </c>
      <c r="S82" s="164">
        <f t="shared" si="19"/>
        <v>22.703821807447166</v>
      </c>
      <c r="T82" s="164">
        <f>+T81</f>
        <v>24.795960120317993</v>
      </c>
      <c r="U82" s="164">
        <f>+U81</f>
        <v>26.952117865562663</v>
      </c>
      <c r="V82" s="331"/>
    </row>
    <row r="83" spans="2:22" x14ac:dyDescent="0.25">
      <c r="B83" s="7" t="s">
        <v>171</v>
      </c>
      <c r="C83" s="14">
        <v>211500</v>
      </c>
      <c r="D83" s="19">
        <v>0</v>
      </c>
      <c r="E83" s="19">
        <v>0</v>
      </c>
      <c r="F83" s="19">
        <v>0</v>
      </c>
      <c r="G83" s="19">
        <v>0</v>
      </c>
      <c r="H83" s="19">
        <v>133.86000000000001</v>
      </c>
      <c r="I83" s="19">
        <v>71.48</v>
      </c>
      <c r="J83" s="19">
        <v>0</v>
      </c>
      <c r="K83" s="19">
        <v>0</v>
      </c>
      <c r="L83" s="19">
        <v>0</v>
      </c>
      <c r="M83" s="126">
        <v>0</v>
      </c>
      <c r="N83" s="164">
        <v>0</v>
      </c>
      <c r="O83" s="164">
        <v>0</v>
      </c>
      <c r="P83" s="164">
        <v>0</v>
      </c>
      <c r="Q83" s="164">
        <v>0</v>
      </c>
      <c r="R83" s="164">
        <v>0</v>
      </c>
      <c r="S83" s="164">
        <v>1</v>
      </c>
      <c r="T83" s="164">
        <v>2</v>
      </c>
      <c r="U83" s="164">
        <v>3</v>
      </c>
      <c r="V83" s="331"/>
    </row>
    <row r="84" spans="2:22" x14ac:dyDescent="0.25">
      <c r="B84" s="6" t="s">
        <v>73</v>
      </c>
      <c r="C84" s="13">
        <v>230000</v>
      </c>
      <c r="D84" s="17">
        <f t="shared" ref="D84:M84" si="20">+SUM(D85:D92)</f>
        <v>709.94</v>
      </c>
      <c r="E84" s="17">
        <f t="shared" si="20"/>
        <v>518.31999999999994</v>
      </c>
      <c r="F84" s="17">
        <f t="shared" si="20"/>
        <v>670.24000000000012</v>
      </c>
      <c r="G84" s="17">
        <f t="shared" si="20"/>
        <v>724.46999999999991</v>
      </c>
      <c r="H84" s="17">
        <f t="shared" si="20"/>
        <v>1760.6</v>
      </c>
      <c r="I84" s="17">
        <f t="shared" si="20"/>
        <v>2497.4300000000003</v>
      </c>
      <c r="J84" s="17">
        <f t="shared" si="20"/>
        <v>1506.9099999999999</v>
      </c>
      <c r="K84" s="17">
        <f t="shared" si="20"/>
        <v>1128.4100000000001</v>
      </c>
      <c r="L84" s="17">
        <f t="shared" si="20"/>
        <v>748.85</v>
      </c>
      <c r="M84" s="125">
        <f t="shared" si="20"/>
        <v>784.21</v>
      </c>
      <c r="N84" s="172">
        <f>+N$80*EEFFHist!$Y89</f>
        <v>1211.4645034290563</v>
      </c>
      <c r="O84" s="172">
        <f>+O$80*EEFFHist!$Y89</f>
        <v>1377.1265784862087</v>
      </c>
      <c r="P84" s="172">
        <f>+P$80*EEFFHist!$Y89</f>
        <v>1547.8579130401099</v>
      </c>
      <c r="Q84" s="172">
        <f>+Q$80*EEFFHist!$Y89</f>
        <v>1723.9502114990034</v>
      </c>
      <c r="R84" s="172">
        <f>+R$80*EEFFHist!$Y89</f>
        <v>1905.5013712101227</v>
      </c>
      <c r="S84" s="172">
        <f>+S$80*EEFFHist!$Y89</f>
        <v>2092.6079964084024</v>
      </c>
      <c r="T84" s="172">
        <f>+T$80*EEFFHist!$Y89</f>
        <v>2285.4400843377489</v>
      </c>
      <c r="U84" s="172">
        <f>+U$80*EEFFHist!$Y89</f>
        <v>2484.1728341577336</v>
      </c>
      <c r="V84" s="300"/>
    </row>
    <row r="85" spans="2:22" x14ac:dyDescent="0.25">
      <c r="B85" s="7" t="s">
        <v>74</v>
      </c>
      <c r="C85" s="14">
        <v>230500</v>
      </c>
      <c r="D85" s="19">
        <v>185.07</v>
      </c>
      <c r="E85" s="19">
        <v>96.96</v>
      </c>
      <c r="F85" s="19">
        <v>117.53</v>
      </c>
      <c r="G85" s="19">
        <v>139.65</v>
      </c>
      <c r="H85" s="19">
        <v>42.89</v>
      </c>
      <c r="I85" s="19">
        <v>0</v>
      </c>
      <c r="J85" s="19">
        <v>0</v>
      </c>
      <c r="K85" s="19">
        <v>0</v>
      </c>
      <c r="L85" s="19">
        <v>0</v>
      </c>
      <c r="M85" s="126">
        <v>0</v>
      </c>
      <c r="N85" s="164">
        <f>+N$84*EEFFHist!$Y90</f>
        <v>0</v>
      </c>
      <c r="O85" s="164">
        <f>+O$84*EEFFHist!$Y90</f>
        <v>0</v>
      </c>
      <c r="P85" s="164">
        <f>+P$84*EEFFHist!$Y90</f>
        <v>0</v>
      </c>
      <c r="Q85" s="164">
        <f>+Q$84*EEFFHist!$Y90</f>
        <v>0</v>
      </c>
      <c r="R85" s="164">
        <f>+R$84*EEFFHist!$Y90</f>
        <v>0</v>
      </c>
      <c r="S85" s="164">
        <f>+S$84*EEFFHist!$Y90</f>
        <v>0</v>
      </c>
      <c r="T85" s="164">
        <f>+T$84*EEFFHist!$Y90</f>
        <v>0</v>
      </c>
      <c r="U85" s="164">
        <f>+U$84*EEFFHist!$Y90</f>
        <v>0</v>
      </c>
      <c r="V85" s="331"/>
    </row>
    <row r="86" spans="2:22" x14ac:dyDescent="0.25">
      <c r="B86" s="7" t="s">
        <v>75</v>
      </c>
      <c r="C86" s="14">
        <v>232500</v>
      </c>
      <c r="D86" s="19">
        <v>205.4</v>
      </c>
      <c r="E86" s="19">
        <v>57.1</v>
      </c>
      <c r="F86" s="19">
        <v>214.56</v>
      </c>
      <c r="G86" s="19">
        <v>157.88</v>
      </c>
      <c r="H86" s="19">
        <v>549.88</v>
      </c>
      <c r="I86" s="19">
        <v>996.84</v>
      </c>
      <c r="J86" s="19">
        <v>541.19000000000005</v>
      </c>
      <c r="K86" s="19">
        <v>384.13</v>
      </c>
      <c r="L86" s="19">
        <v>261.57</v>
      </c>
      <c r="M86" s="126">
        <v>270.69</v>
      </c>
      <c r="N86" s="164">
        <f>+N$84*EEFFHist!$Y91</f>
        <v>417.91003900422618</v>
      </c>
      <c r="O86" s="164">
        <f>+O$84*EEFFHist!$Y91</f>
        <v>475.05727200419813</v>
      </c>
      <c r="P86" s="164">
        <f>+P$84*EEFFHist!$Y91</f>
        <v>533.9532103339692</v>
      </c>
      <c r="Q86" s="164">
        <f>+Q$84*EEFFHist!$Y91</f>
        <v>594.69848112729505</v>
      </c>
      <c r="R86" s="164">
        <f>+R$84*EEFFHist!$Y91</f>
        <v>657.32685531521395</v>
      </c>
      <c r="S86" s="164">
        <f>+S$84*EEFFHist!$Y91</f>
        <v>721.87165775328333</v>
      </c>
      <c r="T86" s="164">
        <f>+T$84*EEFFHist!$Y91</f>
        <v>788.3915311459574</v>
      </c>
      <c r="U86" s="164">
        <f>+U$84*EEFFHist!$Y91</f>
        <v>856.94691266444738</v>
      </c>
      <c r="V86" s="331"/>
    </row>
    <row r="87" spans="2:22" x14ac:dyDescent="0.25">
      <c r="B87" s="7" t="s">
        <v>82</v>
      </c>
      <c r="C87" s="14">
        <v>233500</v>
      </c>
      <c r="D87" s="19">
        <v>52.74</v>
      </c>
      <c r="E87" s="19">
        <v>64.900000000000006</v>
      </c>
      <c r="F87" s="19">
        <v>86.87</v>
      </c>
      <c r="G87" s="19">
        <v>104.57</v>
      </c>
      <c r="H87" s="19">
        <v>104.41</v>
      </c>
      <c r="I87" s="19">
        <v>117.34</v>
      </c>
      <c r="J87" s="19">
        <v>147.63999999999999</v>
      </c>
      <c r="K87" s="19">
        <v>98.23</v>
      </c>
      <c r="L87" s="19">
        <v>95.75</v>
      </c>
      <c r="M87" s="126">
        <v>92.7</v>
      </c>
      <c r="N87" s="164">
        <f>+N$84*EEFFHist!$Y92</f>
        <v>134.52204742676321</v>
      </c>
      <c r="O87" s="164">
        <f>+O$84*EEFFHist!$Y92</f>
        <v>152.91730494737226</v>
      </c>
      <c r="P87" s="164">
        <f>+P$84*EEFFHist!$Y92</f>
        <v>171.87545734811195</v>
      </c>
      <c r="Q87" s="164">
        <f>+Q$84*EEFFHist!$Y92</f>
        <v>191.42889573423486</v>
      </c>
      <c r="R87" s="164">
        <f>+R$84*EEFFHist!$Y92</f>
        <v>211.58849071032756</v>
      </c>
      <c r="S87" s="164">
        <f>+S$84*EEFFHist!$Y92</f>
        <v>232.36496929268873</v>
      </c>
      <c r="T87" s="164">
        <f>+T$84*EEFFHist!$Y92</f>
        <v>253.77720811967006</v>
      </c>
      <c r="U87" s="164">
        <f>+U$84*EEFFHist!$Y92</f>
        <v>275.8446614547571</v>
      </c>
      <c r="V87" s="331"/>
    </row>
    <row r="88" spans="2:22" x14ac:dyDescent="0.25">
      <c r="B88" s="7" t="s">
        <v>430</v>
      </c>
      <c r="C88" s="14">
        <v>234000</v>
      </c>
      <c r="D88" s="19">
        <v>177.5</v>
      </c>
      <c r="E88" s="19">
        <v>222.87</v>
      </c>
      <c r="F88" s="19">
        <v>174.87</v>
      </c>
      <c r="G88" s="19">
        <v>229.58</v>
      </c>
      <c r="H88" s="19">
        <v>534.4</v>
      </c>
      <c r="I88" s="19">
        <v>749.86</v>
      </c>
      <c r="J88" s="19">
        <v>413.5</v>
      </c>
      <c r="K88" s="19">
        <v>277.87</v>
      </c>
      <c r="L88" s="19">
        <v>119.25</v>
      </c>
      <c r="M88" s="126">
        <v>125.1</v>
      </c>
      <c r="N88" s="164">
        <f>+N$84*EEFFHist!$Y93</f>
        <v>228.16598017012802</v>
      </c>
      <c r="O88" s="164">
        <f>+O$84*EEFFHist!$Y93</f>
        <v>259.36660521976324</v>
      </c>
      <c r="P88" s="164">
        <f>+P$84*EEFFHist!$Y93</f>
        <v>291.52196939591727</v>
      </c>
      <c r="Q88" s="164">
        <f>+Q$84*EEFFHist!$Y93</f>
        <v>324.6870120072025</v>
      </c>
      <c r="R88" s="164">
        <f>+R$84*EEFFHist!$Y93</f>
        <v>358.88017093943756</v>
      </c>
      <c r="S88" s="164">
        <f>+S$84*EEFFHist!$Y93</f>
        <v>394.11964053499912</v>
      </c>
      <c r="T88" s="164">
        <f>+T$84*EEFFHist!$Y93</f>
        <v>430.4374379001847</v>
      </c>
      <c r="U88" s="164">
        <f>+U$84*EEFFHist!$Y93</f>
        <v>467.866559864745</v>
      </c>
      <c r="V88" s="331"/>
    </row>
    <row r="89" spans="2:22" x14ac:dyDescent="0.25">
      <c r="B89" s="7" t="s">
        <v>83</v>
      </c>
      <c r="C89" s="14">
        <v>234100</v>
      </c>
      <c r="D89" s="19">
        <v>70.91</v>
      </c>
      <c r="E89" s="19">
        <v>61.68</v>
      </c>
      <c r="F89" s="19">
        <v>63.6</v>
      </c>
      <c r="G89" s="19">
        <v>86.5</v>
      </c>
      <c r="H89" s="19">
        <v>243.43</v>
      </c>
      <c r="I89" s="19">
        <v>300.20999999999998</v>
      </c>
      <c r="J89" s="19">
        <v>162.91999999999999</v>
      </c>
      <c r="K89" s="19">
        <v>143.38999999999999</v>
      </c>
      <c r="L89" s="19">
        <v>10.85</v>
      </c>
      <c r="M89" s="126">
        <v>15.66</v>
      </c>
      <c r="N89" s="164">
        <f>+N$84*EEFFHist!$Y94</f>
        <v>65.229541673250424</v>
      </c>
      <c r="O89" s="164">
        <f>+O$84*EEFFHist!$Y94</f>
        <v>74.149374815724727</v>
      </c>
      <c r="P89" s="164">
        <f>+P$84*EEFFHist!$Y94</f>
        <v>83.342154852358732</v>
      </c>
      <c r="Q89" s="164">
        <f>+Q$84*EEFFHist!$Y94</f>
        <v>92.823588182143041</v>
      </c>
      <c r="R89" s="164">
        <f>+R$84*EEFFHist!$Y94</f>
        <v>102.59894594515066</v>
      </c>
      <c r="S89" s="164">
        <f>+S$84*EEFFHist!$Y94</f>
        <v>112.67342965570633</v>
      </c>
      <c r="T89" s="164">
        <f>+T$84*EEFFHist!$Y94</f>
        <v>123.05619256780496</v>
      </c>
      <c r="U89" s="164">
        <f>+U$84*EEFFHist!$Y94</f>
        <v>133.75666802501382</v>
      </c>
      <c r="V89" s="331"/>
    </row>
    <row r="90" spans="2:22" x14ac:dyDescent="0.25">
      <c r="B90" s="7" t="s">
        <v>84</v>
      </c>
      <c r="C90" s="14">
        <v>234200</v>
      </c>
      <c r="D90" s="19">
        <v>15.71</v>
      </c>
      <c r="E90" s="19">
        <v>11</v>
      </c>
      <c r="F90" s="19">
        <v>12.74</v>
      </c>
      <c r="G90" s="19">
        <v>5.0199999999999996</v>
      </c>
      <c r="H90" s="19">
        <v>11.97</v>
      </c>
      <c r="I90" s="19">
        <v>18.850000000000001</v>
      </c>
      <c r="J90" s="19">
        <v>9.33</v>
      </c>
      <c r="K90" s="19">
        <v>5.0199999999999996</v>
      </c>
      <c r="L90" s="19">
        <v>2.39</v>
      </c>
      <c r="M90" s="126">
        <v>3.15</v>
      </c>
      <c r="N90" s="164">
        <f>+N$84*EEFFHist!$Y95</f>
        <v>4.7073792280119413</v>
      </c>
      <c r="O90" s="164">
        <f>+O$84*EEFFHist!$Y95</f>
        <v>5.3510912053633781</v>
      </c>
      <c r="P90" s="164">
        <f>+P$84*EEFFHist!$Y95</f>
        <v>6.0145007692217689</v>
      </c>
      <c r="Q90" s="164">
        <f>+Q$84*EEFFHist!$Y95</f>
        <v>6.6987413933853119</v>
      </c>
      <c r="R90" s="164">
        <f>+R$84*EEFFHist!$Y95</f>
        <v>7.4041934768979258</v>
      </c>
      <c r="S90" s="164">
        <f>+S$84*EEFFHist!$Y95</f>
        <v>8.1312323941660249</v>
      </c>
      <c r="T90" s="164">
        <f>+T$84*EEFFHist!$Y95</f>
        <v>8.8805187023025276</v>
      </c>
      <c r="U90" s="164">
        <f>+U$84*EEFFHist!$Y95</f>
        <v>9.6527331714680074</v>
      </c>
      <c r="V90" s="331"/>
    </row>
    <row r="91" spans="2:22" x14ac:dyDescent="0.25">
      <c r="B91" s="7" t="s">
        <v>85</v>
      </c>
      <c r="C91" s="14">
        <v>234500</v>
      </c>
      <c r="D91" s="19">
        <v>2.61</v>
      </c>
      <c r="E91" s="19">
        <v>3.81</v>
      </c>
      <c r="F91" s="19">
        <v>7.0000000000000007E-2</v>
      </c>
      <c r="G91" s="19">
        <v>0.35</v>
      </c>
      <c r="H91" s="19">
        <v>2.12</v>
      </c>
      <c r="I91" s="19">
        <v>6.3</v>
      </c>
      <c r="J91" s="19">
        <v>16.52</v>
      </c>
      <c r="K91" s="19">
        <v>15.23</v>
      </c>
      <c r="L91" s="19">
        <v>14.94</v>
      </c>
      <c r="M91" s="126">
        <v>15.77</v>
      </c>
      <c r="N91" s="164">
        <f>+N$84*EEFFHist!$Y96</f>
        <v>21.627414690488052</v>
      </c>
      <c r="O91" s="164">
        <f>+O$84*EEFFHist!$Y96</f>
        <v>24.584861966579545</v>
      </c>
      <c r="P91" s="164">
        <f>+P$84*EEFFHist!$Y96</f>
        <v>27.632807129319431</v>
      </c>
      <c r="Q91" s="164">
        <f>+Q$84*EEFFHist!$Y96</f>
        <v>30.776457770169351</v>
      </c>
      <c r="R91" s="164">
        <f>+R$84*EEFFHist!$Y96</f>
        <v>34.017561580885619</v>
      </c>
      <c r="S91" s="164">
        <f>+S$84*EEFFHist!$Y96</f>
        <v>37.357843168209804</v>
      </c>
      <c r="T91" s="164">
        <f>+T$84*EEFFHist!$Y96</f>
        <v>40.8003373721061</v>
      </c>
      <c r="U91" s="164">
        <f>+U$84*EEFFHist!$Y96</f>
        <v>44.348171898641631</v>
      </c>
      <c r="V91" s="331"/>
    </row>
    <row r="92" spans="2:22" x14ac:dyDescent="0.25">
      <c r="B92" s="7" t="s">
        <v>86</v>
      </c>
      <c r="C92" s="14">
        <v>235000</v>
      </c>
      <c r="D92" s="19">
        <v>0</v>
      </c>
      <c r="E92" s="19">
        <v>0</v>
      </c>
      <c r="F92" s="19">
        <v>0</v>
      </c>
      <c r="G92" s="19">
        <v>0.92</v>
      </c>
      <c r="H92" s="19">
        <v>271.5</v>
      </c>
      <c r="I92" s="19">
        <v>308.02999999999997</v>
      </c>
      <c r="J92" s="19">
        <v>215.81</v>
      </c>
      <c r="K92" s="19">
        <v>204.54</v>
      </c>
      <c r="L92" s="19">
        <v>244.1</v>
      </c>
      <c r="M92" s="126">
        <v>261.14</v>
      </c>
      <c r="N92" s="164">
        <f>+N$84*EEFFHist!$Y97</f>
        <v>339.30210123618832</v>
      </c>
      <c r="O92" s="164">
        <f>+O$84*EEFFHist!$Y97</f>
        <v>385.70006832720725</v>
      </c>
      <c r="P92" s="164">
        <f>+P$84*EEFFHist!$Y97</f>
        <v>433.51781321121138</v>
      </c>
      <c r="Q92" s="164">
        <f>+Q$84*EEFFHist!$Y97</f>
        <v>482.83703528457318</v>
      </c>
      <c r="R92" s="164">
        <f>+R$84*EEFFHist!$Y97</f>
        <v>533.68515324220914</v>
      </c>
      <c r="S92" s="164">
        <f>+S$84*EEFFHist!$Y97</f>
        <v>586.08922360934889</v>
      </c>
      <c r="T92" s="164">
        <f>+T$84*EEFFHist!$Y97</f>
        <v>640.09685852972291</v>
      </c>
      <c r="U92" s="164">
        <f>+U$84*EEFFHist!$Y97</f>
        <v>695.75712707866046</v>
      </c>
      <c r="V92" s="331"/>
    </row>
    <row r="93" spans="2:22" x14ac:dyDescent="0.25">
      <c r="B93" s="6" t="s">
        <v>431</v>
      </c>
      <c r="C93" s="13">
        <v>240000</v>
      </c>
      <c r="D93" s="17">
        <f t="shared" ref="D93:M93" si="21">+SUM(D94:D96)</f>
        <v>191.48</v>
      </c>
      <c r="E93" s="17">
        <f t="shared" si="21"/>
        <v>292.65999999999997</v>
      </c>
      <c r="F93" s="17">
        <f t="shared" si="21"/>
        <v>225.95999999999998</v>
      </c>
      <c r="G93" s="17">
        <f t="shared" si="21"/>
        <v>152.21</v>
      </c>
      <c r="H93" s="17">
        <f t="shared" si="21"/>
        <v>506.31</v>
      </c>
      <c r="I93" s="17">
        <f t="shared" si="21"/>
        <v>2783.2599999999998</v>
      </c>
      <c r="J93" s="17">
        <f t="shared" si="21"/>
        <v>1182.3199999999997</v>
      </c>
      <c r="K93" s="17">
        <f t="shared" si="21"/>
        <v>464.4</v>
      </c>
      <c r="L93" s="17">
        <f t="shared" si="21"/>
        <v>1268.44</v>
      </c>
      <c r="M93" s="125">
        <f t="shared" si="21"/>
        <v>1681.68</v>
      </c>
      <c r="N93" s="172">
        <f>+N$80*EEFFHist!$Y98</f>
        <v>1453.4522264832765</v>
      </c>
      <c r="O93" s="172">
        <f>+O$80*EEFFHist!$Y98</f>
        <v>1652.2049849455539</v>
      </c>
      <c r="P93" s="172">
        <f>+P$80*EEFFHist!$Y98</f>
        <v>1857.0395778167765</v>
      </c>
      <c r="Q93" s="172">
        <f>+Q$80*EEFFHist!$Y98</f>
        <v>2068.3059769041556</v>
      </c>
      <c r="R93" s="172">
        <f>+R$80*EEFFHist!$Y98</f>
        <v>2286.1216343632436</v>
      </c>
      <c r="S93" s="172">
        <f>+S$80*EEFFHist!$Y98</f>
        <v>2510.6024509405793</v>
      </c>
      <c r="T93" s="172">
        <f>+T$80*EEFFHist!$Y98</f>
        <v>2741.9523805051813</v>
      </c>
      <c r="U93" s="172">
        <f>+U$80*EEFFHist!$Y98</f>
        <v>2980.3816179144605</v>
      </c>
      <c r="V93" s="300"/>
    </row>
    <row r="94" spans="2:22" x14ac:dyDescent="0.25">
      <c r="B94" s="7" t="s">
        <v>88</v>
      </c>
      <c r="C94" s="14">
        <v>240400</v>
      </c>
      <c r="D94" s="19">
        <v>191.48</v>
      </c>
      <c r="E94" s="19">
        <v>290.95999999999998</v>
      </c>
      <c r="F94" s="19">
        <v>205.95</v>
      </c>
      <c r="G94" s="19">
        <v>134.56</v>
      </c>
      <c r="H94" s="19">
        <v>192.34</v>
      </c>
      <c r="I94" s="19">
        <v>724.69</v>
      </c>
      <c r="J94" s="19">
        <v>571.14</v>
      </c>
      <c r="K94" s="19">
        <v>425.57</v>
      </c>
      <c r="L94" s="19">
        <v>412.84</v>
      </c>
      <c r="M94" s="126">
        <v>499.41</v>
      </c>
      <c r="N94" s="164">
        <f>+N$93*EEFFHist!$Y99</f>
        <v>745.53779595027856</v>
      </c>
      <c r="O94" s="164">
        <f>+O$93*EEFFHist!$Y99</f>
        <v>847.48658434735592</v>
      </c>
      <c r="P94" s="164">
        <f>+P$93*EEFFHist!$Y99</f>
        <v>952.55500566938349</v>
      </c>
      <c r="Q94" s="164">
        <f>+Q$93*EEFFHist!$Y99</f>
        <v>1060.9225754209228</v>
      </c>
      <c r="R94" s="164">
        <f>+R$93*EEFFHist!$Y99</f>
        <v>1172.6495398347599</v>
      </c>
      <c r="S94" s="164">
        <f>+S$93*EEFFHist!$Y99</f>
        <v>1287.7953493596601</v>
      </c>
      <c r="T94" s="164">
        <f>+T$93*EEFFHist!$Y99</f>
        <v>1406.4646206560224</v>
      </c>
      <c r="U94" s="164">
        <f>+U$93*EEFFHist!$Y99</f>
        <v>1528.7651716540533</v>
      </c>
      <c r="V94" s="331"/>
    </row>
    <row r="95" spans="2:22" x14ac:dyDescent="0.25">
      <c r="B95" s="7" t="s">
        <v>89</v>
      </c>
      <c r="C95" s="14">
        <v>240800</v>
      </c>
      <c r="D95" s="19">
        <v>0</v>
      </c>
      <c r="E95" s="19">
        <v>0</v>
      </c>
      <c r="F95" s="19"/>
      <c r="G95" s="19">
        <v>0</v>
      </c>
      <c r="H95" s="19">
        <v>284.17</v>
      </c>
      <c r="I95" s="19">
        <v>1998.1</v>
      </c>
      <c r="J95" s="19">
        <v>558.80999999999995</v>
      </c>
      <c r="K95" s="19">
        <v>0</v>
      </c>
      <c r="L95" s="19">
        <v>812.18</v>
      </c>
      <c r="M95" s="126">
        <v>1139.69</v>
      </c>
      <c r="N95" s="164">
        <f>+N$93*EEFFHist!$Y100</f>
        <v>638.55365228396477</v>
      </c>
      <c r="O95" s="164">
        <f>+O$93*EEFFHist!$Y100</f>
        <v>725.87286202825578</v>
      </c>
      <c r="P95" s="164">
        <f>+P$93*EEFFHist!$Y100</f>
        <v>815.86403959072186</v>
      </c>
      <c r="Q95" s="164">
        <f>+Q$93*EEFFHist!$Y100</f>
        <v>908.68094012864935</v>
      </c>
      <c r="R95" s="164">
        <f>+R$93*EEFFHist!$Y100</f>
        <v>1004.3751645832527</v>
      </c>
      <c r="S95" s="164">
        <f>+S$93*EEFFHist!$Y100</f>
        <v>1102.9976323061669</v>
      </c>
      <c r="T95" s="164">
        <f>+T$93*EEFFHist!$Y100</f>
        <v>1204.6379475414019</v>
      </c>
      <c r="U95" s="164">
        <f>+U$93*EEFFHist!$Y100</f>
        <v>1309.3884564228356</v>
      </c>
      <c r="V95" s="331"/>
    </row>
    <row r="96" spans="2:22" x14ac:dyDescent="0.25">
      <c r="B96" s="7" t="s">
        <v>90</v>
      </c>
      <c r="C96" s="14">
        <v>241200</v>
      </c>
      <c r="D96" s="19">
        <v>0</v>
      </c>
      <c r="E96" s="19">
        <v>1.7</v>
      </c>
      <c r="F96" s="19">
        <v>20.010000000000002</v>
      </c>
      <c r="G96" s="19">
        <v>17.649999999999999</v>
      </c>
      <c r="H96" s="19">
        <v>29.8</v>
      </c>
      <c r="I96" s="19">
        <v>60.47</v>
      </c>
      <c r="J96" s="19">
        <v>52.37</v>
      </c>
      <c r="K96" s="19">
        <v>38.83</v>
      </c>
      <c r="L96" s="19">
        <v>43.42</v>
      </c>
      <c r="M96" s="126">
        <v>42.58</v>
      </c>
      <c r="N96" s="164">
        <f>+N$93*EEFFHist!$Y101</f>
        <v>69.36077824903299</v>
      </c>
      <c r="O96" s="164">
        <f>+O$93*EEFFHist!$Y101</f>
        <v>78.845538569942136</v>
      </c>
      <c r="P96" s="164">
        <f>+P$93*EEFFHist!$Y101</f>
        <v>88.620532556671094</v>
      </c>
      <c r="Q96" s="164">
        <f>+Q$93*EEFFHist!$Y101</f>
        <v>98.702461354583335</v>
      </c>
      <c r="R96" s="164">
        <f>+R$93*EEFFHist!$Y101</f>
        <v>109.09692994523085</v>
      </c>
      <c r="S96" s="164">
        <f>+S$93*EEFFHist!$Y101</f>
        <v>119.80946927475217</v>
      </c>
      <c r="T96" s="164">
        <f>+T$93*EEFFHist!$Y101</f>
        <v>130.84981230775685</v>
      </c>
      <c r="U96" s="164">
        <f>+U$93*EEFFHist!$Y101</f>
        <v>142.22798983757147</v>
      </c>
      <c r="V96" s="331"/>
    </row>
    <row r="97" spans="2:22" x14ac:dyDescent="0.25">
      <c r="B97" s="6" t="s">
        <v>91</v>
      </c>
      <c r="C97" s="13">
        <v>250000</v>
      </c>
      <c r="D97" s="17">
        <f t="shared" ref="D97:M97" si="22">+SUM(D98:D103)</f>
        <v>130.46</v>
      </c>
      <c r="E97" s="17">
        <f t="shared" si="22"/>
        <v>139.13</v>
      </c>
      <c r="F97" s="17">
        <f t="shared" si="22"/>
        <v>176.35000000000127</v>
      </c>
      <c r="G97" s="17">
        <f t="shared" si="22"/>
        <v>259.14</v>
      </c>
      <c r="H97" s="17">
        <f t="shared" si="22"/>
        <v>264.72000000000003</v>
      </c>
      <c r="I97" s="17">
        <f t="shared" si="22"/>
        <v>403.66999999999996</v>
      </c>
      <c r="J97" s="17">
        <f t="shared" si="22"/>
        <v>462.30999999999995</v>
      </c>
      <c r="K97" s="17">
        <f t="shared" si="22"/>
        <v>490.07</v>
      </c>
      <c r="L97" s="17">
        <f t="shared" si="22"/>
        <v>386.19</v>
      </c>
      <c r="M97" s="125">
        <f t="shared" si="22"/>
        <v>438.92</v>
      </c>
      <c r="N97" s="172">
        <f>+N$80*EEFFHist!$Y102</f>
        <v>591.39486211564474</v>
      </c>
      <c r="O97" s="172">
        <f>+O$80*EEFFHist!$Y102</f>
        <v>672.26532902483348</v>
      </c>
      <c r="P97" s="172">
        <f>+P$80*EEFFHist!$Y102</f>
        <v>755.61043222144338</v>
      </c>
      <c r="Q97" s="172">
        <f>+Q$80*EEFFHist!$Y102</f>
        <v>841.57257165842668</v>
      </c>
      <c r="R97" s="172">
        <f>+R$80*EEFFHist!$Y102</f>
        <v>930.19953741795655</v>
      </c>
      <c r="S97" s="172">
        <f>+S$80*EEFFHist!$Y102</f>
        <v>1021.5384883297279</v>
      </c>
      <c r="T97" s="172">
        <f>+T$80*EEFFHist!$Y102</f>
        <v>1115.6724111393994</v>
      </c>
      <c r="U97" s="172">
        <f>+U$80*EEFFHist!$Y102</f>
        <v>1212.6868319870471</v>
      </c>
      <c r="V97" s="300"/>
    </row>
    <row r="98" spans="2:22" x14ac:dyDescent="0.25">
      <c r="B98" s="7" t="s">
        <v>92</v>
      </c>
      <c r="C98" s="14">
        <v>250500</v>
      </c>
      <c r="D98" s="19">
        <v>0.06</v>
      </c>
      <c r="E98" s="19">
        <v>0</v>
      </c>
      <c r="F98" s="19">
        <v>0</v>
      </c>
      <c r="G98" s="19">
        <v>0.02</v>
      </c>
      <c r="H98" s="19">
        <v>1.08</v>
      </c>
      <c r="I98" s="19">
        <v>5.39</v>
      </c>
      <c r="J98" s="19">
        <v>0</v>
      </c>
      <c r="K98" s="19">
        <v>0</v>
      </c>
      <c r="L98" s="19">
        <v>0</v>
      </c>
      <c r="M98" s="126">
        <v>0</v>
      </c>
      <c r="N98" s="164">
        <f>+N$97*EEFFHist!$Y103</f>
        <v>0</v>
      </c>
      <c r="O98" s="164">
        <f>+O$97*EEFFHist!$Y103</f>
        <v>0</v>
      </c>
      <c r="P98" s="164">
        <f>+P$97*EEFFHist!$Y103</f>
        <v>0</v>
      </c>
      <c r="Q98" s="164">
        <f>+Q$97*EEFFHist!$Y103</f>
        <v>0</v>
      </c>
      <c r="R98" s="164">
        <f>+R$97*EEFFHist!$Y103</f>
        <v>0</v>
      </c>
      <c r="S98" s="164">
        <f>+S$97*EEFFHist!$Y103</f>
        <v>0</v>
      </c>
      <c r="T98" s="164">
        <f>+T$97*EEFFHist!$Y103</f>
        <v>0</v>
      </c>
      <c r="U98" s="164">
        <f>+U$97*EEFFHist!$Y103</f>
        <v>0</v>
      </c>
      <c r="V98" s="331"/>
    </row>
    <row r="99" spans="2:22" x14ac:dyDescent="0.25">
      <c r="B99" s="7" t="s">
        <v>432</v>
      </c>
      <c r="C99" s="14">
        <v>251000</v>
      </c>
      <c r="D99" s="19">
        <v>57.38</v>
      </c>
      <c r="E99" s="19">
        <v>52.27</v>
      </c>
      <c r="F99" s="19">
        <v>61.06</v>
      </c>
      <c r="G99" s="19">
        <v>87.52</v>
      </c>
      <c r="H99" s="19">
        <v>91.1</v>
      </c>
      <c r="I99" s="19">
        <v>134</v>
      </c>
      <c r="J99" s="19">
        <v>164.76</v>
      </c>
      <c r="K99" s="19">
        <v>175.81</v>
      </c>
      <c r="L99" s="19">
        <v>123.88</v>
      </c>
      <c r="M99" s="126">
        <v>123.7</v>
      </c>
      <c r="N99" s="164">
        <f>+N$97*EEFFHist!$Y104</f>
        <v>189.5119987958098</v>
      </c>
      <c r="O99" s="164">
        <f>+O$97*EEFFHist!$Y104</f>
        <v>215.42687362695744</v>
      </c>
      <c r="P99" s="164">
        <f>+P$97*EEFFHist!$Y104</f>
        <v>242.13474362793821</v>
      </c>
      <c r="Q99" s="164">
        <f>+Q$97*EEFFHist!$Y104</f>
        <v>269.6812407469497</v>
      </c>
      <c r="R99" s="164">
        <f>+R$97*EEFFHist!$Y104</f>
        <v>298.08167927665062</v>
      </c>
      <c r="S99" s="164">
        <f>+S$97*EEFFHist!$Y104</f>
        <v>327.3511712253603</v>
      </c>
      <c r="T99" s="164">
        <f>+T$97*EEFFHist!$Y104</f>
        <v>357.51630962770048</v>
      </c>
      <c r="U99" s="164">
        <f>+U$97*EEFFHist!$Y104</f>
        <v>388.60450126515235</v>
      </c>
      <c r="V99" s="331"/>
    </row>
    <row r="100" spans="2:22" x14ac:dyDescent="0.25">
      <c r="B100" s="7" t="s">
        <v>433</v>
      </c>
      <c r="C100" s="14">
        <v>251500</v>
      </c>
      <c r="D100" s="19">
        <v>6.48</v>
      </c>
      <c r="E100" s="19">
        <v>5.5</v>
      </c>
      <c r="F100" s="19">
        <v>6.3200000000012819</v>
      </c>
      <c r="G100" s="19">
        <v>9.43</v>
      </c>
      <c r="H100" s="19">
        <v>9.2100000000000009</v>
      </c>
      <c r="I100" s="19">
        <v>13.52</v>
      </c>
      <c r="J100" s="19">
        <v>17.34</v>
      </c>
      <c r="K100" s="19">
        <v>19.8</v>
      </c>
      <c r="L100" s="19">
        <v>14.09</v>
      </c>
      <c r="M100" s="126">
        <v>13.92</v>
      </c>
      <c r="N100" s="164">
        <f>+N$97*EEFFHist!$Y105</f>
        <v>21.408736680075279</v>
      </c>
      <c r="O100" s="164">
        <f>+O$97*EEFFHist!$Y105</f>
        <v>24.336280766373086</v>
      </c>
      <c r="P100" s="164">
        <f>+P$97*EEFFHist!$Y105</f>
        <v>27.353407701711607</v>
      </c>
      <c r="Q100" s="164">
        <f>+Q$97*EEFFHist!$Y105</f>
        <v>30.465272422819751</v>
      </c>
      <c r="R100" s="164">
        <f>+R$97*EEFFHist!$Y105</f>
        <v>33.673604950282247</v>
      </c>
      <c r="S100" s="164">
        <f>+S$97*EEFFHist!$Y105</f>
        <v>36.980112453085098</v>
      </c>
      <c r="T100" s="164">
        <f>+T$97*EEFFHist!$Y105</f>
        <v>40.387799085473709</v>
      </c>
      <c r="U100" s="164">
        <f>+U$97*EEFFHist!$Y105</f>
        <v>43.899760928813421</v>
      </c>
      <c r="V100" s="331"/>
    </row>
    <row r="101" spans="2:22" x14ac:dyDescent="0.25">
      <c r="B101" s="7" t="s">
        <v>165</v>
      </c>
      <c r="C101" s="14">
        <v>252000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/>
      <c r="J101" s="19">
        <v>280.20999999999998</v>
      </c>
      <c r="K101" s="19">
        <v>0</v>
      </c>
      <c r="L101" s="19">
        <v>0</v>
      </c>
      <c r="M101" s="126">
        <v>0</v>
      </c>
      <c r="N101" s="164">
        <f>+N$97*EEFFHist!$Y106</f>
        <v>0</v>
      </c>
      <c r="O101" s="164">
        <f>+O$97*EEFFHist!$Y106</f>
        <v>0</v>
      </c>
      <c r="P101" s="164">
        <f>+P$97*EEFFHist!$Y106</f>
        <v>0</v>
      </c>
      <c r="Q101" s="164">
        <f>+Q$97*EEFFHist!$Y106</f>
        <v>0</v>
      </c>
      <c r="R101" s="164">
        <f>+R$97*EEFFHist!$Y106</f>
        <v>0</v>
      </c>
      <c r="S101" s="164">
        <f>+S$97*EEFFHist!$Y106</f>
        <v>0</v>
      </c>
      <c r="T101" s="164">
        <f>+T$97*EEFFHist!$Y106</f>
        <v>0</v>
      </c>
      <c r="U101" s="164">
        <f>+U$97*EEFFHist!$Y106</f>
        <v>0</v>
      </c>
      <c r="V101" s="331"/>
    </row>
    <row r="102" spans="2:22" x14ac:dyDescent="0.25">
      <c r="B102" s="7" t="s">
        <v>95</v>
      </c>
      <c r="C102" s="14">
        <v>252500</v>
      </c>
      <c r="D102" s="19">
        <v>66.540000000000006</v>
      </c>
      <c r="E102" s="19">
        <v>81.36</v>
      </c>
      <c r="F102" s="19">
        <v>108.97</v>
      </c>
      <c r="G102" s="19">
        <v>162.16999999999999</v>
      </c>
      <c r="H102" s="19">
        <v>163.33000000000001</v>
      </c>
      <c r="I102" s="19">
        <v>250.76</v>
      </c>
      <c r="J102" s="19">
        <v>0</v>
      </c>
      <c r="K102" s="19">
        <v>294.45999999999998</v>
      </c>
      <c r="L102" s="19">
        <v>248.22</v>
      </c>
      <c r="M102" s="126">
        <v>301.3</v>
      </c>
      <c r="N102" s="164">
        <f>+N$97*EEFFHist!$Y107</f>
        <v>380.47412663975962</v>
      </c>
      <c r="O102" s="164">
        <f>+O$97*EEFFHist!$Y107</f>
        <v>432.5021746315029</v>
      </c>
      <c r="P102" s="164">
        <f>+P$97*EEFFHist!$Y107</f>
        <v>486.12228089179354</v>
      </c>
      <c r="Q102" s="164">
        <f>+Q$97*EEFFHist!$Y107</f>
        <v>541.42605848865719</v>
      </c>
      <c r="R102" s="164">
        <f>+R$97*EEFFHist!$Y107</f>
        <v>598.44425319102368</v>
      </c>
      <c r="S102" s="164">
        <f>+S$97*EEFFHist!$Y107</f>
        <v>657.2072046512825</v>
      </c>
      <c r="T102" s="164">
        <f>+T$97*EEFFHist!$Y107</f>
        <v>717.7683024262252</v>
      </c>
      <c r="U102" s="164">
        <f>+U$97*EEFFHist!$Y107</f>
        <v>780.18256979308126</v>
      </c>
      <c r="V102" s="331"/>
    </row>
    <row r="103" spans="2:22" x14ac:dyDescent="0.25">
      <c r="B103" s="7" t="s">
        <v>96</v>
      </c>
      <c r="C103" s="14">
        <v>253500</v>
      </c>
      <c r="D103" s="19">
        <v>0</v>
      </c>
      <c r="E103" s="19">
        <v>0</v>
      </c>
      <c r="F103" s="19">
        <v>0</v>
      </c>
      <c r="G103" s="19"/>
      <c r="H103" s="19">
        <v>0</v>
      </c>
      <c r="I103" s="19"/>
      <c r="J103" s="19">
        <v>0</v>
      </c>
      <c r="K103" s="19">
        <v>0</v>
      </c>
      <c r="L103" s="19">
        <v>0</v>
      </c>
      <c r="M103" s="126">
        <v>0</v>
      </c>
      <c r="N103" s="164">
        <f>+N$97*EEFFHist!$Y108</f>
        <v>0</v>
      </c>
      <c r="O103" s="164">
        <f>+O$97*EEFFHist!$Y108</f>
        <v>0</v>
      </c>
      <c r="P103" s="164">
        <f>+P$97*EEFFHist!$Y108</f>
        <v>0</v>
      </c>
      <c r="Q103" s="164">
        <f>+Q$97*EEFFHist!$Y108</f>
        <v>0</v>
      </c>
      <c r="R103" s="164">
        <f>+R$97*EEFFHist!$Y108</f>
        <v>0</v>
      </c>
      <c r="S103" s="164">
        <f>+S$97*EEFFHist!$Y108</f>
        <v>0</v>
      </c>
      <c r="T103" s="164">
        <f>+T$97*EEFFHist!$Y108</f>
        <v>0</v>
      </c>
      <c r="U103" s="164">
        <f>+U$97*EEFFHist!$Y108</f>
        <v>0</v>
      </c>
      <c r="V103" s="331"/>
    </row>
    <row r="104" spans="2:22" x14ac:dyDescent="0.25">
      <c r="B104" s="6" t="s">
        <v>97</v>
      </c>
      <c r="C104" s="13">
        <v>260000</v>
      </c>
      <c r="D104" s="17">
        <f>+SUM(D105:D109)</f>
        <v>1166.1400000000001</v>
      </c>
      <c r="E104" s="17">
        <f t="shared" ref="E104:M104" si="23">+SUM(E105:E109)</f>
        <v>1387</v>
      </c>
      <c r="F104" s="17">
        <f t="shared" si="23"/>
        <v>1112.81</v>
      </c>
      <c r="G104" s="17">
        <f t="shared" si="23"/>
        <v>63.96</v>
      </c>
      <c r="H104" s="17">
        <f t="shared" si="23"/>
        <v>90</v>
      </c>
      <c r="I104" s="17">
        <f t="shared" si="23"/>
        <v>108.99000000000001</v>
      </c>
      <c r="J104" s="17">
        <f t="shared" si="23"/>
        <v>82.46</v>
      </c>
      <c r="K104" s="17">
        <f t="shared" si="23"/>
        <v>34.700000000000003</v>
      </c>
      <c r="L104" s="17">
        <f t="shared" si="23"/>
        <v>68.790000000000006</v>
      </c>
      <c r="M104" s="125">
        <f t="shared" si="23"/>
        <v>100.44</v>
      </c>
      <c r="N104" s="172">
        <f>+N$80*EEFFHist!$Y109</f>
        <v>87.20024425800095</v>
      </c>
      <c r="O104" s="172">
        <f>+O$80*EEFFHist!$Y109</f>
        <v>99.124467682114613</v>
      </c>
      <c r="P104" s="172">
        <f>+P$80*EEFFHist!$Y109</f>
        <v>111.41357234300614</v>
      </c>
      <c r="Q104" s="172">
        <f>+Q$80*EEFFHist!$Y109</f>
        <v>124.08855489024965</v>
      </c>
      <c r="R104" s="172">
        <f>+R$80*EEFFHist!$Y109</f>
        <v>137.15646189645773</v>
      </c>
      <c r="S104" s="172">
        <f>+S$80*EEFFHist!$Y109</f>
        <v>150.62424685705577</v>
      </c>
      <c r="T104" s="172">
        <f>+T$80*EEFFHist!$Y109</f>
        <v>164.50414603744807</v>
      </c>
      <c r="U104" s="172">
        <f>+U$80*EEFFHist!$Y109</f>
        <v>178.8087701327604</v>
      </c>
      <c r="V104" s="300"/>
    </row>
    <row r="105" spans="2:22" x14ac:dyDescent="0.25">
      <c r="B105" s="7" t="s">
        <v>98</v>
      </c>
      <c r="C105" s="14">
        <v>260500</v>
      </c>
      <c r="D105" s="19">
        <v>0</v>
      </c>
      <c r="E105" s="19">
        <v>0</v>
      </c>
      <c r="F105" s="19">
        <v>0</v>
      </c>
      <c r="G105" s="19">
        <v>16.96</v>
      </c>
      <c r="H105" s="19">
        <v>43</v>
      </c>
      <c r="I105" s="19">
        <v>61.99</v>
      </c>
      <c r="J105" s="19">
        <v>82.46</v>
      </c>
      <c r="K105" s="19">
        <v>34.700000000000003</v>
      </c>
      <c r="L105" s="19">
        <v>68.790000000000006</v>
      </c>
      <c r="M105" s="126">
        <v>100.44</v>
      </c>
      <c r="N105" s="164">
        <f>+N$104*EEFFHist!$Y110</f>
        <v>87.20024425800095</v>
      </c>
      <c r="O105" s="164">
        <f>+O$104*EEFFHist!$Y110</f>
        <v>99.124467682114613</v>
      </c>
      <c r="P105" s="164">
        <f>+P$104*EEFFHist!$Y110</f>
        <v>111.41357234300614</v>
      </c>
      <c r="Q105" s="164">
        <f>+Q$104*EEFFHist!$Y110</f>
        <v>124.08855489024965</v>
      </c>
      <c r="R105" s="164">
        <f>+R$104*EEFFHist!$Y110</f>
        <v>137.15646189645773</v>
      </c>
      <c r="S105" s="164">
        <f>+S$104*EEFFHist!$Y110</f>
        <v>150.62424685705577</v>
      </c>
      <c r="T105" s="164">
        <f>+T$104*EEFFHist!$Y110</f>
        <v>164.50414603744807</v>
      </c>
      <c r="U105" s="164">
        <f>+U$104*EEFFHist!$Y110</f>
        <v>178.8087701327604</v>
      </c>
      <c r="V105" s="331"/>
    </row>
    <row r="106" spans="2:22" x14ac:dyDescent="0.25">
      <c r="B106" s="7" t="s">
        <v>99</v>
      </c>
      <c r="C106" s="14">
        <v>261000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26">
        <v>0</v>
      </c>
      <c r="N106" s="164">
        <f>+N$104*EEFFHist!$Y111</f>
        <v>0</v>
      </c>
      <c r="O106" s="164">
        <f>+O$104*EEFFHist!$Y111</f>
        <v>0</v>
      </c>
      <c r="P106" s="164">
        <f>+P$104*EEFFHist!$Y111</f>
        <v>0</v>
      </c>
      <c r="Q106" s="164">
        <f>+Q$104*EEFFHist!$Y111</f>
        <v>0</v>
      </c>
      <c r="R106" s="164">
        <f>+R$104*EEFFHist!$Y111</f>
        <v>0</v>
      </c>
      <c r="S106" s="164">
        <f>+S$104*EEFFHist!$Y111</f>
        <v>0</v>
      </c>
      <c r="T106" s="164">
        <f>+T$104*EEFFHist!$Y111</f>
        <v>0</v>
      </c>
      <c r="U106" s="164">
        <f>+U$104*EEFFHist!$Y111</f>
        <v>0</v>
      </c>
      <c r="V106" s="331"/>
    </row>
    <row r="107" spans="2:22" x14ac:dyDescent="0.25">
      <c r="B107" s="7" t="s">
        <v>100</v>
      </c>
      <c r="C107" s="14">
        <v>261500</v>
      </c>
      <c r="D107" s="19">
        <v>1121.99</v>
      </c>
      <c r="E107" s="19">
        <v>1387</v>
      </c>
      <c r="F107" s="19">
        <v>1112.81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26">
        <v>0</v>
      </c>
      <c r="N107" s="164">
        <f>+N$104*EEFFHist!$Y112</f>
        <v>0</v>
      </c>
      <c r="O107" s="164">
        <f>+O$104*EEFFHist!$Y112</f>
        <v>0</v>
      </c>
      <c r="P107" s="164">
        <f>+P$104*EEFFHist!$Y112</f>
        <v>0</v>
      </c>
      <c r="Q107" s="164">
        <f>+Q$104*EEFFHist!$Y112</f>
        <v>0</v>
      </c>
      <c r="R107" s="164">
        <f>+R$104*EEFFHist!$Y112</f>
        <v>0</v>
      </c>
      <c r="S107" s="164">
        <f>+S$104*EEFFHist!$Y112</f>
        <v>0</v>
      </c>
      <c r="T107" s="164">
        <f>+T$104*EEFFHist!$Y112</f>
        <v>0</v>
      </c>
      <c r="U107" s="164">
        <f>+U$104*EEFFHist!$Y112</f>
        <v>0</v>
      </c>
      <c r="V107" s="331"/>
    </row>
    <row r="108" spans="2:22" x14ac:dyDescent="0.25">
      <c r="B108" s="7" t="s">
        <v>101</v>
      </c>
      <c r="C108" s="14">
        <v>263500</v>
      </c>
      <c r="D108" s="19">
        <v>44.15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26">
        <v>0</v>
      </c>
      <c r="N108" s="164">
        <f>+N$104*EEFFHist!$Y113</f>
        <v>0</v>
      </c>
      <c r="O108" s="164">
        <f>+O$104*EEFFHist!$Y113</f>
        <v>0</v>
      </c>
      <c r="P108" s="164">
        <f>+P$104*EEFFHist!$Y113</f>
        <v>0</v>
      </c>
      <c r="Q108" s="164">
        <f>+Q$104*EEFFHist!$Y113</f>
        <v>0</v>
      </c>
      <c r="R108" s="164">
        <f>+R$104*EEFFHist!$Y113</f>
        <v>0</v>
      </c>
      <c r="S108" s="164">
        <f>+S$104*EEFFHist!$Y113</f>
        <v>0</v>
      </c>
      <c r="T108" s="164">
        <f>+T$104*EEFFHist!$Y113</f>
        <v>0</v>
      </c>
      <c r="U108" s="164">
        <f>+U$104*EEFFHist!$Y113</f>
        <v>0</v>
      </c>
      <c r="V108" s="331"/>
    </row>
    <row r="109" spans="2:22" x14ac:dyDescent="0.25">
      <c r="B109" s="7" t="s">
        <v>169</v>
      </c>
      <c r="C109" s="14">
        <v>264000</v>
      </c>
      <c r="D109" s="19">
        <v>0</v>
      </c>
      <c r="E109" s="19">
        <v>0</v>
      </c>
      <c r="F109" s="19">
        <v>0</v>
      </c>
      <c r="G109" s="19">
        <v>47</v>
      </c>
      <c r="H109" s="19">
        <v>47</v>
      </c>
      <c r="I109" s="19">
        <v>47</v>
      </c>
      <c r="J109" s="19">
        <v>0</v>
      </c>
      <c r="K109" s="19">
        <v>0</v>
      </c>
      <c r="L109" s="19">
        <v>0</v>
      </c>
      <c r="M109" s="126">
        <v>0</v>
      </c>
      <c r="N109" s="164">
        <f>+N$104*EEFFHist!$Y114</f>
        <v>0</v>
      </c>
      <c r="O109" s="164">
        <f>+O$104*EEFFHist!$Y114</f>
        <v>0</v>
      </c>
      <c r="P109" s="164">
        <f>+P$104*EEFFHist!$Y114</f>
        <v>0</v>
      </c>
      <c r="Q109" s="164">
        <f>+Q$104*EEFFHist!$Y114</f>
        <v>0</v>
      </c>
      <c r="R109" s="164">
        <f>+R$104*EEFFHist!$Y114</f>
        <v>0</v>
      </c>
      <c r="S109" s="164">
        <f>+S$104*EEFFHist!$Y114</f>
        <v>0</v>
      </c>
      <c r="T109" s="164">
        <f>+T$104*EEFFHist!$Y114</f>
        <v>0</v>
      </c>
      <c r="U109" s="164">
        <f>+U$104*EEFFHist!$Y114</f>
        <v>0</v>
      </c>
      <c r="V109" s="331"/>
    </row>
    <row r="110" spans="2:22" x14ac:dyDescent="0.25">
      <c r="B110" s="6" t="s">
        <v>62</v>
      </c>
      <c r="C110" s="13">
        <v>270000</v>
      </c>
      <c r="D110" s="17">
        <f t="shared" ref="D110:I110" si="24">+SUM(D111:D112)</f>
        <v>273.39</v>
      </c>
      <c r="E110" s="17">
        <f t="shared" si="24"/>
        <v>99.169999999999106</v>
      </c>
      <c r="F110" s="17">
        <f t="shared" si="24"/>
        <v>136.58000000000001</v>
      </c>
      <c r="G110" s="17">
        <f t="shared" si="24"/>
        <v>36.4</v>
      </c>
      <c r="H110" s="17">
        <f t="shared" si="24"/>
        <v>77.39</v>
      </c>
      <c r="I110" s="17">
        <f t="shared" si="24"/>
        <v>64.7</v>
      </c>
      <c r="J110" s="17">
        <v>17.649999999999999</v>
      </c>
      <c r="K110" s="17">
        <v>66.42</v>
      </c>
      <c r="L110" s="17">
        <f>+SUM(L111:L112)</f>
        <v>84.06</v>
      </c>
      <c r="M110" s="125">
        <f>+SUM(M111:M112)</f>
        <v>30.34</v>
      </c>
      <c r="N110" s="172">
        <f>+N$80*EEFFHist!$Y115</f>
        <v>83.260983278178557</v>
      </c>
      <c r="O110" s="172">
        <f>+O$80*EEFFHist!$Y115</f>
        <v>94.646531284017968</v>
      </c>
      <c r="P110" s="172">
        <f>+P$80*EEFFHist!$Y115</f>
        <v>106.38047705883606</v>
      </c>
      <c r="Q110" s="172">
        <f>+Q$80*EEFFHist!$Y115</f>
        <v>118.48286873098344</v>
      </c>
      <c r="R110" s="172">
        <f>+R$80*EEFFHist!$Y115</f>
        <v>130.96043454496737</v>
      </c>
      <c r="S110" s="172">
        <f>+S$80*EEFFHist!$Y115</f>
        <v>143.81981387285924</v>
      </c>
      <c r="T110" s="172">
        <f>+T$80*EEFFHist!$Y115</f>
        <v>157.07269020818455</v>
      </c>
      <c r="U110" s="172">
        <f>+U$80*EEFFHist!$Y115</f>
        <v>170.73110455937083</v>
      </c>
      <c r="V110" s="300"/>
    </row>
    <row r="111" spans="2:22" x14ac:dyDescent="0.25">
      <c r="B111" s="7" t="s">
        <v>102</v>
      </c>
      <c r="C111" s="14">
        <v>270500</v>
      </c>
      <c r="D111" s="19">
        <v>273.39</v>
      </c>
      <c r="E111" s="19">
        <v>99.169999999999106</v>
      </c>
      <c r="F111" s="19">
        <v>136.58000000000001</v>
      </c>
      <c r="G111" s="19">
        <v>36.4</v>
      </c>
      <c r="H111" s="19">
        <v>0</v>
      </c>
      <c r="I111" s="19">
        <v>64.7</v>
      </c>
      <c r="J111" s="19">
        <v>0</v>
      </c>
      <c r="K111" s="19">
        <v>0</v>
      </c>
      <c r="L111" s="19">
        <v>0</v>
      </c>
      <c r="M111" s="126">
        <v>0</v>
      </c>
      <c r="N111" s="164">
        <v>0</v>
      </c>
      <c r="O111" s="164">
        <v>0</v>
      </c>
      <c r="P111" s="164">
        <v>0</v>
      </c>
      <c r="Q111" s="164">
        <v>0</v>
      </c>
      <c r="R111" s="164">
        <v>0</v>
      </c>
      <c r="S111" s="164">
        <v>1</v>
      </c>
      <c r="T111" s="164">
        <v>2</v>
      </c>
      <c r="U111" s="164">
        <v>3</v>
      </c>
      <c r="V111" s="331"/>
    </row>
    <row r="112" spans="2:22" x14ac:dyDescent="0.25">
      <c r="B112" s="7" t="s">
        <v>170</v>
      </c>
      <c r="C112" s="14">
        <v>271500</v>
      </c>
      <c r="D112" s="19">
        <v>0</v>
      </c>
      <c r="E112" s="19">
        <v>0</v>
      </c>
      <c r="F112" s="19">
        <v>0</v>
      </c>
      <c r="G112" s="19">
        <v>0</v>
      </c>
      <c r="H112" s="19">
        <v>77.39</v>
      </c>
      <c r="I112" s="19">
        <v>0</v>
      </c>
      <c r="J112" s="19">
        <v>0</v>
      </c>
      <c r="K112" s="19">
        <v>0</v>
      </c>
      <c r="L112" s="19">
        <v>84.06</v>
      </c>
      <c r="M112" s="126">
        <v>30.34</v>
      </c>
      <c r="N112" s="164">
        <f t="shared" ref="N112:S112" si="25">+N110</f>
        <v>83.260983278178557</v>
      </c>
      <c r="O112" s="164">
        <f t="shared" si="25"/>
        <v>94.646531284017968</v>
      </c>
      <c r="P112" s="164">
        <f t="shared" si="25"/>
        <v>106.38047705883606</v>
      </c>
      <c r="Q112" s="164">
        <f t="shared" si="25"/>
        <v>118.48286873098344</v>
      </c>
      <c r="R112" s="164">
        <f t="shared" si="25"/>
        <v>130.96043454496737</v>
      </c>
      <c r="S112" s="164">
        <f t="shared" si="25"/>
        <v>143.81981387285924</v>
      </c>
      <c r="T112" s="164">
        <f>+T110</f>
        <v>157.07269020818455</v>
      </c>
      <c r="U112" s="164">
        <f>+U110</f>
        <v>170.73110455937083</v>
      </c>
      <c r="V112" s="331"/>
    </row>
    <row r="113" spans="2:30" x14ac:dyDescent="0.25">
      <c r="B113" s="6" t="s">
        <v>103</v>
      </c>
      <c r="C113" s="13">
        <v>280000</v>
      </c>
      <c r="D113" s="17">
        <f t="shared" ref="D113:M113" si="26">+SUM(D114:D117)</f>
        <v>3.91</v>
      </c>
      <c r="E113" s="17">
        <f t="shared" si="26"/>
        <v>2.61</v>
      </c>
      <c r="F113" s="17">
        <f t="shared" si="26"/>
        <v>42.08</v>
      </c>
      <c r="G113" s="17">
        <f t="shared" si="26"/>
        <v>0</v>
      </c>
      <c r="H113" s="17">
        <f t="shared" si="26"/>
        <v>0</v>
      </c>
      <c r="I113" s="17">
        <f t="shared" si="26"/>
        <v>0.46</v>
      </c>
      <c r="J113" s="17">
        <f t="shared" si="26"/>
        <v>22.21</v>
      </c>
      <c r="K113" s="17">
        <f t="shared" si="26"/>
        <v>113.28</v>
      </c>
      <c r="L113" s="17">
        <f t="shared" si="26"/>
        <v>0</v>
      </c>
      <c r="M113" s="125">
        <f t="shared" si="26"/>
        <v>0</v>
      </c>
      <c r="N113" s="172">
        <f>+N$80*EEFFHist!$Y118</f>
        <v>57.486214999303535</v>
      </c>
      <c r="O113" s="172">
        <f>+O$80*EEFFHist!$Y118</f>
        <v>65.347184624918242</v>
      </c>
      <c r="P113" s="172">
        <f>+P$80*EEFFHist!$Y118</f>
        <v>73.448699921076766</v>
      </c>
      <c r="Q113" s="172">
        <f>+Q$80*EEFFHist!$Y118</f>
        <v>81.804602797534656</v>
      </c>
      <c r="R113" s="172">
        <f>+R$80*EEFFHist!$Y118</f>
        <v>90.41953866316274</v>
      </c>
      <c r="S113" s="172">
        <f>+S$80*EEFFHist!$Y118</f>
        <v>99.298091566279055</v>
      </c>
      <c r="T113" s="172">
        <f>+T$80*EEFFHist!$Y118</f>
        <v>108.4483281882307</v>
      </c>
      <c r="U113" s="172">
        <f>+U$80*EEFFHist!$Y118</f>
        <v>117.87856205081408</v>
      </c>
      <c r="V113" s="300"/>
    </row>
    <row r="114" spans="2:30" x14ac:dyDescent="0.25">
      <c r="B114" s="7" t="s">
        <v>104</v>
      </c>
      <c r="C114" s="14">
        <v>280500</v>
      </c>
      <c r="D114" s="19">
        <v>0</v>
      </c>
      <c r="E114" s="19">
        <v>0</v>
      </c>
      <c r="F114" s="19">
        <v>42</v>
      </c>
      <c r="G114" s="19">
        <v>0</v>
      </c>
      <c r="H114" s="19">
        <v>0</v>
      </c>
      <c r="I114" s="19">
        <v>0</v>
      </c>
      <c r="J114" s="19">
        <v>22.21</v>
      </c>
      <c r="K114" s="19">
        <v>0</v>
      </c>
      <c r="L114" s="19">
        <v>0</v>
      </c>
      <c r="M114" s="126">
        <v>0</v>
      </c>
      <c r="N114" s="164">
        <v>0</v>
      </c>
      <c r="O114" s="164">
        <v>0</v>
      </c>
      <c r="P114" s="164">
        <v>0</v>
      </c>
      <c r="Q114" s="164">
        <v>0</v>
      </c>
      <c r="R114" s="164">
        <v>0</v>
      </c>
      <c r="S114" s="164">
        <v>0</v>
      </c>
      <c r="T114" s="164">
        <v>0</v>
      </c>
      <c r="U114" s="164">
        <v>0</v>
      </c>
      <c r="V114" s="331"/>
    </row>
    <row r="115" spans="2:30" x14ac:dyDescent="0.25">
      <c r="B115" s="7" t="s">
        <v>105</v>
      </c>
      <c r="C115" s="14">
        <v>281500</v>
      </c>
      <c r="D115" s="19">
        <v>3.91</v>
      </c>
      <c r="E115" s="19">
        <v>2.61</v>
      </c>
      <c r="F115" s="19">
        <v>0.08</v>
      </c>
      <c r="G115" s="19">
        <v>0</v>
      </c>
      <c r="H115" s="19">
        <v>0</v>
      </c>
      <c r="I115" s="19">
        <v>0.46</v>
      </c>
      <c r="J115" s="19">
        <v>0</v>
      </c>
      <c r="K115" s="19">
        <v>0</v>
      </c>
      <c r="L115" s="19">
        <v>0</v>
      </c>
      <c r="M115" s="126">
        <v>0</v>
      </c>
      <c r="N115" s="164">
        <v>0</v>
      </c>
      <c r="O115" s="164">
        <v>0</v>
      </c>
      <c r="P115" s="164">
        <v>0</v>
      </c>
      <c r="Q115" s="164">
        <v>0</v>
      </c>
      <c r="R115" s="164">
        <v>0</v>
      </c>
      <c r="S115" s="164">
        <v>0</v>
      </c>
      <c r="T115" s="164">
        <v>0</v>
      </c>
      <c r="U115" s="164">
        <v>0</v>
      </c>
      <c r="V115" s="331"/>
    </row>
    <row r="116" spans="2:30" x14ac:dyDescent="0.25">
      <c r="B116" s="7" t="s">
        <v>434</v>
      </c>
      <c r="C116" s="14">
        <v>283500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113.28</v>
      </c>
      <c r="L116" s="19">
        <v>0</v>
      </c>
      <c r="M116" s="126">
        <v>0</v>
      </c>
      <c r="N116" s="164">
        <f t="shared" ref="N116:S116" si="27">+N113</f>
        <v>57.486214999303535</v>
      </c>
      <c r="O116" s="164">
        <f t="shared" si="27"/>
        <v>65.347184624918242</v>
      </c>
      <c r="P116" s="164">
        <f t="shared" si="27"/>
        <v>73.448699921076766</v>
      </c>
      <c r="Q116" s="164">
        <f t="shared" si="27"/>
        <v>81.804602797534656</v>
      </c>
      <c r="R116" s="164">
        <f t="shared" si="27"/>
        <v>90.41953866316274</v>
      </c>
      <c r="S116" s="164">
        <f t="shared" si="27"/>
        <v>99.298091566279055</v>
      </c>
      <c r="T116" s="164">
        <f>+T113</f>
        <v>108.4483281882307</v>
      </c>
      <c r="U116" s="164">
        <f>+U113</f>
        <v>117.87856205081408</v>
      </c>
      <c r="V116" s="331"/>
    </row>
    <row r="117" spans="2:30" x14ac:dyDescent="0.25">
      <c r="B117" s="7" t="s">
        <v>47</v>
      </c>
      <c r="C117" s="14">
        <v>289500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127">
        <v>0</v>
      </c>
      <c r="N117" s="196">
        <v>0</v>
      </c>
      <c r="O117" s="196">
        <v>0</v>
      </c>
      <c r="P117" s="196">
        <v>0</v>
      </c>
      <c r="Q117" s="196">
        <v>0</v>
      </c>
      <c r="R117" s="196">
        <v>0</v>
      </c>
      <c r="S117" s="196">
        <v>0</v>
      </c>
      <c r="T117" s="196">
        <v>0</v>
      </c>
      <c r="U117" s="196">
        <v>0</v>
      </c>
      <c r="V117" s="331"/>
    </row>
    <row r="118" spans="2:30" x14ac:dyDescent="0.25">
      <c r="B118" s="5"/>
      <c r="C118" s="14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00"/>
      <c r="O118" s="200"/>
      <c r="P118" s="30"/>
      <c r="Q118" s="30"/>
      <c r="R118" s="30"/>
      <c r="S118" s="30"/>
      <c r="T118" s="30"/>
      <c r="U118" s="30"/>
      <c r="V118" s="30"/>
    </row>
    <row r="119" spans="2:30" x14ac:dyDescent="0.25">
      <c r="B119" s="9" t="s">
        <v>177</v>
      </c>
      <c r="C119" s="13">
        <v>300000</v>
      </c>
      <c r="D119" s="16">
        <f>+D120+D122+D130+D134+D136+D138+D141</f>
        <v>19023.289999999997</v>
      </c>
      <c r="E119" s="16">
        <f t="shared" ref="E119:U119" si="28">+E120+E122+E130+E134+E136+E138+E141</f>
        <v>20666.160000000003</v>
      </c>
      <c r="F119" s="16">
        <f t="shared" si="28"/>
        <v>19823.5</v>
      </c>
      <c r="G119" s="16">
        <f t="shared" si="28"/>
        <v>17440.829999999998</v>
      </c>
      <c r="H119" s="16">
        <f t="shared" si="28"/>
        <v>33521.910000000003</v>
      </c>
      <c r="I119" s="16">
        <f t="shared" si="28"/>
        <v>58319.460000000014</v>
      </c>
      <c r="J119" s="16">
        <f t="shared" si="28"/>
        <v>68021.37</v>
      </c>
      <c r="K119" s="16">
        <f t="shared" si="28"/>
        <v>61430.17</v>
      </c>
      <c r="L119" s="16">
        <f t="shared" si="28"/>
        <v>48503.82</v>
      </c>
      <c r="M119" s="124">
        <f>+M120+M122+M130+M134+M136+M138+M141</f>
        <v>51000.239999999991</v>
      </c>
      <c r="N119" s="195">
        <f>+N120+N122+N130+N134+N136+N138+N141</f>
        <v>52887.543282293889</v>
      </c>
      <c r="O119" s="202">
        <f>+O120+O122+O130+O134+O136+O138+O141</f>
        <v>56701.471136767366</v>
      </c>
      <c r="P119" s="195">
        <f t="shared" si="28"/>
        <v>62181.936607146643</v>
      </c>
      <c r="Q119" s="195">
        <f>+Q120+Q122+Q130+Q134+Q136+Q138+Q141</f>
        <v>72118.808646462072</v>
      </c>
      <c r="R119" s="195">
        <f t="shared" si="28"/>
        <v>83829.723556807978</v>
      </c>
      <c r="S119" s="195">
        <f t="shared" si="28"/>
        <v>97236.78757766202</v>
      </c>
      <c r="T119" s="195">
        <f t="shared" si="28"/>
        <v>112400.79520672618</v>
      </c>
      <c r="U119" s="195">
        <f t="shared" si="28"/>
        <v>129014.97773399386</v>
      </c>
      <c r="V119" s="300"/>
      <c r="W119" s="325">
        <f>+N119/M119-1</f>
        <v>3.7005772566832906E-2</v>
      </c>
      <c r="X119" s="325">
        <f t="shared" ref="X119" si="29">+O119/N119-1</f>
        <v>7.2113916014516999E-2</v>
      </c>
      <c r="Y119" s="325">
        <f t="shared" ref="Y119" si="30">+P119/O119-1</f>
        <v>9.6654731535273042E-2</v>
      </c>
      <c r="Z119" s="325">
        <f t="shared" ref="Z119" si="31">+Q119/P119-1</f>
        <v>0.159803193362964</v>
      </c>
      <c r="AA119" s="325">
        <f t="shared" ref="AA119" si="32">+R119/Q119-1</f>
        <v>0.16238364346469836</v>
      </c>
      <c r="AB119" s="325">
        <f t="shared" ref="AB119" si="33">+S119/R119-1</f>
        <v>0.15993210345932507</v>
      </c>
      <c r="AC119" s="325">
        <f t="shared" ref="AC119" si="34">+T119/S119-1</f>
        <v>0.15594928634343064</v>
      </c>
      <c r="AD119" s="325">
        <f>+U119/T119-1</f>
        <v>0.14781196606937774</v>
      </c>
    </row>
    <row r="120" spans="2:30" x14ac:dyDescent="0.25">
      <c r="B120" s="6" t="s">
        <v>106</v>
      </c>
      <c r="C120" s="13">
        <v>310000</v>
      </c>
      <c r="D120" s="17">
        <f t="shared" ref="D120:M120" si="35">+D121</f>
        <v>13129.09</v>
      </c>
      <c r="E120" s="17">
        <f t="shared" si="35"/>
        <v>13129.09</v>
      </c>
      <c r="F120" s="17">
        <f t="shared" si="35"/>
        <v>13129.09</v>
      </c>
      <c r="G120" s="17">
        <f t="shared" si="35"/>
        <v>13625.98</v>
      </c>
      <c r="H120" s="17">
        <f t="shared" si="35"/>
        <v>19904.23</v>
      </c>
      <c r="I120" s="17">
        <f t="shared" si="35"/>
        <v>31969.29</v>
      </c>
      <c r="J120" s="17">
        <f t="shared" si="35"/>
        <v>36999.39</v>
      </c>
      <c r="K120" s="17">
        <f t="shared" si="35"/>
        <v>36999.39</v>
      </c>
      <c r="L120" s="17">
        <f t="shared" si="35"/>
        <v>36999.39</v>
      </c>
      <c r="M120" s="125">
        <f t="shared" si="35"/>
        <v>36999.39</v>
      </c>
      <c r="N120" s="172">
        <f t="shared" ref="N120:S120" si="36">+M120</f>
        <v>36999.39</v>
      </c>
      <c r="O120" s="172">
        <f t="shared" si="36"/>
        <v>36999.39</v>
      </c>
      <c r="P120" s="172">
        <f t="shared" si="36"/>
        <v>36999.39</v>
      </c>
      <c r="Q120" s="172">
        <f t="shared" si="36"/>
        <v>36999.39</v>
      </c>
      <c r="R120" s="172">
        <f t="shared" si="36"/>
        <v>36999.39</v>
      </c>
      <c r="S120" s="172">
        <f t="shared" si="36"/>
        <v>36999.39</v>
      </c>
      <c r="T120" s="172">
        <f>+S120</f>
        <v>36999.39</v>
      </c>
      <c r="U120" s="172">
        <f>+T120</f>
        <v>36999.39</v>
      </c>
      <c r="V120" s="300"/>
    </row>
    <row r="121" spans="2:30" x14ac:dyDescent="0.25">
      <c r="B121" s="7" t="s">
        <v>107</v>
      </c>
      <c r="C121" s="14">
        <v>310500</v>
      </c>
      <c r="D121" s="19">
        <v>13129.09</v>
      </c>
      <c r="E121" s="19">
        <v>13129.09</v>
      </c>
      <c r="F121" s="19">
        <v>13129.09</v>
      </c>
      <c r="G121" s="19">
        <v>13625.98</v>
      </c>
      <c r="H121" s="19">
        <v>19904.23</v>
      </c>
      <c r="I121" s="19">
        <v>31969.29</v>
      </c>
      <c r="J121" s="19">
        <v>36999.39</v>
      </c>
      <c r="K121" s="19">
        <v>36999.39</v>
      </c>
      <c r="L121" s="19">
        <v>36999.39</v>
      </c>
      <c r="M121" s="126">
        <v>36999.39</v>
      </c>
      <c r="N121" s="164">
        <f t="shared" ref="N121:S121" si="37">+N120</f>
        <v>36999.39</v>
      </c>
      <c r="O121" s="164">
        <f t="shared" si="37"/>
        <v>36999.39</v>
      </c>
      <c r="P121" s="164">
        <f t="shared" si="37"/>
        <v>36999.39</v>
      </c>
      <c r="Q121" s="164">
        <f t="shared" si="37"/>
        <v>36999.39</v>
      </c>
      <c r="R121" s="164">
        <f t="shared" si="37"/>
        <v>36999.39</v>
      </c>
      <c r="S121" s="164">
        <f t="shared" si="37"/>
        <v>36999.39</v>
      </c>
      <c r="T121" s="164">
        <f>+T120</f>
        <v>36999.39</v>
      </c>
      <c r="U121" s="164">
        <f>+U120</f>
        <v>36999.39</v>
      </c>
      <c r="V121" s="331"/>
    </row>
    <row r="122" spans="2:30" x14ac:dyDescent="0.25">
      <c r="B122" s="6" t="s">
        <v>435</v>
      </c>
      <c r="C122" s="13">
        <v>320000</v>
      </c>
      <c r="D122" s="17">
        <f t="shared" ref="D122:M122" si="38">+SUM(D123:D129)</f>
        <v>873.99999999999784</v>
      </c>
      <c r="E122" s="17">
        <f t="shared" si="38"/>
        <v>872.74</v>
      </c>
      <c r="F122" s="17">
        <f t="shared" si="38"/>
        <v>1502.6699999999998</v>
      </c>
      <c r="G122" s="17">
        <f t="shared" si="38"/>
        <v>1851.1299999999999</v>
      </c>
      <c r="H122" s="17">
        <f t="shared" si="38"/>
        <v>6606.6999999999989</v>
      </c>
      <c r="I122" s="17">
        <f t="shared" si="38"/>
        <v>15461.070000000011</v>
      </c>
      <c r="J122" s="17">
        <f t="shared" si="38"/>
        <v>21617.430000000004</v>
      </c>
      <c r="K122" s="17">
        <f t="shared" si="38"/>
        <v>21820.690000000002</v>
      </c>
      <c r="L122" s="17">
        <f t="shared" si="38"/>
        <v>23388.910000000007</v>
      </c>
      <c r="M122" s="125">
        <f t="shared" si="38"/>
        <v>23455.529999999988</v>
      </c>
      <c r="N122" s="125">
        <f>+M122</f>
        <v>23455.529999999988</v>
      </c>
      <c r="O122" s="125">
        <f t="shared" ref="O122:U122" si="39">+N122</f>
        <v>23455.529999999988</v>
      </c>
      <c r="P122" s="125">
        <f t="shared" si="39"/>
        <v>23455.529999999988</v>
      </c>
      <c r="Q122" s="125">
        <f t="shared" si="39"/>
        <v>23455.529999999988</v>
      </c>
      <c r="R122" s="125">
        <f t="shared" si="39"/>
        <v>23455.529999999988</v>
      </c>
      <c r="S122" s="125">
        <f t="shared" si="39"/>
        <v>23455.529999999988</v>
      </c>
      <c r="T122" s="125">
        <f t="shared" si="39"/>
        <v>23455.529999999988</v>
      </c>
      <c r="U122" s="17">
        <f t="shared" si="39"/>
        <v>23455.529999999988</v>
      </c>
      <c r="V122" s="332"/>
    </row>
    <row r="123" spans="2:30" x14ac:dyDescent="0.25">
      <c r="B123" s="7" t="s">
        <v>436</v>
      </c>
      <c r="C123" s="14">
        <v>320500</v>
      </c>
      <c r="D123" s="19">
        <v>0</v>
      </c>
      <c r="E123" s="19">
        <v>0</v>
      </c>
      <c r="F123" s="19">
        <v>0</v>
      </c>
      <c r="G123" s="19">
        <v>0</v>
      </c>
      <c r="H123" s="19">
        <v>3721.74</v>
      </c>
      <c r="I123" s="19">
        <v>12356.920000000011</v>
      </c>
      <c r="J123" s="19">
        <v>16626.400000000001</v>
      </c>
      <c r="K123" s="19">
        <v>16626.400000000001</v>
      </c>
      <c r="L123" s="19">
        <v>16626.400000000001</v>
      </c>
      <c r="M123" s="126">
        <v>16626.400000000001</v>
      </c>
      <c r="N123" s="164">
        <f>+N$122*EEFFHist!$Y130</f>
        <v>17057.411223198869</v>
      </c>
      <c r="O123" s="164">
        <f>+O$122*EEFFHist!$Y130</f>
        <v>17057.411223198869</v>
      </c>
      <c r="P123" s="164">
        <f>+P$122*EEFFHist!$Y130</f>
        <v>17057.411223198869</v>
      </c>
      <c r="Q123" s="164">
        <f>+Q$122*EEFFHist!$Y130</f>
        <v>17057.411223198869</v>
      </c>
      <c r="R123" s="164">
        <f>+R$122*EEFFHist!$Y130</f>
        <v>17057.411223198869</v>
      </c>
      <c r="S123" s="164">
        <f>+S$122*EEFFHist!$Y130</f>
        <v>17057.411223198869</v>
      </c>
      <c r="T123" s="164">
        <f>+T$122*EEFFHist!$Y130</f>
        <v>17057.411223198869</v>
      </c>
      <c r="U123" s="164">
        <f>+U$122*EEFFHist!$Y130</f>
        <v>17057.411223198869</v>
      </c>
      <c r="V123" s="331"/>
    </row>
    <row r="124" spans="2:30" ht="30" x14ac:dyDescent="0.25">
      <c r="B124" s="7" t="s">
        <v>110</v>
      </c>
      <c r="C124" s="14">
        <v>321300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26">
        <v>0</v>
      </c>
      <c r="N124" s="164">
        <f>+N$122*EEFFHist!$Y131</f>
        <v>0</v>
      </c>
      <c r="O124" s="164">
        <f>+O$122*EEFFHist!$Y131</f>
        <v>0</v>
      </c>
      <c r="P124" s="164">
        <f>+P$122*EEFFHist!$Y131</f>
        <v>0</v>
      </c>
      <c r="Q124" s="164">
        <f>+Q$122*EEFFHist!$Y131</f>
        <v>0</v>
      </c>
      <c r="R124" s="164">
        <f>+R$122*EEFFHist!$Y131</f>
        <v>0</v>
      </c>
      <c r="S124" s="164">
        <f>+S$122*EEFFHist!$Y131</f>
        <v>0</v>
      </c>
      <c r="T124" s="164">
        <f>+T$122*EEFFHist!$Y131</f>
        <v>0</v>
      </c>
      <c r="U124" s="164">
        <f>+U$122*EEFFHist!$Y131</f>
        <v>0</v>
      </c>
      <c r="V124" s="331"/>
    </row>
    <row r="125" spans="2:30" x14ac:dyDescent="0.25">
      <c r="B125" s="7" t="s">
        <v>429</v>
      </c>
      <c r="C125" s="14">
        <v>321500</v>
      </c>
      <c r="D125" s="19">
        <v>309.87</v>
      </c>
      <c r="E125" s="19">
        <v>27.63</v>
      </c>
      <c r="F125" s="19">
        <v>38.06</v>
      </c>
      <c r="G125" s="19">
        <v>85.61</v>
      </c>
      <c r="H125" s="19">
        <v>114.97</v>
      </c>
      <c r="I125" s="19">
        <v>97.15</v>
      </c>
      <c r="J125" s="19">
        <v>121.15</v>
      </c>
      <c r="K125" s="19">
        <v>130.41</v>
      </c>
      <c r="L125" s="19">
        <v>99.99</v>
      </c>
      <c r="M125" s="126">
        <v>69.150000000000006</v>
      </c>
      <c r="N125" s="164">
        <f>+N$122*EEFFHist!$Y132</f>
        <v>103.20177573205197</v>
      </c>
      <c r="O125" s="164">
        <f>+O$122*EEFFHist!$Y132</f>
        <v>103.20177573205197</v>
      </c>
      <c r="P125" s="164">
        <f>+P$122*EEFFHist!$Y132</f>
        <v>103.20177573205197</v>
      </c>
      <c r="Q125" s="164">
        <f>+Q$122*EEFFHist!$Y132</f>
        <v>103.20177573205197</v>
      </c>
      <c r="R125" s="164">
        <f>+R$122*EEFFHist!$Y132</f>
        <v>103.20177573205197</v>
      </c>
      <c r="S125" s="164">
        <f>+S$122*EEFFHist!$Y132</f>
        <v>103.20177573205197</v>
      </c>
      <c r="T125" s="164">
        <f>+T$122*EEFFHist!$Y132</f>
        <v>103.20177573205197</v>
      </c>
      <c r="U125" s="164">
        <f>+U$122*EEFFHist!$Y132</f>
        <v>103.20177573205197</v>
      </c>
      <c r="V125" s="331"/>
    </row>
    <row r="126" spans="2:30" x14ac:dyDescent="0.25">
      <c r="B126" s="7" t="s">
        <v>111</v>
      </c>
      <c r="C126" s="14">
        <v>322000</v>
      </c>
      <c r="D126" s="19">
        <v>564.29</v>
      </c>
      <c r="E126" s="19">
        <v>845.11</v>
      </c>
      <c r="F126" s="19">
        <v>1464.61</v>
      </c>
      <c r="G126" s="19">
        <v>1765.52</v>
      </c>
      <c r="H126" s="19">
        <v>2769.99</v>
      </c>
      <c r="I126" s="19">
        <v>3007</v>
      </c>
      <c r="J126" s="19">
        <v>4869.88</v>
      </c>
      <c r="K126" s="19">
        <v>5063.88</v>
      </c>
      <c r="L126" s="19">
        <v>6558.5400000000054</v>
      </c>
      <c r="M126" s="126">
        <v>6655.9999999999864</v>
      </c>
      <c r="N126" s="164">
        <f>+N$122*EEFFHist!$Y133</f>
        <v>6225.4982769643502</v>
      </c>
      <c r="O126" s="164">
        <f>+O$122*EEFFHist!$Y133</f>
        <v>6225.4982769643502</v>
      </c>
      <c r="P126" s="164">
        <f>+P$122*EEFFHist!$Y133</f>
        <v>6225.4982769643502</v>
      </c>
      <c r="Q126" s="164">
        <f>+Q$122*EEFFHist!$Y133</f>
        <v>6225.4982769643502</v>
      </c>
      <c r="R126" s="164">
        <f>+R$122*EEFFHist!$Y133</f>
        <v>6225.4982769643502</v>
      </c>
      <c r="S126" s="164">
        <f>+S$122*EEFFHist!$Y133</f>
        <v>6225.4982769643502</v>
      </c>
      <c r="T126" s="164">
        <f>+T$122*EEFFHist!$Y133</f>
        <v>6225.4982769643502</v>
      </c>
      <c r="U126" s="164">
        <f>+U$122*EEFFHist!$Y133</f>
        <v>6225.4982769643502</v>
      </c>
      <c r="V126" s="331"/>
    </row>
    <row r="127" spans="2:30" x14ac:dyDescent="0.25">
      <c r="B127" s="7" t="s">
        <v>112</v>
      </c>
      <c r="C127" s="14">
        <v>322500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26">
        <v>0</v>
      </c>
      <c r="N127" s="164">
        <f>+N$122*EEFFHist!$Y134</f>
        <v>0</v>
      </c>
      <c r="O127" s="164">
        <f>+O$122*EEFFHist!$Y134</f>
        <v>0</v>
      </c>
      <c r="P127" s="164">
        <f>+P$122*EEFFHist!$Y134</f>
        <v>0</v>
      </c>
      <c r="Q127" s="164">
        <f>+Q$122*EEFFHist!$Y134</f>
        <v>0</v>
      </c>
      <c r="R127" s="164">
        <f>+R$122*EEFFHist!$Y134</f>
        <v>0</v>
      </c>
      <c r="S127" s="164">
        <f>+S$122*EEFFHist!$Y134</f>
        <v>0</v>
      </c>
      <c r="T127" s="164">
        <f>+T$122*EEFFHist!$Y134</f>
        <v>0</v>
      </c>
      <c r="U127" s="164">
        <f>+U$122*EEFFHist!$Y134</f>
        <v>0</v>
      </c>
      <c r="V127" s="331"/>
    </row>
    <row r="128" spans="2:30" x14ac:dyDescent="0.25">
      <c r="B128" s="7" t="s">
        <v>113</v>
      </c>
      <c r="C128" s="14">
        <v>323000</v>
      </c>
      <c r="D128" s="19">
        <v>-0.16000000000213996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26">
        <v>0</v>
      </c>
      <c r="N128" s="164">
        <f>+N$122*EEFFHist!$Y135</f>
        <v>0</v>
      </c>
      <c r="O128" s="164">
        <f>+O$122*EEFFHist!$Y135</f>
        <v>0</v>
      </c>
      <c r="P128" s="164">
        <f>+P$122*EEFFHist!$Y135</f>
        <v>0</v>
      </c>
      <c r="Q128" s="164">
        <f>+Q$122*EEFFHist!$Y135</f>
        <v>0</v>
      </c>
      <c r="R128" s="164">
        <f>+R$122*EEFFHist!$Y135</f>
        <v>0</v>
      </c>
      <c r="S128" s="164">
        <f>+S$122*EEFFHist!$Y135</f>
        <v>0</v>
      </c>
      <c r="T128" s="164">
        <f>+T$122*EEFFHist!$Y135</f>
        <v>0</v>
      </c>
      <c r="U128" s="164">
        <f>+U$122*EEFFHist!$Y135</f>
        <v>0</v>
      </c>
      <c r="V128" s="331"/>
    </row>
    <row r="129" spans="2:22" x14ac:dyDescent="0.25">
      <c r="B129" s="7" t="s">
        <v>114</v>
      </c>
      <c r="C129" s="14">
        <v>329500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103.98</v>
      </c>
      <c r="M129" s="126">
        <v>103.98</v>
      </c>
      <c r="N129" s="164">
        <f>+N$122*EEFFHist!$Y136</f>
        <v>69.41872410471457</v>
      </c>
      <c r="O129" s="164">
        <f>+O$122*EEFFHist!$Y136</f>
        <v>69.41872410471457</v>
      </c>
      <c r="P129" s="164">
        <f>+P$122*EEFFHist!$Y136</f>
        <v>69.41872410471457</v>
      </c>
      <c r="Q129" s="164">
        <f>+Q$122*EEFFHist!$Y136</f>
        <v>69.41872410471457</v>
      </c>
      <c r="R129" s="164">
        <f>+R$122*EEFFHist!$Y136</f>
        <v>69.41872410471457</v>
      </c>
      <c r="S129" s="164">
        <f>+S$122*EEFFHist!$Y136</f>
        <v>69.41872410471457</v>
      </c>
      <c r="T129" s="164">
        <f>+T$122*EEFFHist!$Y136</f>
        <v>69.41872410471457</v>
      </c>
      <c r="U129" s="164">
        <f>+U$122*EEFFHist!$Y136</f>
        <v>69.41872410471457</v>
      </c>
      <c r="V129" s="331"/>
    </row>
    <row r="130" spans="2:22" x14ac:dyDescent="0.25">
      <c r="B130" s="6" t="s">
        <v>115</v>
      </c>
      <c r="C130" s="13">
        <v>330000</v>
      </c>
      <c r="D130" s="17">
        <f t="shared" ref="D130:M130" si="40">+SUM(D131:D133)</f>
        <v>2853.75</v>
      </c>
      <c r="E130" s="17">
        <f t="shared" si="40"/>
        <v>3286.73</v>
      </c>
      <c r="F130" s="17">
        <f t="shared" si="40"/>
        <v>4694.54</v>
      </c>
      <c r="G130" s="17">
        <f t="shared" si="40"/>
        <v>4693.99</v>
      </c>
      <c r="H130" s="17">
        <f t="shared" si="40"/>
        <v>4693.99</v>
      </c>
      <c r="I130" s="17">
        <f t="shared" si="40"/>
        <v>5084.99</v>
      </c>
      <c r="J130" s="17">
        <f t="shared" si="40"/>
        <v>7489.99999999998</v>
      </c>
      <c r="K130" s="17">
        <f t="shared" si="40"/>
        <v>6266.99</v>
      </c>
      <c r="L130" s="17">
        <f t="shared" si="40"/>
        <v>4313.4299999999994</v>
      </c>
      <c r="M130" s="125">
        <f t="shared" si="40"/>
        <v>4313.4299999999994</v>
      </c>
      <c r="N130" s="17">
        <f>+M130</f>
        <v>4313.4299999999994</v>
      </c>
      <c r="O130" s="17">
        <f>+N130</f>
        <v>4313.4299999999994</v>
      </c>
      <c r="P130" s="17">
        <f>+O130</f>
        <v>4313.4299999999994</v>
      </c>
      <c r="Q130" s="17">
        <f>+SUM(Q131:Q133)</f>
        <v>7243.487629166596</v>
      </c>
      <c r="R130" s="17">
        <f>+SUM(R131:R133)</f>
        <v>10252.874732874998</v>
      </c>
      <c r="S130" s="17">
        <f>+SUM(S131:S133)</f>
        <v>13087.603790523093</v>
      </c>
      <c r="T130" s="17">
        <f>+SUM(T131:T133)</f>
        <v>15461.080389820378</v>
      </c>
      <c r="U130" s="17">
        <f>+SUM(U131:U133)</f>
        <v>17005.269710481072</v>
      </c>
      <c r="V130" s="332"/>
    </row>
    <row r="131" spans="2:22" x14ac:dyDescent="0.25">
      <c r="B131" s="7" t="s">
        <v>116</v>
      </c>
      <c r="C131" s="14">
        <v>330500</v>
      </c>
      <c r="D131" s="19">
        <v>2051.25</v>
      </c>
      <c r="E131" s="19">
        <v>2484.23</v>
      </c>
      <c r="F131" s="19">
        <v>3273.31</v>
      </c>
      <c r="G131" s="19">
        <v>3272.76</v>
      </c>
      <c r="H131" s="19">
        <v>3272.76</v>
      </c>
      <c r="I131" s="19">
        <v>3663.76</v>
      </c>
      <c r="J131" s="19">
        <v>4490.8100000000004</v>
      </c>
      <c r="K131" s="19">
        <v>4276.24</v>
      </c>
      <c r="L131" s="19">
        <v>4276.24</v>
      </c>
      <c r="M131" s="126">
        <v>4276.24</v>
      </c>
      <c r="N131" s="126">
        <f>+N$130*EEFFHist!$W138</f>
        <v>4276.24</v>
      </c>
      <c r="O131" s="126">
        <f>+O$130*EEFFHist!$W138</f>
        <v>4276.24</v>
      </c>
      <c r="P131" s="126">
        <f>+P$130*EEFFHist!$W138</f>
        <v>4276.24</v>
      </c>
      <c r="Q131" s="76">
        <f>+Q211*Supuestos!H12</f>
        <v>700.68144101488349</v>
      </c>
      <c r="R131" s="76">
        <f>+R211*Supuestos!I12</f>
        <v>870.15278066375004</v>
      </c>
      <c r="S131" s="76">
        <f>+S211*Supuestos!J12</f>
        <v>1057.233496320596</v>
      </c>
      <c r="T131" s="76">
        <f>+T211*Supuestos!K12</f>
        <v>1279.0531029766885</v>
      </c>
      <c r="U131" s="76">
        <f>+U211*Supuestos!L12</f>
        <v>1506.9993206606957</v>
      </c>
      <c r="V131" s="333"/>
    </row>
    <row r="132" spans="2:22" x14ac:dyDescent="0.25">
      <c r="B132" s="7" t="s">
        <v>117</v>
      </c>
      <c r="C132" s="14">
        <v>331000</v>
      </c>
      <c r="D132" s="19">
        <v>0</v>
      </c>
      <c r="E132" s="19">
        <v>0</v>
      </c>
      <c r="F132" s="19">
        <v>1421.23</v>
      </c>
      <c r="G132" s="19">
        <v>0</v>
      </c>
      <c r="H132" s="19">
        <v>0</v>
      </c>
      <c r="I132" s="19">
        <v>0</v>
      </c>
      <c r="J132" s="19">
        <v>2999.18999999998</v>
      </c>
      <c r="K132" s="19">
        <v>0</v>
      </c>
      <c r="L132" s="19">
        <v>0</v>
      </c>
      <c r="M132" s="126">
        <v>0</v>
      </c>
      <c r="N132" s="126">
        <f>+N$130*EEFFHist!$W139</f>
        <v>0</v>
      </c>
      <c r="O132" s="126">
        <f>+O$130*EEFFHist!$W139</f>
        <v>0</v>
      </c>
      <c r="P132" s="126">
        <f>+P$130*EEFFHist!$W139</f>
        <v>0</v>
      </c>
      <c r="Q132" s="76">
        <f>+(P138-(P138*Supuestos!H13))+P130</f>
        <v>6505.6161881517128</v>
      </c>
      <c r="R132" s="76">
        <f>+(Q138-(Q138*Supuestos!I13))+Q130</f>
        <v>9345.5319522112477</v>
      </c>
      <c r="S132" s="76">
        <f>+(R138-(R138*Supuestos!J13))+R130</f>
        <v>11993.180294202497</v>
      </c>
      <c r="T132" s="76">
        <f>+(S138-(S138*Supuestos!K13))+S130</f>
        <v>14144.837286843689</v>
      </c>
      <c r="U132" s="76">
        <f>+(T138-(T138*Supuestos!L13))+T130</f>
        <v>15461.080389820378</v>
      </c>
      <c r="V132" s="333"/>
    </row>
    <row r="133" spans="2:22" x14ac:dyDescent="0.25">
      <c r="B133" s="7" t="s">
        <v>118</v>
      </c>
      <c r="C133" s="14">
        <v>331500</v>
      </c>
      <c r="D133" s="19">
        <v>802.5</v>
      </c>
      <c r="E133" s="19">
        <v>802.5</v>
      </c>
      <c r="F133" s="19">
        <v>0</v>
      </c>
      <c r="G133" s="19">
        <v>1421.23</v>
      </c>
      <c r="H133" s="19">
        <v>1421.23</v>
      </c>
      <c r="I133" s="19">
        <v>1421.23</v>
      </c>
      <c r="J133" s="19">
        <v>0</v>
      </c>
      <c r="K133" s="19">
        <v>1990.75</v>
      </c>
      <c r="L133" s="19">
        <v>37.19</v>
      </c>
      <c r="M133" s="126">
        <v>37.19</v>
      </c>
      <c r="N133" s="126">
        <f>+N$130*EEFFHist!$W140</f>
        <v>37.19</v>
      </c>
      <c r="O133" s="126">
        <f>+O$130*EEFFHist!$W140</f>
        <v>37.19</v>
      </c>
      <c r="P133" s="126">
        <f>+P$130*EEFFHist!$W140</f>
        <v>37.19</v>
      </c>
      <c r="Q133" s="76">
        <f>+P133</f>
        <v>37.19</v>
      </c>
      <c r="R133" s="76">
        <f>+Q133</f>
        <v>37.19</v>
      </c>
      <c r="S133" s="76">
        <f>+R133</f>
        <v>37.19</v>
      </c>
      <c r="T133" s="76">
        <f>+S133</f>
        <v>37.19</v>
      </c>
      <c r="U133" s="76">
        <f>+T133</f>
        <v>37.19</v>
      </c>
      <c r="V133" s="333"/>
    </row>
    <row r="134" spans="2:22" x14ac:dyDescent="0.25">
      <c r="B134" s="6" t="s">
        <v>437</v>
      </c>
      <c r="C134" s="13">
        <v>340000</v>
      </c>
      <c r="D134" s="17">
        <f t="shared" ref="D134:K134" si="41">+D135</f>
        <v>0.43</v>
      </c>
      <c r="E134" s="17">
        <f t="shared" si="41"/>
        <v>0.43</v>
      </c>
      <c r="F134" s="17">
        <f t="shared" si="41"/>
        <v>0.43</v>
      </c>
      <c r="G134" s="17">
        <f t="shared" si="41"/>
        <v>0.43</v>
      </c>
      <c r="H134" s="17">
        <f t="shared" si="41"/>
        <v>0.43</v>
      </c>
      <c r="I134" s="17">
        <f t="shared" si="41"/>
        <v>0.43</v>
      </c>
      <c r="J134" s="17">
        <f t="shared" si="41"/>
        <v>0</v>
      </c>
      <c r="K134" s="17">
        <f t="shared" si="41"/>
        <v>0</v>
      </c>
      <c r="L134" s="17">
        <v>0</v>
      </c>
      <c r="M134" s="125">
        <v>0</v>
      </c>
      <c r="N134" s="126">
        <f>+N$130*EEFFHist!$W141</f>
        <v>0</v>
      </c>
      <c r="O134" s="126">
        <f>+O$130*EEFFHist!$W141</f>
        <v>0</v>
      </c>
      <c r="P134" s="126">
        <f>+P$130*EEFFHist!$W141</f>
        <v>0</v>
      </c>
      <c r="Q134" s="164">
        <f>+Q$130*EEFFHist!$Y141</f>
        <v>0</v>
      </c>
      <c r="R134" s="164">
        <f>+R$130*EEFFHist!$Y141</f>
        <v>0</v>
      </c>
      <c r="S134" s="164">
        <f>+S$130*EEFFHist!$Y141</f>
        <v>0</v>
      </c>
      <c r="T134" s="164">
        <f>+T$130*EEFFHist!$Y141</f>
        <v>0</v>
      </c>
      <c r="U134" s="164">
        <f>+U$130*EEFFHist!$Y141</f>
        <v>0</v>
      </c>
      <c r="V134" s="331"/>
    </row>
    <row r="135" spans="2:22" x14ac:dyDescent="0.25">
      <c r="B135" s="7" t="s">
        <v>120</v>
      </c>
      <c r="C135" s="14">
        <v>340500</v>
      </c>
      <c r="D135" s="19">
        <v>0.43</v>
      </c>
      <c r="E135" s="19">
        <v>0.43</v>
      </c>
      <c r="F135" s="19">
        <v>0.43</v>
      </c>
      <c r="G135" s="19">
        <v>0.43</v>
      </c>
      <c r="H135" s="19">
        <v>0.43</v>
      </c>
      <c r="I135" s="19">
        <v>0.43</v>
      </c>
      <c r="J135" s="19">
        <v>0</v>
      </c>
      <c r="K135" s="19">
        <v>0</v>
      </c>
      <c r="L135" s="19">
        <v>0</v>
      </c>
      <c r="M135" s="126">
        <v>0</v>
      </c>
      <c r="N135" s="126">
        <v>0</v>
      </c>
      <c r="O135" s="126">
        <v>0</v>
      </c>
      <c r="P135" s="126">
        <v>0</v>
      </c>
      <c r="Q135" s="164">
        <v>0</v>
      </c>
      <c r="R135" s="164">
        <v>0</v>
      </c>
      <c r="S135" s="164">
        <v>0</v>
      </c>
      <c r="T135" s="164">
        <v>0</v>
      </c>
      <c r="U135" s="164">
        <v>0</v>
      </c>
      <c r="V135" s="331"/>
    </row>
    <row r="136" spans="2:22" x14ac:dyDescent="0.25">
      <c r="B136" s="6" t="s">
        <v>121</v>
      </c>
      <c r="C136" s="13">
        <v>350000</v>
      </c>
      <c r="D136" s="19">
        <f>+D137</f>
        <v>0</v>
      </c>
      <c r="E136" s="19">
        <f>+E137</f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26">
        <v>0</v>
      </c>
      <c r="N136" s="126">
        <f>+N$130*EEFFHist!$W143</f>
        <v>0</v>
      </c>
      <c r="O136" s="126">
        <f>+O$130*EEFFHist!$W143</f>
        <v>0</v>
      </c>
      <c r="P136" s="126">
        <f>+P$130*EEFFHist!$W143</f>
        <v>0</v>
      </c>
      <c r="Q136" s="164">
        <v>0</v>
      </c>
      <c r="R136" s="164">
        <v>0</v>
      </c>
      <c r="S136" s="164">
        <v>0</v>
      </c>
      <c r="T136" s="164">
        <v>0</v>
      </c>
      <c r="U136" s="164">
        <v>0</v>
      </c>
      <c r="V136" s="331"/>
    </row>
    <row r="137" spans="2:22" x14ac:dyDescent="0.25">
      <c r="B137" s="7" t="s">
        <v>122</v>
      </c>
      <c r="C137" s="14">
        <v>350500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26">
        <v>0</v>
      </c>
      <c r="N137" s="126">
        <f>+N$130*EEFFHist!$W144</f>
        <v>0</v>
      </c>
      <c r="O137" s="126">
        <f>+O$130*EEFFHist!$W144</f>
        <v>0</v>
      </c>
      <c r="P137" s="126">
        <f>+P$130*EEFFHist!$W144</f>
        <v>0</v>
      </c>
      <c r="Q137" s="164">
        <v>0</v>
      </c>
      <c r="R137" s="164">
        <v>0</v>
      </c>
      <c r="S137" s="164">
        <v>0</v>
      </c>
      <c r="T137" s="164">
        <v>0</v>
      </c>
      <c r="U137" s="164">
        <v>0</v>
      </c>
      <c r="V137" s="331"/>
    </row>
    <row r="138" spans="2:22" x14ac:dyDescent="0.25">
      <c r="B138" s="6" t="s">
        <v>123</v>
      </c>
      <c r="C138" s="13">
        <v>360000</v>
      </c>
      <c r="D138" s="17">
        <f>+SUM(D139:D140)</f>
        <v>2166.02</v>
      </c>
      <c r="E138" s="17">
        <f>+SUM(E139:E140)</f>
        <v>3377.17</v>
      </c>
      <c r="F138" s="17">
        <f>+SUM(F139:F140)</f>
        <v>496.77</v>
      </c>
      <c r="G138" s="17">
        <f t="shared" ref="G138:U138" si="42">SUM(G139:G140)</f>
        <v>-2730.7</v>
      </c>
      <c r="H138" s="17">
        <f t="shared" si="42"/>
        <v>5047.26</v>
      </c>
      <c r="I138" s="17">
        <f t="shared" si="42"/>
        <v>5803.68</v>
      </c>
      <c r="J138" s="17">
        <f t="shared" si="42"/>
        <v>1914.55</v>
      </c>
      <c r="K138" s="17">
        <f t="shared" si="42"/>
        <v>-3656.9</v>
      </c>
      <c r="L138" s="17">
        <f t="shared" si="42"/>
        <v>-12541.01</v>
      </c>
      <c r="M138" s="125">
        <f t="shared" si="42"/>
        <v>2429.81</v>
      </c>
      <c r="N138" s="172">
        <f>SUM(N139:N140)</f>
        <v>1887.3032822939051</v>
      </c>
      <c r="O138" s="193">
        <f>SUM(O139:O140)</f>
        <v>3813.9278544734716</v>
      </c>
      <c r="P138" s="172">
        <f t="shared" si="42"/>
        <v>5480.4654703792821</v>
      </c>
      <c r="Q138" s="172">
        <f t="shared" si="42"/>
        <v>7006.8144101488342</v>
      </c>
      <c r="R138" s="172">
        <f t="shared" si="42"/>
        <v>8701.5278066374995</v>
      </c>
      <c r="S138" s="172">
        <f>SUM(S139:S140)</f>
        <v>10572.33496320596</v>
      </c>
      <c r="T138" s="172">
        <f t="shared" si="42"/>
        <v>12790.531029766884</v>
      </c>
      <c r="U138" s="172">
        <f t="shared" si="42"/>
        <v>15069.993206606956</v>
      </c>
      <c r="V138" s="300"/>
    </row>
    <row r="139" spans="2:22" x14ac:dyDescent="0.25">
      <c r="B139" s="7" t="s">
        <v>124</v>
      </c>
      <c r="C139" s="14">
        <v>360500</v>
      </c>
      <c r="D139" s="19">
        <v>2166.02</v>
      </c>
      <c r="E139" s="19">
        <v>3377.17</v>
      </c>
      <c r="F139" s="19">
        <v>496.77</v>
      </c>
      <c r="G139" s="19">
        <v>0</v>
      </c>
      <c r="H139" s="19">
        <v>5047.26</v>
      </c>
      <c r="I139" s="19">
        <v>5803.68</v>
      </c>
      <c r="J139" s="19">
        <v>1914.55</v>
      </c>
      <c r="K139" s="19">
        <v>0</v>
      </c>
      <c r="L139" s="19">
        <v>-12541.01</v>
      </c>
      <c r="M139" s="126">
        <v>2429.81</v>
      </c>
      <c r="N139" s="164">
        <f>+N211</f>
        <v>1887.3032822939051</v>
      </c>
      <c r="O139" s="169">
        <f t="shared" ref="O139:U139" si="43">+O211</f>
        <v>3813.9278544734716</v>
      </c>
      <c r="P139" s="164">
        <f t="shared" si="43"/>
        <v>5480.4654703792821</v>
      </c>
      <c r="Q139" s="164">
        <f t="shared" si="43"/>
        <v>7006.8144101488342</v>
      </c>
      <c r="R139" s="164">
        <f t="shared" si="43"/>
        <v>8701.5278066374995</v>
      </c>
      <c r="S139" s="164">
        <f>+S211</f>
        <v>10572.33496320596</v>
      </c>
      <c r="T139" s="164">
        <f t="shared" si="43"/>
        <v>12790.531029766884</v>
      </c>
      <c r="U139" s="164">
        <f t="shared" si="43"/>
        <v>15069.993206606956</v>
      </c>
      <c r="V139" s="331"/>
    </row>
    <row r="140" spans="2:22" x14ac:dyDescent="0.25">
      <c r="B140" s="7" t="s">
        <v>125</v>
      </c>
      <c r="C140" s="14">
        <v>361000</v>
      </c>
      <c r="D140" s="17">
        <v>0</v>
      </c>
      <c r="E140" s="17">
        <v>0</v>
      </c>
      <c r="F140" s="17">
        <v>0</v>
      </c>
      <c r="G140" s="17">
        <f>-2730.7</f>
        <v>-2730.7</v>
      </c>
      <c r="H140" s="17">
        <v>0</v>
      </c>
      <c r="I140" s="17">
        <v>0</v>
      </c>
      <c r="J140" s="17">
        <v>0</v>
      </c>
      <c r="K140" s="17">
        <v>-3656.9</v>
      </c>
      <c r="L140" s="17">
        <v>0</v>
      </c>
      <c r="M140" s="125">
        <v>0</v>
      </c>
      <c r="N140" s="164">
        <v>0</v>
      </c>
      <c r="O140" s="169">
        <v>0</v>
      </c>
      <c r="P140" s="169">
        <v>0</v>
      </c>
      <c r="Q140" s="169">
        <v>0</v>
      </c>
      <c r="R140" s="169">
        <v>0</v>
      </c>
      <c r="S140" s="169">
        <v>0</v>
      </c>
      <c r="T140" s="169">
        <v>0</v>
      </c>
      <c r="U140" s="164">
        <v>0</v>
      </c>
      <c r="V140" s="331"/>
    </row>
    <row r="141" spans="2:22" x14ac:dyDescent="0.25">
      <c r="B141" s="6" t="s">
        <v>126</v>
      </c>
      <c r="C141" s="13">
        <v>370000</v>
      </c>
      <c r="D141" s="17">
        <f>+SUM(D142:D143)</f>
        <v>0</v>
      </c>
      <c r="E141" s="17">
        <f t="shared" ref="E141:K141" si="44">+SUM(E142:E143)</f>
        <v>0</v>
      </c>
      <c r="F141" s="17">
        <f t="shared" si="44"/>
        <v>0</v>
      </c>
      <c r="G141" s="17">
        <f t="shared" si="44"/>
        <v>0</v>
      </c>
      <c r="H141" s="17">
        <f t="shared" si="44"/>
        <v>-2730.7</v>
      </c>
      <c r="I141" s="17">
        <v>0</v>
      </c>
      <c r="J141" s="17">
        <f t="shared" si="44"/>
        <v>0</v>
      </c>
      <c r="K141" s="17">
        <f t="shared" si="44"/>
        <v>0</v>
      </c>
      <c r="L141" s="17">
        <f>+SUM(L142:L143)</f>
        <v>-3656.9</v>
      </c>
      <c r="M141" s="125">
        <f>-SUM(M142:M143)</f>
        <v>-16197.92</v>
      </c>
      <c r="N141" s="17">
        <f>-SUM(N142:N143)</f>
        <v>-13768.11</v>
      </c>
      <c r="O141" s="208">
        <f>-SUM(O142:O143)</f>
        <v>-11880.806717706095</v>
      </c>
      <c r="P141" s="208">
        <f>-SUM(P142:P143)</f>
        <v>-8066.8788632326232</v>
      </c>
      <c r="Q141" s="208">
        <f>SUM(Q142:Q143)</f>
        <v>-2586.4133928533411</v>
      </c>
      <c r="R141" s="208">
        <f>SUM(R142:R143)</f>
        <v>4420.4010172954931</v>
      </c>
      <c r="S141" s="208">
        <f>SUM(S142:S143)</f>
        <v>13121.928823932993</v>
      </c>
      <c r="T141" s="208">
        <f>SUM(T142:T143)</f>
        <v>23694.263787138952</v>
      </c>
      <c r="U141" s="17">
        <f>SUM(U142:U143)</f>
        <v>36484.794816905836</v>
      </c>
      <c r="V141" s="332"/>
    </row>
    <row r="142" spans="2:22" x14ac:dyDescent="0.25">
      <c r="B142" s="7" t="s">
        <v>127</v>
      </c>
      <c r="C142" s="14">
        <v>370500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76">
        <v>-3656.9</v>
      </c>
      <c r="M142" s="125">
        <v>0</v>
      </c>
      <c r="N142" s="76">
        <v>0</v>
      </c>
      <c r="O142" s="76">
        <v>0</v>
      </c>
      <c r="P142" s="76">
        <v>0</v>
      </c>
      <c r="Q142" s="76">
        <v>0</v>
      </c>
      <c r="R142" s="76">
        <v>0</v>
      </c>
      <c r="S142" s="76">
        <v>0</v>
      </c>
      <c r="T142" s="76">
        <v>0</v>
      </c>
      <c r="U142" s="76">
        <v>0</v>
      </c>
      <c r="V142" s="333"/>
    </row>
    <row r="143" spans="2:22" x14ac:dyDescent="0.25">
      <c r="B143" s="7" t="s">
        <v>128</v>
      </c>
      <c r="C143" s="14">
        <v>371000</v>
      </c>
      <c r="D143" s="27">
        <v>0</v>
      </c>
      <c r="E143" s="27">
        <v>0</v>
      </c>
      <c r="F143" s="27">
        <v>0</v>
      </c>
      <c r="G143" s="27">
        <v>0</v>
      </c>
      <c r="H143" s="27">
        <v>-2730.7</v>
      </c>
      <c r="I143" s="27">
        <v>0</v>
      </c>
      <c r="J143" s="27">
        <v>0</v>
      </c>
      <c r="K143" s="27">
        <v>0</v>
      </c>
      <c r="L143" s="27">
        <v>0</v>
      </c>
      <c r="M143" s="201">
        <v>16197.92</v>
      </c>
      <c r="N143" s="20">
        <f>M143-M139</f>
        <v>13768.11</v>
      </c>
      <c r="O143" s="20">
        <f>N143-N139</f>
        <v>11880.806717706095</v>
      </c>
      <c r="P143" s="20">
        <f>O143-O139</f>
        <v>8066.8788632326232</v>
      </c>
      <c r="Q143" s="20">
        <f>-P143+P139</f>
        <v>-2586.4133928533411</v>
      </c>
      <c r="R143" s="20">
        <f>Q143+Q139</f>
        <v>4420.4010172954931</v>
      </c>
      <c r="S143" s="20">
        <f>R143+R139</f>
        <v>13121.928823932993</v>
      </c>
      <c r="T143" s="20">
        <f>S143+S139</f>
        <v>23694.263787138952</v>
      </c>
      <c r="U143" s="20">
        <f>T143+T139</f>
        <v>36484.794816905836</v>
      </c>
      <c r="V143" s="23"/>
    </row>
    <row r="144" spans="2:22" x14ac:dyDescent="0.25">
      <c r="B144" s="11"/>
      <c r="C144" s="12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05"/>
      <c r="O144" s="205"/>
      <c r="P144" s="205"/>
      <c r="Q144" s="205"/>
      <c r="R144" s="205"/>
      <c r="S144" s="205"/>
      <c r="T144" s="205"/>
      <c r="U144" s="205"/>
      <c r="V144" s="205"/>
    </row>
    <row r="145" spans="2:40" x14ac:dyDescent="0.25">
      <c r="B145" s="11" t="s">
        <v>166</v>
      </c>
      <c r="C145" s="12"/>
      <c r="D145" s="18">
        <f t="shared" ref="D145:L145" si="45">+D119+D80</f>
        <v>21498.609999999997</v>
      </c>
      <c r="E145" s="18">
        <f t="shared" si="45"/>
        <v>23105.050000000003</v>
      </c>
      <c r="F145" s="18">
        <f t="shared" si="45"/>
        <v>25209.08</v>
      </c>
      <c r="G145" s="18">
        <f t="shared" si="45"/>
        <v>18677.21</v>
      </c>
      <c r="H145" s="18">
        <f t="shared" si="45"/>
        <v>36354.79</v>
      </c>
      <c r="I145" s="18">
        <f t="shared" si="45"/>
        <v>64249.450000000012</v>
      </c>
      <c r="J145" s="18">
        <f t="shared" si="45"/>
        <v>71295.23</v>
      </c>
      <c r="K145" s="18">
        <f t="shared" si="45"/>
        <v>63727.45</v>
      </c>
      <c r="L145" s="18">
        <f t="shared" si="45"/>
        <v>51089.3</v>
      </c>
      <c r="M145" s="18">
        <f>+M119+M80</f>
        <v>54035.829999999994</v>
      </c>
      <c r="N145" s="18">
        <f>+N119+N80</f>
        <v>56384.946142293891</v>
      </c>
      <c r="O145" s="18">
        <f t="shared" ref="O145:U145" si="46">+O119+O80</f>
        <v>60677.127394583367</v>
      </c>
      <c r="P145" s="18">
        <f t="shared" si="46"/>
        <v>66650.48081675182</v>
      </c>
      <c r="Q145" s="18">
        <f t="shared" si="46"/>
        <v>77095.717489542585</v>
      </c>
      <c r="R145" s="18">
        <f>+R119+R80</f>
        <v>89330.756337001585</v>
      </c>
      <c r="S145" s="18">
        <f t="shared" si="46"/>
        <v>103277.98248744437</v>
      </c>
      <c r="T145" s="18">
        <f t="shared" si="46"/>
        <v>118998.68120726269</v>
      </c>
      <c r="U145" s="18">
        <f t="shared" si="46"/>
        <v>136186.58957266161</v>
      </c>
      <c r="V145" s="334"/>
      <c r="W145" s="325">
        <f>+N145/M145-1</f>
        <v>4.347330543999961E-2</v>
      </c>
      <c r="X145" s="325">
        <f t="shared" ref="X145" si="47">+O145/N145-1</f>
        <v>7.6122822596259354E-2</v>
      </c>
      <c r="Y145" s="325">
        <f t="shared" ref="Y145" si="48">+P145/O145-1</f>
        <v>9.8444894784219583E-2</v>
      </c>
      <c r="Z145" s="325">
        <f t="shared" ref="Z145" si="49">+Q145/P145-1</f>
        <v>0.15671659896211088</v>
      </c>
      <c r="AA145" s="325">
        <f t="shared" ref="AA145" si="50">+R145/Q145-1</f>
        <v>0.15869933176403195</v>
      </c>
      <c r="AB145" s="325">
        <f t="shared" ref="AB145" si="51">+S145/R145-1</f>
        <v>0.15613016974609151</v>
      </c>
      <c r="AC145" s="325">
        <f t="shared" ref="AC145" si="52">+T145/S145-1</f>
        <v>0.15221732978497626</v>
      </c>
      <c r="AD145" s="325">
        <f>+U145/T145-1</f>
        <v>0.14443780545317431</v>
      </c>
    </row>
    <row r="146" spans="2:40" x14ac:dyDescent="0.25">
      <c r="B146" s="11"/>
      <c r="C146" s="12"/>
      <c r="D146" s="22">
        <f t="shared" ref="D146:U146" si="53">+D145-D6</f>
        <v>0</v>
      </c>
      <c r="E146" s="22">
        <f t="shared" si="53"/>
        <v>0</v>
      </c>
      <c r="F146" s="22">
        <f t="shared" si="53"/>
        <v>0</v>
      </c>
      <c r="G146" s="22">
        <f t="shared" si="53"/>
        <v>0</v>
      </c>
      <c r="H146" s="22">
        <f t="shared" si="53"/>
        <v>0</v>
      </c>
      <c r="I146" s="22">
        <f t="shared" si="53"/>
        <v>0</v>
      </c>
      <c r="J146" s="22">
        <f t="shared" si="53"/>
        <v>0</v>
      </c>
      <c r="K146" s="22">
        <f t="shared" si="53"/>
        <v>0</v>
      </c>
      <c r="L146" s="22">
        <f t="shared" si="53"/>
        <v>0</v>
      </c>
      <c r="M146" s="22">
        <f t="shared" si="53"/>
        <v>0</v>
      </c>
      <c r="N146" s="22">
        <f>+N145-N6</f>
        <v>0</v>
      </c>
      <c r="O146" s="22">
        <f>+O145-O6</f>
        <v>0</v>
      </c>
      <c r="P146" s="22">
        <f t="shared" si="53"/>
        <v>0</v>
      </c>
      <c r="Q146" s="22">
        <f t="shared" si="53"/>
        <v>0</v>
      </c>
      <c r="R146" s="22">
        <f t="shared" si="53"/>
        <v>0</v>
      </c>
      <c r="S146" s="22">
        <f t="shared" si="53"/>
        <v>0</v>
      </c>
      <c r="T146" s="22">
        <f t="shared" si="53"/>
        <v>0</v>
      </c>
      <c r="U146" s="22">
        <f t="shared" si="53"/>
        <v>0</v>
      </c>
      <c r="V146" s="22"/>
    </row>
    <row r="147" spans="2:40" x14ac:dyDescent="0.25">
      <c r="B147" s="11"/>
      <c r="C147" s="12"/>
      <c r="D147" s="10"/>
      <c r="E147" s="10"/>
      <c r="L147" s="106"/>
      <c r="N147" s="153"/>
      <c r="O147" s="220"/>
      <c r="P147" s="153"/>
      <c r="Q147" s="153"/>
      <c r="R147" s="153"/>
      <c r="S147" s="153"/>
      <c r="T147" s="153"/>
      <c r="U147" s="220"/>
      <c r="V147" s="220"/>
    </row>
    <row r="148" spans="2:40" x14ac:dyDescent="0.25">
      <c r="B148" s="11"/>
      <c r="C148" s="12"/>
      <c r="D148" s="10"/>
      <c r="E148" s="10"/>
      <c r="O148" s="106"/>
    </row>
    <row r="149" spans="2:40" x14ac:dyDescent="0.25">
      <c r="B149" s="54"/>
    </row>
    <row r="150" spans="2:40" x14ac:dyDescent="0.25">
      <c r="B150" s="385" t="s">
        <v>181</v>
      </c>
      <c r="C150" s="385"/>
      <c r="D150" s="384" t="s">
        <v>404</v>
      </c>
      <c r="E150" s="384"/>
      <c r="F150" s="384"/>
      <c r="G150" s="384"/>
      <c r="H150" s="384"/>
      <c r="I150" s="384"/>
      <c r="J150" s="384"/>
      <c r="K150" s="384"/>
      <c r="L150" s="384"/>
      <c r="M150" s="384"/>
      <c r="N150" s="401" t="s">
        <v>207</v>
      </c>
      <c r="O150" s="401"/>
      <c r="P150" s="401"/>
      <c r="Q150" s="401"/>
      <c r="R150" s="401"/>
      <c r="S150" s="401"/>
      <c r="T150" s="401"/>
      <c r="U150" s="401"/>
      <c r="V150" s="339"/>
      <c r="W150" s="392" t="s">
        <v>438</v>
      </c>
      <c r="X150" s="393"/>
      <c r="Y150" s="393"/>
      <c r="Z150" s="393"/>
      <c r="AA150" s="393"/>
      <c r="AB150" s="393"/>
      <c r="AC150" s="393"/>
      <c r="AD150" s="394"/>
      <c r="AF150" s="395" t="s">
        <v>439</v>
      </c>
      <c r="AG150" s="396"/>
      <c r="AH150" s="396"/>
      <c r="AI150" s="396"/>
      <c r="AJ150" s="396"/>
      <c r="AK150" s="396"/>
      <c r="AL150" s="396"/>
      <c r="AM150" s="397"/>
    </row>
    <row r="151" spans="2:40" x14ac:dyDescent="0.25">
      <c r="C151" s="4" t="s">
        <v>0</v>
      </c>
      <c r="D151" s="26">
        <v>2003</v>
      </c>
      <c r="E151" s="36">
        <v>2004</v>
      </c>
      <c r="F151" s="26">
        <v>2005</v>
      </c>
      <c r="G151" s="36">
        <v>2006</v>
      </c>
      <c r="H151" s="26">
        <v>2007</v>
      </c>
      <c r="I151" s="26">
        <v>2008</v>
      </c>
      <c r="J151" s="26">
        <v>2009</v>
      </c>
      <c r="K151" s="26">
        <v>2010</v>
      </c>
      <c r="L151" s="26">
        <v>2011</v>
      </c>
      <c r="M151" s="87">
        <v>2012</v>
      </c>
      <c r="N151" s="162">
        <v>2013</v>
      </c>
      <c r="O151" s="167">
        <v>2014</v>
      </c>
      <c r="P151" s="162">
        <v>2015</v>
      </c>
      <c r="Q151" s="162">
        <v>2016</v>
      </c>
      <c r="R151" s="162">
        <v>2017</v>
      </c>
      <c r="S151" s="162">
        <v>2018</v>
      </c>
      <c r="T151" s="162">
        <v>2019</v>
      </c>
      <c r="U151" s="162">
        <v>2020</v>
      </c>
      <c r="V151" s="340"/>
      <c r="W151" s="231">
        <v>2013</v>
      </c>
      <c r="X151" s="231">
        <v>2014</v>
      </c>
      <c r="Y151" s="231">
        <v>2015</v>
      </c>
      <c r="Z151" s="231">
        <v>2016</v>
      </c>
      <c r="AA151" s="231">
        <v>2017</v>
      </c>
      <c r="AB151" s="231">
        <v>2018</v>
      </c>
      <c r="AC151" s="231">
        <v>2019</v>
      </c>
      <c r="AD151" s="231">
        <v>2020</v>
      </c>
      <c r="AF151" s="326">
        <v>2013</v>
      </c>
      <c r="AG151" s="326">
        <v>2014</v>
      </c>
      <c r="AH151" s="326">
        <v>2015</v>
      </c>
      <c r="AI151" s="326">
        <v>2016</v>
      </c>
      <c r="AJ151" s="326">
        <v>2017</v>
      </c>
      <c r="AK151" s="326">
        <v>2018</v>
      </c>
      <c r="AL151" s="326">
        <v>2019</v>
      </c>
      <c r="AM151" s="326">
        <v>2020</v>
      </c>
    </row>
    <row r="152" spans="2:40" s="34" customFormat="1" x14ac:dyDescent="0.25">
      <c r="B152" s="33" t="s">
        <v>182</v>
      </c>
      <c r="C152" s="230">
        <v>400000</v>
      </c>
      <c r="D152" s="46">
        <f t="shared" ref="D152:L152" si="54">+D153+D160</f>
        <v>9083.35</v>
      </c>
      <c r="E152" s="46">
        <f t="shared" si="54"/>
        <v>11962.86</v>
      </c>
      <c r="F152" s="48">
        <f t="shared" si="54"/>
        <v>10536.189999999999</v>
      </c>
      <c r="G152" s="48">
        <f t="shared" si="54"/>
        <v>8972.5949999999993</v>
      </c>
      <c r="H152" s="48">
        <f t="shared" si="54"/>
        <v>16616.79</v>
      </c>
      <c r="I152" s="48">
        <f t="shared" si="54"/>
        <v>26240.38</v>
      </c>
      <c r="J152" s="48">
        <f t="shared" si="54"/>
        <v>22830.63</v>
      </c>
      <c r="K152" s="48">
        <f t="shared" si="54"/>
        <v>19455.29</v>
      </c>
      <c r="L152" s="48">
        <f t="shared" si="54"/>
        <v>20456.55</v>
      </c>
      <c r="M152" s="46">
        <f>+M153+M160</f>
        <v>21562.45</v>
      </c>
      <c r="N152" s="48">
        <f>+N153+N160</f>
        <v>20881.490482286266</v>
      </c>
      <c r="O152" s="168">
        <f t="shared" ref="O152:U152" si="55">+O153+O160</f>
        <v>24400.150014097304</v>
      </c>
      <c r="P152" s="48">
        <f t="shared" si="55"/>
        <v>27459.975833721102</v>
      </c>
      <c r="Q152" s="48">
        <f t="shared" si="55"/>
        <v>30343.506125645683</v>
      </c>
      <c r="R152" s="48">
        <f t="shared" si="55"/>
        <v>33489.381904755704</v>
      </c>
      <c r="S152" s="48">
        <f t="shared" si="55"/>
        <v>36908.993417437276</v>
      </c>
      <c r="T152" s="48">
        <f t="shared" si="55"/>
        <v>40866.293118528498</v>
      </c>
      <c r="U152" s="48">
        <f t="shared" si="55"/>
        <v>44934.819489939357</v>
      </c>
      <c r="V152" s="334"/>
      <c r="W152" s="321">
        <f t="shared" ref="W152:X172" si="56">+N152/M152-1</f>
        <v>-3.1580804487140068E-2</v>
      </c>
      <c r="X152" s="321">
        <f t="shared" si="56"/>
        <v>0.16850614829415123</v>
      </c>
      <c r="Y152" s="321">
        <f t="shared" ref="Y152:Y172" si="57">+P152/O152-1</f>
        <v>0.12540192653963067</v>
      </c>
      <c r="Z152" s="321">
        <f t="shared" ref="Z152:Z172" si="58">+Q152/P152-1</f>
        <v>0.10500847886339293</v>
      </c>
      <c r="AA152" s="321">
        <f t="shared" ref="AA152:AA172" si="59">+R152/Q152-1</f>
        <v>0.10367542122797713</v>
      </c>
      <c r="AB152" s="321">
        <f t="shared" ref="AB152:AB172" si="60">+S152/R152-1</f>
        <v>0.10211032029217493</v>
      </c>
      <c r="AC152" s="321">
        <f t="shared" ref="AC152:AC172" si="61">+T152/S152-1</f>
        <v>0.10721776279115858</v>
      </c>
      <c r="AD152" s="321">
        <f t="shared" ref="AD152:AD172" si="62">+U152/T152-1</f>
        <v>9.9557020246747507E-2</v>
      </c>
      <c r="AF152" s="328">
        <f>+AF153+AF160</f>
        <v>1</v>
      </c>
      <c r="AG152" s="328">
        <f t="shared" ref="AG152:AM152" si="63">+AG153+AG160</f>
        <v>1</v>
      </c>
      <c r="AH152" s="328">
        <f t="shared" si="63"/>
        <v>1</v>
      </c>
      <c r="AI152" s="328">
        <f t="shared" si="63"/>
        <v>1</v>
      </c>
      <c r="AJ152" s="328">
        <f t="shared" si="63"/>
        <v>1</v>
      </c>
      <c r="AK152" s="328">
        <f t="shared" si="63"/>
        <v>0.99999999999999989</v>
      </c>
      <c r="AL152" s="328">
        <f t="shared" si="63"/>
        <v>0.99999999999999989</v>
      </c>
      <c r="AM152" s="328">
        <f t="shared" si="63"/>
        <v>1</v>
      </c>
    </row>
    <row r="153" spans="2:40" s="34" customFormat="1" x14ac:dyDescent="0.25">
      <c r="B153" s="11" t="s">
        <v>129</v>
      </c>
      <c r="C153" s="230">
        <v>410000</v>
      </c>
      <c r="D153" s="46">
        <f t="shared" ref="D153:M153" si="64">+SUM(D154:D159)</f>
        <v>7693.78</v>
      </c>
      <c r="E153" s="46">
        <f t="shared" si="64"/>
        <v>9948.93</v>
      </c>
      <c r="F153" s="46">
        <f t="shared" si="64"/>
        <v>9533.4599999999991</v>
      </c>
      <c r="G153" s="46">
        <f t="shared" si="64"/>
        <v>7852.71</v>
      </c>
      <c r="H153" s="46">
        <f t="shared" si="64"/>
        <v>12975.3</v>
      </c>
      <c r="I153" s="46">
        <f t="shared" si="64"/>
        <v>22013.27</v>
      </c>
      <c r="J153" s="46">
        <f t="shared" si="64"/>
        <v>19837.29</v>
      </c>
      <c r="K153" s="46">
        <f t="shared" si="64"/>
        <v>17522.870000000003</v>
      </c>
      <c r="L153" s="48">
        <f t="shared" si="64"/>
        <v>18807.3</v>
      </c>
      <c r="M153" s="46">
        <f t="shared" si="64"/>
        <v>19620.84</v>
      </c>
      <c r="N153" s="172">
        <f>+SUM(N154:N159)</f>
        <v>18992.528722286264</v>
      </c>
      <c r="O153" s="193">
        <f t="shared" ref="O153:U153" si="65">+SUM(O154:O159)</f>
        <v>22443.941215441304</v>
      </c>
      <c r="P153" s="172">
        <f t="shared" si="65"/>
        <v>25443.907045826229</v>
      </c>
      <c r="Q153" s="172">
        <f t="shared" si="65"/>
        <v>28264.132777810912</v>
      </c>
      <c r="R153" s="172">
        <f t="shared" si="65"/>
        <v>31345.547983138051</v>
      </c>
      <c r="S153" s="172">
        <f t="shared" si="65"/>
        <v>34699.558177818122</v>
      </c>
      <c r="T153" s="172">
        <f t="shared" si="65"/>
        <v>38589.249160576997</v>
      </c>
      <c r="U153" s="172">
        <f t="shared" si="65"/>
        <v>42588.097986874542</v>
      </c>
      <c r="V153" s="300"/>
      <c r="W153" s="321">
        <f t="shared" si="56"/>
        <v>-3.2022649270557979E-2</v>
      </c>
      <c r="X153" s="321">
        <f t="shared" si="56"/>
        <v>0.18172474785335324</v>
      </c>
      <c r="Y153" s="321">
        <f t="shared" si="57"/>
        <v>0.13366484084002872</v>
      </c>
      <c r="Z153" s="321">
        <f t="shared" si="58"/>
        <v>0.11084090689787773</v>
      </c>
      <c r="AA153" s="321">
        <f t="shared" si="59"/>
        <v>0.1090221033686285</v>
      </c>
      <c r="AB153" s="321">
        <f t="shared" si="60"/>
        <v>0.10700116636928225</v>
      </c>
      <c r="AC153" s="321">
        <f t="shared" si="61"/>
        <v>0.11209626828174946</v>
      </c>
      <c r="AD153" s="321">
        <f t="shared" si="62"/>
        <v>0.10362598167322701</v>
      </c>
      <c r="AF153" s="328">
        <f t="shared" ref="AF153:AM153" si="66">+N$153/N152</f>
        <v>0.90953894016318404</v>
      </c>
      <c r="AG153" s="328">
        <f t="shared" si="66"/>
        <v>0.91982800115877195</v>
      </c>
      <c r="AH153" s="328">
        <f t="shared" si="66"/>
        <v>0.92658155272594511</v>
      </c>
      <c r="AI153" s="328">
        <f t="shared" si="66"/>
        <v>0.93147221223465249</v>
      </c>
      <c r="AJ153" s="328">
        <f t="shared" si="66"/>
        <v>0.93598466738756936</v>
      </c>
      <c r="AK153" s="328">
        <f t="shared" si="66"/>
        <v>0.9401382959803144</v>
      </c>
      <c r="AL153" s="328">
        <f t="shared" si="66"/>
        <v>0.94428063364232306</v>
      </c>
      <c r="AM153" s="328">
        <f t="shared" si="66"/>
        <v>0.94777498764426482</v>
      </c>
    </row>
    <row r="154" spans="2:40" s="34" customFormat="1" ht="30" x14ac:dyDescent="0.25">
      <c r="B154" s="8" t="s">
        <v>186</v>
      </c>
      <c r="C154" s="15">
        <v>410400</v>
      </c>
      <c r="D154" s="46">
        <v>0</v>
      </c>
      <c r="E154" s="46">
        <v>0</v>
      </c>
      <c r="F154" s="48">
        <v>0</v>
      </c>
      <c r="G154" s="48">
        <v>0</v>
      </c>
      <c r="H154" s="48">
        <v>0</v>
      </c>
      <c r="I154" s="48">
        <v>0</v>
      </c>
      <c r="J154" s="42">
        <v>145.88</v>
      </c>
      <c r="K154" s="42">
        <v>485.83</v>
      </c>
      <c r="L154" s="42">
        <v>748.1</v>
      </c>
      <c r="M154" s="41">
        <v>289.32</v>
      </c>
      <c r="N154" s="163">
        <v>0</v>
      </c>
      <c r="O154" s="170">
        <v>0</v>
      </c>
      <c r="P154" s="163">
        <v>0</v>
      </c>
      <c r="Q154" s="163">
        <v>0</v>
      </c>
      <c r="R154" s="163">
        <v>0</v>
      </c>
      <c r="S154" s="163">
        <v>0</v>
      </c>
      <c r="T154" s="163">
        <v>0</v>
      </c>
      <c r="U154" s="163">
        <v>0</v>
      </c>
      <c r="V154" s="335"/>
      <c r="W154" s="322">
        <f t="shared" si="56"/>
        <v>-1</v>
      </c>
      <c r="X154" s="322" t="e">
        <f t="shared" si="56"/>
        <v>#DIV/0!</v>
      </c>
      <c r="Y154" s="322" t="e">
        <f t="shared" si="57"/>
        <v>#DIV/0!</v>
      </c>
      <c r="Z154" s="322" t="e">
        <f t="shared" si="58"/>
        <v>#DIV/0!</v>
      </c>
      <c r="AA154" s="322" t="e">
        <f t="shared" si="59"/>
        <v>#DIV/0!</v>
      </c>
      <c r="AB154" s="322" t="e">
        <f t="shared" si="60"/>
        <v>#DIV/0!</v>
      </c>
      <c r="AC154" s="322" t="e">
        <f t="shared" si="61"/>
        <v>#DIV/0!</v>
      </c>
      <c r="AD154" s="322" t="e">
        <f t="shared" si="62"/>
        <v>#DIV/0!</v>
      </c>
      <c r="AF154" s="329">
        <f t="shared" ref="AF154:AM159" si="67">+N154/N$153</f>
        <v>0</v>
      </c>
      <c r="AG154" s="329">
        <f t="shared" si="67"/>
        <v>0</v>
      </c>
      <c r="AH154" s="329">
        <f t="shared" si="67"/>
        <v>0</v>
      </c>
      <c r="AI154" s="329">
        <f t="shared" si="67"/>
        <v>0</v>
      </c>
      <c r="AJ154" s="329">
        <f t="shared" si="67"/>
        <v>0</v>
      </c>
      <c r="AK154" s="329">
        <f t="shared" si="67"/>
        <v>0</v>
      </c>
      <c r="AL154" s="329">
        <f t="shared" si="67"/>
        <v>0</v>
      </c>
      <c r="AM154" s="329">
        <f t="shared" si="67"/>
        <v>0</v>
      </c>
      <c r="AN154" s="320"/>
    </row>
    <row r="155" spans="2:40" x14ac:dyDescent="0.25">
      <c r="B155" s="8" t="s">
        <v>130</v>
      </c>
      <c r="C155" s="15">
        <v>412500</v>
      </c>
      <c r="D155" s="41">
        <v>0</v>
      </c>
      <c r="E155" s="41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42">
        <v>0</v>
      </c>
      <c r="M155" s="41">
        <v>0</v>
      </c>
      <c r="N155" s="163">
        <v>0</v>
      </c>
      <c r="O155" s="170">
        <v>0</v>
      </c>
      <c r="P155" s="163">
        <v>0</v>
      </c>
      <c r="Q155" s="163">
        <v>0</v>
      </c>
      <c r="R155" s="163">
        <v>0</v>
      </c>
      <c r="S155" s="163">
        <v>0</v>
      </c>
      <c r="T155" s="163">
        <v>0</v>
      </c>
      <c r="U155" s="163">
        <v>0</v>
      </c>
      <c r="V155" s="335"/>
      <c r="W155" s="322" t="e">
        <f t="shared" si="56"/>
        <v>#DIV/0!</v>
      </c>
      <c r="X155" s="322" t="e">
        <f t="shared" si="56"/>
        <v>#DIV/0!</v>
      </c>
      <c r="Y155" s="322" t="e">
        <f t="shared" si="57"/>
        <v>#DIV/0!</v>
      </c>
      <c r="Z155" s="322" t="e">
        <f t="shared" si="58"/>
        <v>#DIV/0!</v>
      </c>
      <c r="AA155" s="322" t="e">
        <f t="shared" si="59"/>
        <v>#DIV/0!</v>
      </c>
      <c r="AB155" s="322" t="e">
        <f t="shared" si="60"/>
        <v>#DIV/0!</v>
      </c>
      <c r="AC155" s="322" t="e">
        <f t="shared" si="61"/>
        <v>#DIV/0!</v>
      </c>
      <c r="AD155" s="322" t="e">
        <f t="shared" si="62"/>
        <v>#DIV/0!</v>
      </c>
      <c r="AF155" s="329">
        <f t="shared" si="67"/>
        <v>0</v>
      </c>
      <c r="AG155" s="329">
        <f t="shared" si="67"/>
        <v>0</v>
      </c>
      <c r="AH155" s="329">
        <f t="shared" si="67"/>
        <v>0</v>
      </c>
      <c r="AI155" s="329">
        <f t="shared" si="67"/>
        <v>0</v>
      </c>
      <c r="AJ155" s="329">
        <f t="shared" si="67"/>
        <v>0</v>
      </c>
      <c r="AK155" s="329">
        <f t="shared" si="67"/>
        <v>0</v>
      </c>
      <c r="AL155" s="329">
        <f t="shared" si="67"/>
        <v>0</v>
      </c>
      <c r="AM155" s="329">
        <f t="shared" si="67"/>
        <v>0</v>
      </c>
      <c r="AN155" s="320"/>
    </row>
    <row r="156" spans="2:40" x14ac:dyDescent="0.25">
      <c r="B156" s="8" t="s">
        <v>440</v>
      </c>
      <c r="C156" s="15">
        <v>412900</v>
      </c>
      <c r="D156" s="41">
        <v>0</v>
      </c>
      <c r="E156" s="41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1">
        <v>0</v>
      </c>
      <c r="N156" s="163">
        <v>0</v>
      </c>
      <c r="O156" s="170">
        <v>0</v>
      </c>
      <c r="P156" s="163">
        <v>0</v>
      </c>
      <c r="Q156" s="163">
        <v>0</v>
      </c>
      <c r="R156" s="163">
        <v>0</v>
      </c>
      <c r="S156" s="163">
        <v>0</v>
      </c>
      <c r="T156" s="163">
        <v>0</v>
      </c>
      <c r="U156" s="163">
        <v>0</v>
      </c>
      <c r="V156" s="335"/>
      <c r="W156" s="322" t="e">
        <f t="shared" si="56"/>
        <v>#DIV/0!</v>
      </c>
      <c r="X156" s="322" t="e">
        <f t="shared" si="56"/>
        <v>#DIV/0!</v>
      </c>
      <c r="Y156" s="322" t="e">
        <f t="shared" si="57"/>
        <v>#DIV/0!</v>
      </c>
      <c r="Z156" s="322" t="e">
        <f t="shared" si="58"/>
        <v>#DIV/0!</v>
      </c>
      <c r="AA156" s="322" t="e">
        <f t="shared" si="59"/>
        <v>#DIV/0!</v>
      </c>
      <c r="AB156" s="322" t="e">
        <f t="shared" si="60"/>
        <v>#DIV/0!</v>
      </c>
      <c r="AC156" s="322" t="e">
        <f t="shared" si="61"/>
        <v>#DIV/0!</v>
      </c>
      <c r="AD156" s="322" t="e">
        <f t="shared" si="62"/>
        <v>#DIV/0!</v>
      </c>
      <c r="AF156" s="329">
        <f t="shared" si="67"/>
        <v>0</v>
      </c>
      <c r="AG156" s="329">
        <f t="shared" si="67"/>
        <v>0</v>
      </c>
      <c r="AH156" s="329">
        <f t="shared" si="67"/>
        <v>0</v>
      </c>
      <c r="AI156" s="329">
        <f t="shared" si="67"/>
        <v>0</v>
      </c>
      <c r="AJ156" s="329">
        <f t="shared" si="67"/>
        <v>0</v>
      </c>
      <c r="AK156" s="329">
        <f t="shared" si="67"/>
        <v>0</v>
      </c>
      <c r="AL156" s="329">
        <f t="shared" si="67"/>
        <v>0</v>
      </c>
      <c r="AM156" s="329">
        <f t="shared" si="67"/>
        <v>0</v>
      </c>
      <c r="AN156" s="320"/>
    </row>
    <row r="157" spans="2:40" x14ac:dyDescent="0.25">
      <c r="B157" s="8" t="s">
        <v>132</v>
      </c>
      <c r="C157" s="15">
        <v>414000</v>
      </c>
      <c r="D157" s="41">
        <v>7693.78</v>
      </c>
      <c r="E157" s="41">
        <v>9924.77</v>
      </c>
      <c r="F157" s="42">
        <v>9533.4599999999991</v>
      </c>
      <c r="G157" s="42">
        <v>7852.71</v>
      </c>
      <c r="H157" s="42">
        <v>12975.3</v>
      </c>
      <c r="I157" s="42">
        <v>21998.79</v>
      </c>
      <c r="J157" s="42">
        <v>19691.41</v>
      </c>
      <c r="K157" s="42">
        <v>17033.48</v>
      </c>
      <c r="L157" s="42">
        <v>18059.2</v>
      </c>
      <c r="M157" s="41">
        <v>19331.52</v>
      </c>
      <c r="N157" s="164">
        <f>+PryIngresos!Y40</f>
        <v>18992.528722286264</v>
      </c>
      <c r="O157" s="169">
        <f>+PryIngresos!Y41</f>
        <v>22443.941215441304</v>
      </c>
      <c r="P157" s="164">
        <f>+PryIngresos!Y42</f>
        <v>25443.907045826229</v>
      </c>
      <c r="Q157" s="164">
        <f>+PryIngresos!Y43</f>
        <v>28264.132777810912</v>
      </c>
      <c r="R157" s="164">
        <f>+PryIngresos!Y44</f>
        <v>31345.547983138051</v>
      </c>
      <c r="S157" s="164">
        <f>+PryIngresos!Y45</f>
        <v>34699.558177818122</v>
      </c>
      <c r="T157" s="164">
        <f>+PryIngresos!Y46</f>
        <v>38589.249160576997</v>
      </c>
      <c r="U157" s="164">
        <f>+PryIngresos!Y47</f>
        <v>42588.097986874542</v>
      </c>
      <c r="V157" s="331"/>
      <c r="W157" s="322">
        <f t="shared" si="56"/>
        <v>-1.7535676331387084E-2</v>
      </c>
      <c r="X157" s="322">
        <f t="shared" si="56"/>
        <v>0.18172474785335324</v>
      </c>
      <c r="Y157" s="322">
        <f t="shared" si="57"/>
        <v>0.13366484084002872</v>
      </c>
      <c r="Z157" s="322">
        <f t="shared" si="58"/>
        <v>0.11084090689787773</v>
      </c>
      <c r="AA157" s="322">
        <f t="shared" si="59"/>
        <v>0.1090221033686285</v>
      </c>
      <c r="AB157" s="322">
        <f t="shared" si="60"/>
        <v>0.10700116636928225</v>
      </c>
      <c r="AC157" s="322">
        <f t="shared" si="61"/>
        <v>0.11209626828174946</v>
      </c>
      <c r="AD157" s="322">
        <f t="shared" si="62"/>
        <v>0.10362598167322701</v>
      </c>
      <c r="AF157" s="329">
        <f t="shared" si="67"/>
        <v>1</v>
      </c>
      <c r="AG157" s="329">
        <f t="shared" si="67"/>
        <v>1</v>
      </c>
      <c r="AH157" s="329">
        <f t="shared" si="67"/>
        <v>1</v>
      </c>
      <c r="AI157" s="329">
        <f t="shared" si="67"/>
        <v>1</v>
      </c>
      <c r="AJ157" s="329">
        <f t="shared" si="67"/>
        <v>1</v>
      </c>
      <c r="AK157" s="329">
        <f t="shared" si="67"/>
        <v>1</v>
      </c>
      <c r="AL157" s="329">
        <f t="shared" si="67"/>
        <v>1</v>
      </c>
      <c r="AM157" s="329">
        <f t="shared" si="67"/>
        <v>1</v>
      </c>
      <c r="AN157" s="320"/>
    </row>
    <row r="158" spans="2:40" x14ac:dyDescent="0.25">
      <c r="B158" s="8" t="s">
        <v>187</v>
      </c>
      <c r="C158" s="15">
        <v>419000</v>
      </c>
      <c r="D158" s="41"/>
      <c r="E158" s="41"/>
      <c r="F158" s="42"/>
      <c r="G158" s="42"/>
      <c r="H158" s="42"/>
      <c r="I158" s="42"/>
      <c r="J158" s="42"/>
      <c r="K158" s="42">
        <v>3.56</v>
      </c>
      <c r="L158" s="42">
        <v>0</v>
      </c>
      <c r="M158" s="41">
        <v>0</v>
      </c>
      <c r="N158" s="163">
        <v>0</v>
      </c>
      <c r="O158" s="170">
        <v>0</v>
      </c>
      <c r="P158" s="163">
        <v>0</v>
      </c>
      <c r="Q158" s="163">
        <v>0</v>
      </c>
      <c r="R158" s="163">
        <v>0</v>
      </c>
      <c r="S158" s="163">
        <v>0</v>
      </c>
      <c r="T158" s="163">
        <v>0</v>
      </c>
      <c r="U158" s="163">
        <v>0</v>
      </c>
      <c r="V158" s="335"/>
      <c r="W158" s="322" t="e">
        <f t="shared" si="56"/>
        <v>#DIV/0!</v>
      </c>
      <c r="X158" s="322" t="e">
        <f t="shared" si="56"/>
        <v>#DIV/0!</v>
      </c>
      <c r="Y158" s="322" t="e">
        <f t="shared" si="57"/>
        <v>#DIV/0!</v>
      </c>
      <c r="Z158" s="322" t="e">
        <f t="shared" si="58"/>
        <v>#DIV/0!</v>
      </c>
      <c r="AA158" s="322" t="e">
        <f t="shared" si="59"/>
        <v>#DIV/0!</v>
      </c>
      <c r="AB158" s="322" t="e">
        <f t="shared" si="60"/>
        <v>#DIV/0!</v>
      </c>
      <c r="AC158" s="322" t="e">
        <f t="shared" si="61"/>
        <v>#DIV/0!</v>
      </c>
      <c r="AD158" s="322" t="e">
        <f t="shared" si="62"/>
        <v>#DIV/0!</v>
      </c>
      <c r="AF158" s="329">
        <f t="shared" si="67"/>
        <v>0</v>
      </c>
      <c r="AG158" s="329">
        <f t="shared" si="67"/>
        <v>0</v>
      </c>
      <c r="AH158" s="329">
        <f t="shared" si="67"/>
        <v>0</v>
      </c>
      <c r="AI158" s="329">
        <f t="shared" si="67"/>
        <v>0</v>
      </c>
      <c r="AJ158" s="329">
        <f t="shared" si="67"/>
        <v>0</v>
      </c>
      <c r="AK158" s="329">
        <f t="shared" si="67"/>
        <v>0</v>
      </c>
      <c r="AL158" s="329">
        <f t="shared" si="67"/>
        <v>0</v>
      </c>
      <c r="AM158" s="329">
        <f t="shared" si="67"/>
        <v>0</v>
      </c>
      <c r="AN158" s="320"/>
    </row>
    <row r="159" spans="2:40" x14ac:dyDescent="0.25">
      <c r="B159" s="8" t="s">
        <v>47</v>
      </c>
      <c r="C159" s="15">
        <v>419500</v>
      </c>
      <c r="D159" s="41">
        <v>0</v>
      </c>
      <c r="E159" s="41">
        <v>24.16</v>
      </c>
      <c r="F159" s="42">
        <v>0</v>
      </c>
      <c r="G159" s="42">
        <v>0</v>
      </c>
      <c r="H159" s="42">
        <v>0</v>
      </c>
      <c r="I159" s="42">
        <v>14.48</v>
      </c>
      <c r="J159" s="42">
        <v>0</v>
      </c>
      <c r="K159" s="42">
        <v>0</v>
      </c>
      <c r="L159" s="42">
        <v>0</v>
      </c>
      <c r="M159" s="41">
        <v>0</v>
      </c>
      <c r="N159" s="163">
        <v>0</v>
      </c>
      <c r="O159" s="170">
        <v>0</v>
      </c>
      <c r="P159" s="163">
        <v>0</v>
      </c>
      <c r="Q159" s="163">
        <v>0</v>
      </c>
      <c r="R159" s="163">
        <v>0</v>
      </c>
      <c r="S159" s="163">
        <v>0</v>
      </c>
      <c r="T159" s="163">
        <v>0</v>
      </c>
      <c r="U159" s="163">
        <v>0</v>
      </c>
      <c r="V159" s="335"/>
      <c r="W159" s="322" t="e">
        <f t="shared" si="56"/>
        <v>#DIV/0!</v>
      </c>
      <c r="X159" s="322" t="e">
        <f t="shared" si="56"/>
        <v>#DIV/0!</v>
      </c>
      <c r="Y159" s="322" t="e">
        <f t="shared" si="57"/>
        <v>#DIV/0!</v>
      </c>
      <c r="Z159" s="322" t="e">
        <f t="shared" si="58"/>
        <v>#DIV/0!</v>
      </c>
      <c r="AA159" s="322" t="e">
        <f t="shared" si="59"/>
        <v>#DIV/0!</v>
      </c>
      <c r="AB159" s="322" t="e">
        <f t="shared" si="60"/>
        <v>#DIV/0!</v>
      </c>
      <c r="AC159" s="322" t="e">
        <f t="shared" si="61"/>
        <v>#DIV/0!</v>
      </c>
      <c r="AD159" s="322" t="e">
        <f t="shared" si="62"/>
        <v>#DIV/0!</v>
      </c>
      <c r="AF159" s="329">
        <f t="shared" si="67"/>
        <v>0</v>
      </c>
      <c r="AG159" s="329">
        <f t="shared" si="67"/>
        <v>0</v>
      </c>
      <c r="AH159" s="329">
        <f t="shared" si="67"/>
        <v>0</v>
      </c>
      <c r="AI159" s="329">
        <f t="shared" si="67"/>
        <v>0</v>
      </c>
      <c r="AJ159" s="329">
        <f t="shared" si="67"/>
        <v>0</v>
      </c>
      <c r="AK159" s="329">
        <f t="shared" si="67"/>
        <v>0</v>
      </c>
      <c r="AL159" s="329">
        <f t="shared" si="67"/>
        <v>0</v>
      </c>
      <c r="AM159" s="329">
        <f t="shared" si="67"/>
        <v>0</v>
      </c>
      <c r="AN159" s="320"/>
    </row>
    <row r="160" spans="2:40" s="34" customFormat="1" x14ac:dyDescent="0.25">
      <c r="B160" s="11" t="s">
        <v>133</v>
      </c>
      <c r="C160" s="230">
        <v>420000</v>
      </c>
      <c r="D160" s="46">
        <f t="shared" ref="D160:M160" si="68">+SUM(D161:D172)</f>
        <v>1389.57</v>
      </c>
      <c r="E160" s="46">
        <f t="shared" si="68"/>
        <v>2013.9299999999998</v>
      </c>
      <c r="F160" s="48">
        <f t="shared" si="68"/>
        <v>1002.7299999999999</v>
      </c>
      <c r="G160" s="48">
        <f t="shared" si="68"/>
        <v>1119.885</v>
      </c>
      <c r="H160" s="48">
        <f t="shared" si="68"/>
        <v>3641.4900000000002</v>
      </c>
      <c r="I160" s="48">
        <f t="shared" si="68"/>
        <v>4227.1100000000006</v>
      </c>
      <c r="J160" s="48">
        <f t="shared" si="68"/>
        <v>2993.34</v>
      </c>
      <c r="K160" s="48">
        <f t="shared" si="68"/>
        <v>1932.4199999999998</v>
      </c>
      <c r="L160" s="48">
        <f t="shared" si="68"/>
        <v>1649.2500000000002</v>
      </c>
      <c r="M160" s="46">
        <f t="shared" si="68"/>
        <v>1941.6100000000001</v>
      </c>
      <c r="N160" s="165">
        <f>+AVERAGE(K160:M160)*(1+Supuestos!E5)</f>
        <v>1888.9617600000001</v>
      </c>
      <c r="O160" s="194">
        <f>+N160*(1+Supuestos!F5)</f>
        <v>1956.2087986560002</v>
      </c>
      <c r="P160" s="165">
        <f>+O160*(1+Supuestos!G5)</f>
        <v>2016.0687878948738</v>
      </c>
      <c r="Q160" s="165">
        <f>+P160*(1+Supuestos!H5)</f>
        <v>2079.3733478347731</v>
      </c>
      <c r="R160" s="165">
        <f>+Q160*(1+Supuestos!I5)</f>
        <v>2143.833921617651</v>
      </c>
      <c r="S160" s="165">
        <f>+R160*(1+Supuestos!J5)</f>
        <v>2209.4352396191512</v>
      </c>
      <c r="T160" s="165">
        <f>+S160*(1+Supuestos!K5)</f>
        <v>2277.0439579514973</v>
      </c>
      <c r="U160" s="165">
        <f>+T160*(1+Supuestos!L5)</f>
        <v>2346.7215030648131</v>
      </c>
      <c r="V160" s="336"/>
      <c r="W160" s="321">
        <f t="shared" si="56"/>
        <v>-2.7115764751932669E-2</v>
      </c>
      <c r="X160" s="321">
        <f t="shared" si="56"/>
        <v>3.5600000000000076E-2</v>
      </c>
      <c r="Y160" s="321">
        <f t="shared" si="57"/>
        <v>3.0599999999999961E-2</v>
      </c>
      <c r="Z160" s="321">
        <f t="shared" si="58"/>
        <v>3.1400000000000095E-2</v>
      </c>
      <c r="AA160" s="321">
        <f t="shared" si="59"/>
        <v>3.0999999999999917E-2</v>
      </c>
      <c r="AB160" s="321">
        <f t="shared" si="60"/>
        <v>3.0599999999999961E-2</v>
      </c>
      <c r="AC160" s="321">
        <f t="shared" si="61"/>
        <v>3.0599999999999961E-2</v>
      </c>
      <c r="AD160" s="321">
        <f t="shared" si="62"/>
        <v>3.0599999999999961E-2</v>
      </c>
      <c r="AF160" s="328">
        <f t="shared" ref="AF160:AM160" si="69">+N160/N152</f>
        <v>9.0461059836815919E-2</v>
      </c>
      <c r="AG160" s="328">
        <f t="shared" si="69"/>
        <v>8.0171998841228068E-2</v>
      </c>
      <c r="AH160" s="328">
        <f t="shared" si="69"/>
        <v>7.3418447274054874E-2</v>
      </c>
      <c r="AI160" s="328">
        <f t="shared" si="69"/>
        <v>6.8527787765347625E-2</v>
      </c>
      <c r="AJ160" s="328">
        <f t="shared" si="69"/>
        <v>6.40153326124306E-2</v>
      </c>
      <c r="AK160" s="328">
        <f t="shared" si="69"/>
        <v>5.9861704019685512E-2</v>
      </c>
      <c r="AL160" s="328">
        <f t="shared" si="69"/>
        <v>5.5719366357676839E-2</v>
      </c>
      <c r="AM160" s="328">
        <f t="shared" si="69"/>
        <v>5.2225012355735186E-2</v>
      </c>
    </row>
    <row r="161" spans="2:50" x14ac:dyDescent="0.25">
      <c r="B161" s="8" t="s">
        <v>134</v>
      </c>
      <c r="C161" s="15">
        <v>420500</v>
      </c>
      <c r="D161" s="41">
        <v>660.02</v>
      </c>
      <c r="E161" s="41">
        <v>999.65</v>
      </c>
      <c r="F161" s="42">
        <v>629.11</v>
      </c>
      <c r="G161" s="42">
        <v>681.89499999999998</v>
      </c>
      <c r="H161" s="42">
        <v>490.74</v>
      </c>
      <c r="I161" s="42">
        <v>1637.03</v>
      </c>
      <c r="J161" s="42">
        <v>1421.77</v>
      </c>
      <c r="K161" s="42">
        <v>1447.35</v>
      </c>
      <c r="L161" s="42">
        <v>878.1</v>
      </c>
      <c r="M161" s="41">
        <v>973.59</v>
      </c>
      <c r="N161" s="163">
        <f>+N$160*EEFFHist!$Y168</f>
        <v>1122.5730422154209</v>
      </c>
      <c r="O161" s="170">
        <f>+O$160*EEFFHist!$Y168</f>
        <v>1162.5366425182899</v>
      </c>
      <c r="P161" s="163">
        <f>+P$160*EEFFHist!$Y168</f>
        <v>1198.1102637793495</v>
      </c>
      <c r="Q161" s="163">
        <f>+Q$160*EEFFHist!$Y168</f>
        <v>1235.7309260620214</v>
      </c>
      <c r="R161" s="163">
        <f>+R$160*EEFFHist!$Y168</f>
        <v>1274.0385847699438</v>
      </c>
      <c r="S161" s="163">
        <f>+S$160*EEFFHist!$Y168</f>
        <v>1313.0241654639042</v>
      </c>
      <c r="T161" s="163">
        <f>+T$160*EEFFHist!$Y168</f>
        <v>1353.2027049270998</v>
      </c>
      <c r="U161" s="163">
        <f>+U$160*EEFFHist!$Y168</f>
        <v>1394.610707697869</v>
      </c>
      <c r="V161" s="335"/>
      <c r="W161" s="322">
        <f t="shared" si="56"/>
        <v>0.15302441707024594</v>
      </c>
      <c r="X161" s="322">
        <f t="shared" si="56"/>
        <v>3.5600000000000076E-2</v>
      </c>
      <c r="Y161" s="322">
        <f t="shared" si="57"/>
        <v>3.0599999999999961E-2</v>
      </c>
      <c r="Z161" s="322">
        <f t="shared" si="58"/>
        <v>3.1400000000000317E-2</v>
      </c>
      <c r="AA161" s="322">
        <f t="shared" si="59"/>
        <v>3.0999999999999917E-2</v>
      </c>
      <c r="AB161" s="322">
        <f t="shared" si="60"/>
        <v>3.0600000000000183E-2</v>
      </c>
      <c r="AC161" s="322">
        <f t="shared" si="61"/>
        <v>3.0600000000000183E-2</v>
      </c>
      <c r="AD161" s="322">
        <f t="shared" si="62"/>
        <v>3.0599999999999961E-2</v>
      </c>
      <c r="AF161" s="329">
        <f t="shared" ref="AF161:AF172" si="70">+N161/N$160</f>
        <v>0.59428044864996143</v>
      </c>
      <c r="AG161" s="329">
        <f t="shared" ref="AG161:AG172" si="71">+O161/O$160</f>
        <v>0.59428044864996143</v>
      </c>
      <c r="AH161" s="329">
        <f t="shared" ref="AH161:AH172" si="72">+P161/P$160</f>
        <v>0.59428044864996143</v>
      </c>
      <c r="AI161" s="329">
        <f t="shared" ref="AI161:AI172" si="73">+Q161/Q$160</f>
        <v>0.59428044864996143</v>
      </c>
      <c r="AJ161" s="329">
        <f t="shared" ref="AJ161:AJ172" si="74">+R161/R$160</f>
        <v>0.59428044864996143</v>
      </c>
      <c r="AK161" s="329">
        <f t="shared" ref="AK161:AK172" si="75">+S161/S$160</f>
        <v>0.59428044864996143</v>
      </c>
      <c r="AL161" s="329">
        <f t="shared" ref="AL161:AL172" si="76">+T161/T$160</f>
        <v>0.59428044864996143</v>
      </c>
      <c r="AM161" s="329">
        <f t="shared" ref="AM161:AM172" si="77">+U161/U$160</f>
        <v>0.59428044864996143</v>
      </c>
    </row>
    <row r="162" spans="2:50" x14ac:dyDescent="0.25">
      <c r="B162" s="8" t="s">
        <v>185</v>
      </c>
      <c r="C162" s="15">
        <v>421000</v>
      </c>
      <c r="D162" s="41">
        <v>0</v>
      </c>
      <c r="E162" s="41">
        <v>0</v>
      </c>
      <c r="F162" s="42">
        <v>0</v>
      </c>
      <c r="G162" s="42">
        <v>0</v>
      </c>
      <c r="H162" s="42">
        <v>0</v>
      </c>
      <c r="I162" s="42">
        <v>25.19</v>
      </c>
      <c r="J162" s="42">
        <v>0</v>
      </c>
      <c r="K162" s="42">
        <v>22.53</v>
      </c>
      <c r="L162" s="42">
        <v>12.69</v>
      </c>
      <c r="M162" s="41">
        <v>0.01</v>
      </c>
      <c r="N162" s="163">
        <f>+N$160*EEFFHist!$Y169</f>
        <v>12.189163621563964</v>
      </c>
      <c r="O162" s="170">
        <f>+O$160*EEFFHist!$Y169</f>
        <v>12.623097846491641</v>
      </c>
      <c r="P162" s="163">
        <f>+P$160*EEFFHist!$Y169</f>
        <v>13.009364640594285</v>
      </c>
      <c r="Q162" s="163">
        <f>+Q$160*EEFFHist!$Y169</f>
        <v>13.417858690308949</v>
      </c>
      <c r="R162" s="163">
        <f>+R$160*EEFFHist!$Y169</f>
        <v>13.833812309708524</v>
      </c>
      <c r="S162" s="163">
        <f>+S$160*EEFFHist!$Y169</f>
        <v>14.257126966385606</v>
      </c>
      <c r="T162" s="163">
        <f>+T$160*EEFFHist!$Y169</f>
        <v>14.693395051557006</v>
      </c>
      <c r="U162" s="163">
        <f>+U$160*EEFFHist!$Y169</f>
        <v>15.14301294013465</v>
      </c>
      <c r="V162" s="335"/>
      <c r="W162" s="322">
        <f t="shared" si="56"/>
        <v>1217.9163621563964</v>
      </c>
      <c r="X162" s="322">
        <f t="shared" si="56"/>
        <v>3.5600000000000076E-2</v>
      </c>
      <c r="Y162" s="322">
        <f t="shared" si="57"/>
        <v>3.0599999999999961E-2</v>
      </c>
      <c r="Z162" s="322">
        <f t="shared" si="58"/>
        <v>3.1400000000000317E-2</v>
      </c>
      <c r="AA162" s="322">
        <f t="shared" si="59"/>
        <v>3.0999999999999917E-2</v>
      </c>
      <c r="AB162" s="322">
        <f t="shared" si="60"/>
        <v>3.0600000000000183E-2</v>
      </c>
      <c r="AC162" s="322">
        <f t="shared" si="61"/>
        <v>3.0600000000000183E-2</v>
      </c>
      <c r="AD162" s="322">
        <f t="shared" si="62"/>
        <v>3.0599999999999961E-2</v>
      </c>
      <c r="AF162" s="329">
        <f t="shared" si="70"/>
        <v>6.4528376802947896E-3</v>
      </c>
      <c r="AG162" s="329">
        <f t="shared" si="71"/>
        <v>6.4528376802947896E-3</v>
      </c>
      <c r="AH162" s="329">
        <f t="shared" si="72"/>
        <v>6.4528376802947896E-3</v>
      </c>
      <c r="AI162" s="329">
        <f t="shared" si="73"/>
        <v>6.4528376802947896E-3</v>
      </c>
      <c r="AJ162" s="329">
        <f t="shared" si="74"/>
        <v>6.4528376802947896E-3</v>
      </c>
      <c r="AK162" s="329">
        <f t="shared" si="75"/>
        <v>6.4528376802947896E-3</v>
      </c>
      <c r="AL162" s="329">
        <f t="shared" si="76"/>
        <v>6.4528376802947896E-3</v>
      </c>
      <c r="AM162" s="329">
        <f t="shared" si="77"/>
        <v>6.4528376802947896E-3</v>
      </c>
    </row>
    <row r="163" spans="2:50" ht="30" x14ac:dyDescent="0.25">
      <c r="B163" s="8" t="s">
        <v>441</v>
      </c>
      <c r="C163" s="15">
        <v>421500</v>
      </c>
      <c r="D163" s="41">
        <v>523.75</v>
      </c>
      <c r="E163" s="41">
        <v>334.69</v>
      </c>
      <c r="F163" s="42">
        <v>223.43</v>
      </c>
      <c r="G163" s="42">
        <v>47.545000000000002</v>
      </c>
      <c r="H163" s="42">
        <v>213.66</v>
      </c>
      <c r="I163" s="42">
        <v>512.67999999999995</v>
      </c>
      <c r="J163" s="42">
        <v>863.69</v>
      </c>
      <c r="K163" s="42">
        <v>-33.83</v>
      </c>
      <c r="L163" s="42">
        <v>-21.86</v>
      </c>
      <c r="M163" s="41">
        <v>163.1</v>
      </c>
      <c r="N163" s="163">
        <f>+N$160*EEFFHist!$Y170</f>
        <v>33.523653541609491</v>
      </c>
      <c r="O163" s="170">
        <f>+O$160*EEFFHist!$Y170</f>
        <v>34.717095607690787</v>
      </c>
      <c r="P163" s="163">
        <f>+P$160*EEFFHist!$Y170</f>
        <v>35.779438733286128</v>
      </c>
      <c r="Q163" s="163">
        <f>+Q$160*EEFFHist!$Y170</f>
        <v>36.902913109511317</v>
      </c>
      <c r="R163" s="163">
        <f>+R$160*EEFFHist!$Y170</f>
        <v>38.046903415906165</v>
      </c>
      <c r="S163" s="163">
        <f>+S$160*EEFFHist!$Y170</f>
        <v>39.211138660432894</v>
      </c>
      <c r="T163" s="163">
        <f>+T$160*EEFFHist!$Y170</f>
        <v>40.410999503442142</v>
      </c>
      <c r="U163" s="163">
        <f>+U$160*EEFFHist!$Y170</f>
        <v>41.647576088247469</v>
      </c>
      <c r="V163" s="335"/>
      <c r="W163" s="322">
        <f t="shared" si="56"/>
        <v>-0.79445951231385958</v>
      </c>
      <c r="X163" s="322">
        <f t="shared" si="56"/>
        <v>3.5599999999999854E-2</v>
      </c>
      <c r="Y163" s="322">
        <f t="shared" si="57"/>
        <v>3.0600000000000183E-2</v>
      </c>
      <c r="Z163" s="322">
        <f t="shared" si="58"/>
        <v>3.1400000000000095E-2</v>
      </c>
      <c r="AA163" s="322">
        <f t="shared" si="59"/>
        <v>3.0999999999999917E-2</v>
      </c>
      <c r="AB163" s="322">
        <f t="shared" si="60"/>
        <v>3.0599999999999961E-2</v>
      </c>
      <c r="AC163" s="322">
        <f t="shared" si="61"/>
        <v>3.0599999999999961E-2</v>
      </c>
      <c r="AD163" s="322">
        <f t="shared" si="62"/>
        <v>3.0599999999999961E-2</v>
      </c>
      <c r="AF163" s="329">
        <f t="shared" si="70"/>
        <v>1.7747131917381687E-2</v>
      </c>
      <c r="AG163" s="329">
        <f t="shared" si="71"/>
        <v>1.7747131917381687E-2</v>
      </c>
      <c r="AH163" s="329">
        <f t="shared" si="72"/>
        <v>1.7747131917381687E-2</v>
      </c>
      <c r="AI163" s="329">
        <f t="shared" si="73"/>
        <v>1.7747131917381687E-2</v>
      </c>
      <c r="AJ163" s="329">
        <f t="shared" si="74"/>
        <v>1.7747131917381687E-2</v>
      </c>
      <c r="AK163" s="329">
        <f t="shared" si="75"/>
        <v>1.7747131917381687E-2</v>
      </c>
      <c r="AL163" s="329">
        <f t="shared" si="76"/>
        <v>1.7747131917381687E-2</v>
      </c>
      <c r="AM163" s="329">
        <f t="shared" si="77"/>
        <v>1.7747131917381687E-2</v>
      </c>
    </row>
    <row r="164" spans="2:50" ht="30" x14ac:dyDescent="0.25">
      <c r="B164" s="8" t="s">
        <v>136</v>
      </c>
      <c r="C164" s="15">
        <v>421600</v>
      </c>
      <c r="D164" s="41">
        <v>0</v>
      </c>
      <c r="E164" s="41">
        <v>0</v>
      </c>
      <c r="F164" s="42">
        <v>0</v>
      </c>
      <c r="G164" s="42">
        <v>61.454999999999998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1">
        <v>0</v>
      </c>
      <c r="N164" s="163">
        <f>+N$160*EEFFHist!$Y171</f>
        <v>0</v>
      </c>
      <c r="O164" s="170">
        <f>+O$160*EEFFHist!$Y171</f>
        <v>0</v>
      </c>
      <c r="P164" s="163">
        <f>+P$160*EEFFHist!$Y171</f>
        <v>0</v>
      </c>
      <c r="Q164" s="163">
        <f>+Q$160*EEFFHist!$Y171</f>
        <v>0</v>
      </c>
      <c r="R164" s="163">
        <f>+R$160*EEFFHist!$Y171</f>
        <v>0</v>
      </c>
      <c r="S164" s="163">
        <f>+S$160*EEFFHist!$Y171</f>
        <v>0</v>
      </c>
      <c r="T164" s="163">
        <f>+T$160*EEFFHist!$Y171</f>
        <v>0</v>
      </c>
      <c r="U164" s="163">
        <f>+U$160*EEFFHist!$Y171</f>
        <v>0</v>
      </c>
      <c r="V164" s="335"/>
      <c r="W164" s="322" t="e">
        <f t="shared" si="56"/>
        <v>#DIV/0!</v>
      </c>
      <c r="X164" s="322" t="e">
        <f t="shared" si="56"/>
        <v>#DIV/0!</v>
      </c>
      <c r="Y164" s="322" t="e">
        <f t="shared" si="57"/>
        <v>#DIV/0!</v>
      </c>
      <c r="Z164" s="322" t="e">
        <f t="shared" si="58"/>
        <v>#DIV/0!</v>
      </c>
      <c r="AA164" s="322" t="e">
        <f t="shared" si="59"/>
        <v>#DIV/0!</v>
      </c>
      <c r="AB164" s="322" t="e">
        <f t="shared" si="60"/>
        <v>#DIV/0!</v>
      </c>
      <c r="AC164" s="322" t="e">
        <f t="shared" si="61"/>
        <v>#DIV/0!</v>
      </c>
      <c r="AD164" s="322" t="e">
        <f t="shared" si="62"/>
        <v>#DIV/0!</v>
      </c>
      <c r="AF164" s="329">
        <f t="shared" si="70"/>
        <v>0</v>
      </c>
      <c r="AG164" s="329">
        <f t="shared" si="71"/>
        <v>0</v>
      </c>
      <c r="AH164" s="329">
        <f t="shared" si="72"/>
        <v>0</v>
      </c>
      <c r="AI164" s="329">
        <f t="shared" si="73"/>
        <v>0</v>
      </c>
      <c r="AJ164" s="329">
        <f t="shared" si="74"/>
        <v>0</v>
      </c>
      <c r="AK164" s="329">
        <f t="shared" si="75"/>
        <v>0</v>
      </c>
      <c r="AL164" s="329">
        <f t="shared" si="76"/>
        <v>0</v>
      </c>
      <c r="AM164" s="329">
        <f t="shared" si="77"/>
        <v>0</v>
      </c>
    </row>
    <row r="165" spans="2:50" x14ac:dyDescent="0.25">
      <c r="B165" s="8" t="s">
        <v>137</v>
      </c>
      <c r="C165" s="15">
        <v>422500</v>
      </c>
      <c r="D165" s="41">
        <v>0.56000000000000005</v>
      </c>
      <c r="E165" s="41">
        <v>0</v>
      </c>
      <c r="F165" s="42">
        <v>0</v>
      </c>
      <c r="G165" s="42">
        <v>0</v>
      </c>
      <c r="H165" s="42">
        <v>0.25</v>
      </c>
      <c r="I165" s="42">
        <v>10.43</v>
      </c>
      <c r="J165" s="42">
        <v>24.01</v>
      </c>
      <c r="K165" s="42">
        <v>11.5</v>
      </c>
      <c r="L165" s="42">
        <v>0</v>
      </c>
      <c r="M165" s="41">
        <v>0</v>
      </c>
      <c r="N165" s="163">
        <f>+N$160*EEFFHist!$Y172</f>
        <v>3.7471254075201048</v>
      </c>
      <c r="O165" s="170">
        <f>+O$160*EEFFHist!$Y172</f>
        <v>3.8805230720278208</v>
      </c>
      <c r="P165" s="163">
        <f>+P$160*EEFFHist!$Y172</f>
        <v>3.9992670780318722</v>
      </c>
      <c r="Q165" s="163">
        <f>+Q$160*EEFFHist!$Y172</f>
        <v>4.1248440642820734</v>
      </c>
      <c r="R165" s="163">
        <f>+R$160*EEFFHist!$Y172</f>
        <v>4.2527142302748171</v>
      </c>
      <c r="S165" s="163">
        <f>+S$160*EEFFHist!$Y172</f>
        <v>4.3828472857212271</v>
      </c>
      <c r="T165" s="163">
        <f>+T$160*EEFFHist!$Y172</f>
        <v>4.5169624126642969</v>
      </c>
      <c r="U165" s="163">
        <f>+U$160*EEFFHist!$Y172</f>
        <v>4.6551814624918242</v>
      </c>
      <c r="V165" s="335"/>
      <c r="W165" s="322" t="e">
        <f t="shared" si="56"/>
        <v>#DIV/0!</v>
      </c>
      <c r="X165" s="322">
        <f t="shared" si="56"/>
        <v>3.5600000000000076E-2</v>
      </c>
      <c r="Y165" s="322">
        <f t="shared" si="57"/>
        <v>3.0599999999999961E-2</v>
      </c>
      <c r="Z165" s="322">
        <f t="shared" si="58"/>
        <v>3.1400000000000095E-2</v>
      </c>
      <c r="AA165" s="322">
        <f t="shared" si="59"/>
        <v>3.0999999999999917E-2</v>
      </c>
      <c r="AB165" s="322">
        <f t="shared" si="60"/>
        <v>3.0600000000000183E-2</v>
      </c>
      <c r="AC165" s="322">
        <f t="shared" si="61"/>
        <v>3.0599999999999961E-2</v>
      </c>
      <c r="AD165" s="322">
        <f t="shared" si="62"/>
        <v>3.0599999999999961E-2</v>
      </c>
      <c r="AF165" s="329">
        <f t="shared" si="70"/>
        <v>1.9836957459213492E-3</v>
      </c>
      <c r="AG165" s="329">
        <f t="shared" si="71"/>
        <v>1.9836957459213492E-3</v>
      </c>
      <c r="AH165" s="329">
        <f t="shared" si="72"/>
        <v>1.9836957459213492E-3</v>
      </c>
      <c r="AI165" s="329">
        <f t="shared" si="73"/>
        <v>1.9836957459213492E-3</v>
      </c>
      <c r="AJ165" s="329">
        <f t="shared" si="74"/>
        <v>1.9836957459213492E-3</v>
      </c>
      <c r="AK165" s="329">
        <f t="shared" si="75"/>
        <v>1.9836957459213492E-3</v>
      </c>
      <c r="AL165" s="329">
        <f t="shared" si="76"/>
        <v>1.9836957459213492E-3</v>
      </c>
      <c r="AM165" s="329">
        <f t="shared" si="77"/>
        <v>1.9836957459213492E-3</v>
      </c>
    </row>
    <row r="166" spans="2:50" x14ac:dyDescent="0.25">
      <c r="B166" s="8" t="s">
        <v>138</v>
      </c>
      <c r="C166" s="15">
        <v>423000</v>
      </c>
      <c r="D166" s="41">
        <v>13.14</v>
      </c>
      <c r="E166" s="41">
        <v>21.64</v>
      </c>
      <c r="F166" s="42">
        <v>78.03</v>
      </c>
      <c r="G166" s="42">
        <v>69.344999999999999</v>
      </c>
      <c r="H166" s="42">
        <v>14.9</v>
      </c>
      <c r="I166" s="42">
        <v>48.1</v>
      </c>
      <c r="J166" s="42">
        <v>15.41</v>
      </c>
      <c r="K166" s="42">
        <v>54.86</v>
      </c>
      <c r="L166" s="42">
        <v>8.8699999999999992</v>
      </c>
      <c r="M166" s="41">
        <v>159.57</v>
      </c>
      <c r="N166" s="163">
        <f>+N$160*EEFFHist!$Y173</f>
        <v>73.0095359577236</v>
      </c>
      <c r="O166" s="170">
        <f>+O$160*EEFFHist!$Y173</f>
        <v>75.608675437818562</v>
      </c>
      <c r="P166" s="163">
        <f>+P$160*EEFFHist!$Y173</f>
        <v>77.92230090621581</v>
      </c>
      <c r="Q166" s="163">
        <f>+Q$160*EEFFHist!$Y173</f>
        <v>80.369061154671002</v>
      </c>
      <c r="R166" s="163">
        <f>+R$160*EEFFHist!$Y173</f>
        <v>82.860502050465797</v>
      </c>
      <c r="S166" s="163">
        <f>+S$160*EEFFHist!$Y173</f>
        <v>85.396033413210048</v>
      </c>
      <c r="T166" s="163">
        <f>+T$160*EEFFHist!$Y173</f>
        <v>88.009152035654282</v>
      </c>
      <c r="U166" s="163">
        <f>+U$160*EEFFHist!$Y173</f>
        <v>90.702232087945305</v>
      </c>
      <c r="V166" s="335"/>
      <c r="W166" s="322">
        <f t="shared" si="56"/>
        <v>-0.5424607635663119</v>
      </c>
      <c r="X166" s="322">
        <f t="shared" si="56"/>
        <v>3.5600000000000076E-2</v>
      </c>
      <c r="Y166" s="322">
        <f t="shared" si="57"/>
        <v>3.0599999999999961E-2</v>
      </c>
      <c r="Z166" s="322">
        <f t="shared" si="58"/>
        <v>3.1400000000000095E-2</v>
      </c>
      <c r="AA166" s="322">
        <f t="shared" si="59"/>
        <v>3.0999999999999917E-2</v>
      </c>
      <c r="AB166" s="322">
        <f t="shared" si="60"/>
        <v>3.0599999999999961E-2</v>
      </c>
      <c r="AC166" s="322">
        <f t="shared" si="61"/>
        <v>3.0599999999999961E-2</v>
      </c>
      <c r="AD166" s="322">
        <f t="shared" si="62"/>
        <v>3.0599999999999961E-2</v>
      </c>
      <c r="AF166" s="329">
        <f t="shared" si="70"/>
        <v>3.8650616176435247E-2</v>
      </c>
      <c r="AG166" s="329">
        <f t="shared" si="71"/>
        <v>3.8650616176435247E-2</v>
      </c>
      <c r="AH166" s="329">
        <f t="shared" si="72"/>
        <v>3.8650616176435247E-2</v>
      </c>
      <c r="AI166" s="329">
        <f t="shared" si="73"/>
        <v>3.8650616176435247E-2</v>
      </c>
      <c r="AJ166" s="329">
        <f t="shared" si="74"/>
        <v>3.8650616176435247E-2</v>
      </c>
      <c r="AK166" s="329">
        <f t="shared" si="75"/>
        <v>3.8650616176435247E-2</v>
      </c>
      <c r="AL166" s="329">
        <f t="shared" si="76"/>
        <v>3.8650616176435247E-2</v>
      </c>
      <c r="AM166" s="329">
        <f t="shared" si="77"/>
        <v>3.8650616176435247E-2</v>
      </c>
    </row>
    <row r="167" spans="2:50" x14ac:dyDescent="0.25">
      <c r="B167" s="8" t="s">
        <v>23</v>
      </c>
      <c r="C167" s="15">
        <v>423300</v>
      </c>
      <c r="D167" s="41">
        <v>19.7</v>
      </c>
      <c r="E167" s="41">
        <v>23.09</v>
      </c>
      <c r="F167" s="42">
        <v>55.78</v>
      </c>
      <c r="G167" s="42">
        <v>53.344999999999999</v>
      </c>
      <c r="H167" s="42">
        <v>57.41</v>
      </c>
      <c r="I167" s="42">
        <v>42.82</v>
      </c>
      <c r="J167" s="42">
        <v>19.39</v>
      </c>
      <c r="K167" s="42">
        <v>44.43</v>
      </c>
      <c r="L167" s="42">
        <v>85.98</v>
      </c>
      <c r="M167" s="41">
        <v>388.17</v>
      </c>
      <c r="N167" s="163">
        <f>+N$160*EEFFHist!$Y174</f>
        <v>173.1840428436771</v>
      </c>
      <c r="O167" s="170">
        <f>+O$160*EEFFHist!$Y174</f>
        <v>179.34939476891202</v>
      </c>
      <c r="P167" s="163">
        <f>+P$160*EEFFHist!$Y174</f>
        <v>184.83748624884072</v>
      </c>
      <c r="Q167" s="163">
        <f>+Q$160*EEFFHist!$Y174</f>
        <v>190.64138331705433</v>
      </c>
      <c r="R167" s="163">
        <f>+R$160*EEFFHist!$Y174</f>
        <v>196.55126619988303</v>
      </c>
      <c r="S167" s="163">
        <f>+S$160*EEFFHist!$Y174</f>
        <v>202.56573494559944</v>
      </c>
      <c r="T167" s="163">
        <f>+T$160*EEFFHist!$Y174</f>
        <v>208.76424643493479</v>
      </c>
      <c r="U167" s="163">
        <f>+U$160*EEFFHist!$Y174</f>
        <v>215.1524323758438</v>
      </c>
      <c r="V167" s="335"/>
      <c r="W167" s="322">
        <f t="shared" si="56"/>
        <v>-0.55384485446150633</v>
      </c>
      <c r="X167" s="322">
        <f t="shared" si="56"/>
        <v>3.5600000000000076E-2</v>
      </c>
      <c r="Y167" s="322">
        <f t="shared" si="57"/>
        <v>3.0599999999999961E-2</v>
      </c>
      <c r="Z167" s="322">
        <f t="shared" si="58"/>
        <v>3.1400000000000095E-2</v>
      </c>
      <c r="AA167" s="322">
        <f t="shared" si="59"/>
        <v>3.1000000000000139E-2</v>
      </c>
      <c r="AB167" s="322">
        <f t="shared" si="60"/>
        <v>3.0599999999999961E-2</v>
      </c>
      <c r="AC167" s="322">
        <f t="shared" si="61"/>
        <v>3.0599999999999961E-2</v>
      </c>
      <c r="AD167" s="322">
        <f t="shared" si="62"/>
        <v>3.0599999999999961E-2</v>
      </c>
      <c r="AF167" s="329">
        <f t="shared" si="70"/>
        <v>9.1682132751949988E-2</v>
      </c>
      <c r="AG167" s="329">
        <f t="shared" si="71"/>
        <v>9.1682132751949988E-2</v>
      </c>
      <c r="AH167" s="329">
        <f t="shared" si="72"/>
        <v>9.1682132751949988E-2</v>
      </c>
      <c r="AI167" s="329">
        <f t="shared" si="73"/>
        <v>9.1682132751949988E-2</v>
      </c>
      <c r="AJ167" s="329">
        <f t="shared" si="74"/>
        <v>9.1682132751949988E-2</v>
      </c>
      <c r="AK167" s="329">
        <f t="shared" si="75"/>
        <v>9.1682132751949988E-2</v>
      </c>
      <c r="AL167" s="329">
        <f t="shared" si="76"/>
        <v>9.1682132751949988E-2</v>
      </c>
      <c r="AM167" s="329">
        <f t="shared" si="77"/>
        <v>9.1682132751949988E-2</v>
      </c>
    </row>
    <row r="168" spans="2:50" x14ac:dyDescent="0.25">
      <c r="B168" s="8" t="s">
        <v>139</v>
      </c>
      <c r="C168" s="15">
        <v>423400</v>
      </c>
      <c r="D168" s="41">
        <v>1.52</v>
      </c>
      <c r="E168" s="41">
        <v>3.41</v>
      </c>
      <c r="F168" s="42">
        <v>4.21</v>
      </c>
      <c r="G168" s="42">
        <v>5.05</v>
      </c>
      <c r="H168" s="42">
        <v>16.64</v>
      </c>
      <c r="I168" s="42">
        <v>0</v>
      </c>
      <c r="J168" s="42">
        <v>0</v>
      </c>
      <c r="K168" s="42">
        <v>0</v>
      </c>
      <c r="L168" s="42">
        <v>0</v>
      </c>
      <c r="M168" s="41">
        <v>0</v>
      </c>
      <c r="N168" s="163">
        <f>+N$160*EEFFHist!$Y175</f>
        <v>0</v>
      </c>
      <c r="O168" s="170">
        <f>+O$160*EEFFHist!$Y175</f>
        <v>0</v>
      </c>
      <c r="P168" s="163">
        <f>+P$160*EEFFHist!$Y175</f>
        <v>0</v>
      </c>
      <c r="Q168" s="163">
        <f>+Q$160*EEFFHist!$Y175</f>
        <v>0</v>
      </c>
      <c r="R168" s="163">
        <f>+R$160*EEFFHist!$Y175</f>
        <v>0</v>
      </c>
      <c r="S168" s="163">
        <f>+S$160*EEFFHist!$Y175</f>
        <v>0</v>
      </c>
      <c r="T168" s="163">
        <f>+T$160*EEFFHist!$Y175</f>
        <v>0</v>
      </c>
      <c r="U168" s="163">
        <f>+U$160*EEFFHist!$Y175</f>
        <v>0</v>
      </c>
      <c r="V168" s="335"/>
      <c r="W168" s="322" t="e">
        <f t="shared" si="56"/>
        <v>#DIV/0!</v>
      </c>
      <c r="X168" s="322" t="e">
        <f t="shared" si="56"/>
        <v>#DIV/0!</v>
      </c>
      <c r="Y168" s="322" t="e">
        <f t="shared" si="57"/>
        <v>#DIV/0!</v>
      </c>
      <c r="Z168" s="322" t="e">
        <f t="shared" si="58"/>
        <v>#DIV/0!</v>
      </c>
      <c r="AA168" s="322" t="e">
        <f t="shared" si="59"/>
        <v>#DIV/0!</v>
      </c>
      <c r="AB168" s="322" t="e">
        <f t="shared" si="60"/>
        <v>#DIV/0!</v>
      </c>
      <c r="AC168" s="322" t="e">
        <f t="shared" si="61"/>
        <v>#DIV/0!</v>
      </c>
      <c r="AD168" s="322" t="e">
        <f t="shared" si="62"/>
        <v>#DIV/0!</v>
      </c>
      <c r="AF168" s="329">
        <f t="shared" si="70"/>
        <v>0</v>
      </c>
      <c r="AG168" s="329">
        <f t="shared" si="71"/>
        <v>0</v>
      </c>
      <c r="AH168" s="329">
        <f t="shared" si="72"/>
        <v>0</v>
      </c>
      <c r="AI168" s="329">
        <f t="shared" si="73"/>
        <v>0</v>
      </c>
      <c r="AJ168" s="329">
        <f t="shared" si="74"/>
        <v>0</v>
      </c>
      <c r="AK168" s="329">
        <f t="shared" si="75"/>
        <v>0</v>
      </c>
      <c r="AL168" s="329">
        <f t="shared" si="76"/>
        <v>0</v>
      </c>
      <c r="AM168" s="329">
        <f t="shared" si="77"/>
        <v>0</v>
      </c>
    </row>
    <row r="169" spans="2:50" x14ac:dyDescent="0.25">
      <c r="B169" s="8" t="s">
        <v>140</v>
      </c>
      <c r="C169" s="15">
        <v>423500</v>
      </c>
      <c r="D169" s="41">
        <v>41.99</v>
      </c>
      <c r="E169" s="41">
        <v>0</v>
      </c>
      <c r="F169" s="42">
        <v>0</v>
      </c>
      <c r="G169" s="42">
        <v>103.845</v>
      </c>
      <c r="H169" s="42">
        <v>39.18</v>
      </c>
      <c r="I169" s="42">
        <v>344.97</v>
      </c>
      <c r="J169" s="42">
        <v>626.11</v>
      </c>
      <c r="K169" s="42">
        <v>364.01</v>
      </c>
      <c r="L169" s="42">
        <v>546.16</v>
      </c>
      <c r="M169" s="41">
        <v>216.25</v>
      </c>
      <c r="N169" s="163">
        <f>+N$160*EEFFHist!$Y176</f>
        <v>397.25070478154981</v>
      </c>
      <c r="O169" s="170">
        <f>+O$160*EEFFHist!$Y176</f>
        <v>411.39282987177302</v>
      </c>
      <c r="P169" s="163">
        <f>+P$160*EEFFHist!$Y176</f>
        <v>423.98145046584926</v>
      </c>
      <c r="Q169" s="163">
        <f>+Q$160*EEFFHist!$Y176</f>
        <v>437.29446801047698</v>
      </c>
      <c r="R169" s="163">
        <f>+R$160*EEFFHist!$Y176</f>
        <v>450.85059651880169</v>
      </c>
      <c r="S169" s="163">
        <f>+S$160*EEFFHist!$Y176</f>
        <v>464.64662477227705</v>
      </c>
      <c r="T169" s="163">
        <f>+T$160*EEFFHist!$Y176</f>
        <v>478.8648114903088</v>
      </c>
      <c r="U169" s="163">
        <f>+U$160*EEFFHist!$Y176</f>
        <v>493.51807472191223</v>
      </c>
      <c r="V169" s="335"/>
      <c r="W169" s="322">
        <f t="shared" si="56"/>
        <v>0.83699747875861186</v>
      </c>
      <c r="X169" s="322">
        <f t="shared" si="56"/>
        <v>3.5600000000000076E-2</v>
      </c>
      <c r="Y169" s="322">
        <f t="shared" si="57"/>
        <v>3.0599999999999961E-2</v>
      </c>
      <c r="Z169" s="322">
        <f t="shared" si="58"/>
        <v>3.1400000000000095E-2</v>
      </c>
      <c r="AA169" s="322">
        <f t="shared" si="59"/>
        <v>3.0999999999999917E-2</v>
      </c>
      <c r="AB169" s="322">
        <f t="shared" si="60"/>
        <v>3.0599999999999961E-2</v>
      </c>
      <c r="AC169" s="322">
        <f t="shared" si="61"/>
        <v>3.0600000000000183E-2</v>
      </c>
      <c r="AD169" s="322">
        <f t="shared" si="62"/>
        <v>3.0599999999999961E-2</v>
      </c>
      <c r="AF169" s="329">
        <f t="shared" si="70"/>
        <v>0.21030108348066812</v>
      </c>
      <c r="AG169" s="329">
        <f t="shared" si="71"/>
        <v>0.21030108348066812</v>
      </c>
      <c r="AH169" s="329">
        <f t="shared" si="72"/>
        <v>0.21030108348066812</v>
      </c>
      <c r="AI169" s="329">
        <f t="shared" si="73"/>
        <v>0.21030108348066812</v>
      </c>
      <c r="AJ169" s="329">
        <f t="shared" si="74"/>
        <v>0.21030108348066812</v>
      </c>
      <c r="AK169" s="329">
        <f t="shared" si="75"/>
        <v>0.21030108348066812</v>
      </c>
      <c r="AL169" s="329">
        <f t="shared" si="76"/>
        <v>0.21030108348066812</v>
      </c>
      <c r="AM169" s="329">
        <f t="shared" si="77"/>
        <v>0.21030108348066812</v>
      </c>
    </row>
    <row r="170" spans="2:50" x14ac:dyDescent="0.25">
      <c r="B170" s="8" t="s">
        <v>141</v>
      </c>
      <c r="C170" s="15">
        <v>424000</v>
      </c>
      <c r="D170" s="41">
        <v>59.98</v>
      </c>
      <c r="E170" s="41">
        <v>8.86</v>
      </c>
      <c r="F170" s="42">
        <v>8.56</v>
      </c>
      <c r="G170" s="42">
        <v>0</v>
      </c>
      <c r="H170" s="42">
        <v>0.57999999999999996</v>
      </c>
      <c r="I170" s="42">
        <v>0</v>
      </c>
      <c r="J170" s="42">
        <v>1.82</v>
      </c>
      <c r="K170" s="42">
        <v>1.2</v>
      </c>
      <c r="L170" s="42"/>
      <c r="M170" s="41">
        <v>0.91</v>
      </c>
      <c r="N170" s="163">
        <f>+N$160*EEFFHist!$Y177</f>
        <v>0.68611260837517107</v>
      </c>
      <c r="O170" s="170">
        <f>+O$160*EEFFHist!$Y177</f>
        <v>0.71053821723332722</v>
      </c>
      <c r="P170" s="163">
        <f>+P$160*EEFFHist!$Y177</f>
        <v>0.73228068668066704</v>
      </c>
      <c r="Q170" s="163">
        <f>+Q$160*EEFFHist!$Y177</f>
        <v>0.75527430024244002</v>
      </c>
      <c r="R170" s="163">
        <f>+R$160*EEFFHist!$Y177</f>
        <v>0.77868780354995559</v>
      </c>
      <c r="S170" s="163">
        <f>+S$160*EEFFHist!$Y177</f>
        <v>0.8025156503385843</v>
      </c>
      <c r="T170" s="163">
        <f>+T$160*EEFFHist!$Y177</f>
        <v>0.82707262923894498</v>
      </c>
      <c r="U170" s="163">
        <f>+U$160*EEFFHist!$Y177</f>
        <v>0.85238105169365674</v>
      </c>
      <c r="V170" s="335"/>
      <c r="W170" s="322">
        <f t="shared" si="56"/>
        <v>-0.24603010068662523</v>
      </c>
      <c r="X170" s="322">
        <f t="shared" si="56"/>
        <v>3.5600000000000076E-2</v>
      </c>
      <c r="Y170" s="322">
        <f t="shared" si="57"/>
        <v>3.0599999999999961E-2</v>
      </c>
      <c r="Z170" s="322">
        <f t="shared" si="58"/>
        <v>3.1400000000000095E-2</v>
      </c>
      <c r="AA170" s="322">
        <f t="shared" si="59"/>
        <v>3.0999999999999917E-2</v>
      </c>
      <c r="AB170" s="322">
        <f t="shared" si="60"/>
        <v>3.0600000000000183E-2</v>
      </c>
      <c r="AC170" s="322">
        <f t="shared" si="61"/>
        <v>3.0599999999999961E-2</v>
      </c>
      <c r="AD170" s="322">
        <f t="shared" si="62"/>
        <v>3.0599999999999961E-2</v>
      </c>
      <c r="AF170" s="329">
        <f t="shared" si="70"/>
        <v>3.632220741065563E-4</v>
      </c>
      <c r="AG170" s="329">
        <f t="shared" si="71"/>
        <v>3.632220741065563E-4</v>
      </c>
      <c r="AH170" s="329">
        <f t="shared" si="72"/>
        <v>3.632220741065563E-4</v>
      </c>
      <c r="AI170" s="329">
        <f t="shared" si="73"/>
        <v>3.632220741065563E-4</v>
      </c>
      <c r="AJ170" s="329">
        <f t="shared" si="74"/>
        <v>3.632220741065563E-4</v>
      </c>
      <c r="AK170" s="329">
        <f t="shared" si="75"/>
        <v>3.632220741065563E-4</v>
      </c>
      <c r="AL170" s="329">
        <f t="shared" si="76"/>
        <v>3.632220741065563E-4</v>
      </c>
      <c r="AM170" s="329">
        <f t="shared" si="77"/>
        <v>3.632220741065563E-4</v>
      </c>
    </row>
    <row r="171" spans="2:50" x14ac:dyDescent="0.25">
      <c r="B171" s="8" t="s">
        <v>142</v>
      </c>
      <c r="C171" s="15">
        <v>424500</v>
      </c>
      <c r="D171" s="41">
        <v>60.3</v>
      </c>
      <c r="E171" s="41">
        <v>288</v>
      </c>
      <c r="F171" s="42">
        <v>0</v>
      </c>
      <c r="G171" s="42">
        <v>72.375</v>
      </c>
      <c r="H171" s="42">
        <v>16.579999999999998</v>
      </c>
      <c r="I171" s="42">
        <v>0</v>
      </c>
      <c r="J171" s="42">
        <v>0</v>
      </c>
      <c r="K171" s="42">
        <v>0</v>
      </c>
      <c r="L171" s="42">
        <v>120.68</v>
      </c>
      <c r="M171" s="41">
        <v>22.8</v>
      </c>
      <c r="N171" s="163">
        <f>+N$160*EEFFHist!$Y178</f>
        <v>53.467368764874855</v>
      </c>
      <c r="O171" s="170">
        <f>+O$160*EEFFHist!$Y178</f>
        <v>55.3708070929044</v>
      </c>
      <c r="P171" s="163">
        <f>+P$160*EEFFHist!$Y178</f>
        <v>57.065153789947274</v>
      </c>
      <c r="Q171" s="163">
        <f>+Q$160*EEFFHist!$Y178</f>
        <v>58.856999618951626</v>
      </c>
      <c r="R171" s="163">
        <f>+R$160*EEFFHist!$Y178</f>
        <v>60.681566607139125</v>
      </c>
      <c r="S171" s="163">
        <f>+S$160*EEFFHist!$Y178</f>
        <v>62.53842254531758</v>
      </c>
      <c r="T171" s="163">
        <f>+T$160*EEFFHist!$Y178</f>
        <v>64.452098275204307</v>
      </c>
      <c r="U171" s="163">
        <f>+U$160*EEFFHist!$Y178</f>
        <v>66.424332482425555</v>
      </c>
      <c r="V171" s="335"/>
      <c r="W171" s="322">
        <f t="shared" si="56"/>
        <v>1.3450600335471425</v>
      </c>
      <c r="X171" s="322">
        <f t="shared" si="56"/>
        <v>3.5600000000000076E-2</v>
      </c>
      <c r="Y171" s="322">
        <f t="shared" si="57"/>
        <v>3.0599999999999961E-2</v>
      </c>
      <c r="Z171" s="322">
        <f t="shared" si="58"/>
        <v>3.1400000000000095E-2</v>
      </c>
      <c r="AA171" s="322">
        <f t="shared" si="59"/>
        <v>3.0999999999999917E-2</v>
      </c>
      <c r="AB171" s="322">
        <f t="shared" si="60"/>
        <v>3.0599999999999961E-2</v>
      </c>
      <c r="AC171" s="322">
        <f t="shared" si="61"/>
        <v>3.0600000000000183E-2</v>
      </c>
      <c r="AD171" s="322">
        <f t="shared" si="62"/>
        <v>3.0599999999999961E-2</v>
      </c>
      <c r="AF171" s="329">
        <f t="shared" si="70"/>
        <v>2.8305162072140014E-2</v>
      </c>
      <c r="AG171" s="329">
        <f t="shared" si="71"/>
        <v>2.8305162072140014E-2</v>
      </c>
      <c r="AH171" s="329">
        <f t="shared" si="72"/>
        <v>2.8305162072140014E-2</v>
      </c>
      <c r="AI171" s="329">
        <f t="shared" si="73"/>
        <v>2.8305162072140014E-2</v>
      </c>
      <c r="AJ171" s="329">
        <f t="shared" si="74"/>
        <v>2.8305162072140014E-2</v>
      </c>
      <c r="AK171" s="329">
        <f t="shared" si="75"/>
        <v>2.8305162072140014E-2</v>
      </c>
      <c r="AL171" s="329">
        <f t="shared" si="76"/>
        <v>2.8305162072140014E-2</v>
      </c>
      <c r="AM171" s="329">
        <f t="shared" si="77"/>
        <v>2.8305162072140014E-2</v>
      </c>
    </row>
    <row r="172" spans="2:50" x14ac:dyDescent="0.25">
      <c r="B172" s="8" t="s">
        <v>47</v>
      </c>
      <c r="C172" s="15">
        <v>429500</v>
      </c>
      <c r="D172" s="44">
        <v>8.61</v>
      </c>
      <c r="E172" s="44">
        <v>334.59</v>
      </c>
      <c r="F172" s="43">
        <v>3.61</v>
      </c>
      <c r="G172" s="43">
        <v>25.03</v>
      </c>
      <c r="H172" s="43">
        <v>2791.55</v>
      </c>
      <c r="I172" s="43">
        <v>1605.89</v>
      </c>
      <c r="J172" s="43">
        <v>21.14</v>
      </c>
      <c r="K172" s="43">
        <v>20.37</v>
      </c>
      <c r="L172" s="43">
        <v>18.63</v>
      </c>
      <c r="M172" s="44">
        <v>17.21</v>
      </c>
      <c r="N172" s="166">
        <f>+N$160*EEFFHist!$Y179</f>
        <v>19.331010257685143</v>
      </c>
      <c r="O172" s="171">
        <f>+O$160*EEFFHist!$Y179</f>
        <v>20.019194222858737</v>
      </c>
      <c r="P172" s="166">
        <f>+P$160*EEFFHist!$Y179</f>
        <v>20.631781566078214</v>
      </c>
      <c r="Q172" s="166">
        <f>+Q$160*EEFFHist!$Y179</f>
        <v>21.27961950725307</v>
      </c>
      <c r="R172" s="166">
        <f>+R$160*EEFFHist!$Y179</f>
        <v>21.939287711977915</v>
      </c>
      <c r="S172" s="166">
        <f>+S$160*EEFFHist!$Y179</f>
        <v>22.610629915964438</v>
      </c>
      <c r="T172" s="166">
        <f>+T$160*EEFFHist!$Y179</f>
        <v>23.302515191392953</v>
      </c>
      <c r="U172" s="166">
        <f>+U$160*EEFFHist!$Y179</f>
        <v>24.015572156249576</v>
      </c>
      <c r="V172" s="335"/>
      <c r="W172" s="322">
        <f t="shared" si="56"/>
        <v>0.1232428970183117</v>
      </c>
      <c r="X172" s="322">
        <f t="shared" si="56"/>
        <v>3.5600000000000076E-2</v>
      </c>
      <c r="Y172" s="322">
        <f t="shared" si="57"/>
        <v>3.0599999999999961E-2</v>
      </c>
      <c r="Z172" s="322">
        <f t="shared" si="58"/>
        <v>3.1400000000000095E-2</v>
      </c>
      <c r="AA172" s="322">
        <f t="shared" si="59"/>
        <v>3.0999999999999917E-2</v>
      </c>
      <c r="AB172" s="322">
        <f t="shared" si="60"/>
        <v>3.0599999999999961E-2</v>
      </c>
      <c r="AC172" s="322">
        <f t="shared" si="61"/>
        <v>3.0600000000000183E-2</v>
      </c>
      <c r="AD172" s="322">
        <f t="shared" si="62"/>
        <v>3.0599999999999961E-2</v>
      </c>
      <c r="AF172" s="329">
        <f t="shared" si="70"/>
        <v>1.023366945114079E-2</v>
      </c>
      <c r="AG172" s="329">
        <f t="shared" si="71"/>
        <v>1.023366945114079E-2</v>
      </c>
      <c r="AH172" s="329">
        <f t="shared" si="72"/>
        <v>1.023366945114079E-2</v>
      </c>
      <c r="AI172" s="329">
        <f t="shared" si="73"/>
        <v>1.023366945114079E-2</v>
      </c>
      <c r="AJ172" s="329">
        <f t="shared" si="74"/>
        <v>1.023366945114079E-2</v>
      </c>
      <c r="AK172" s="329">
        <f t="shared" si="75"/>
        <v>1.023366945114079E-2</v>
      </c>
      <c r="AL172" s="329">
        <f t="shared" si="76"/>
        <v>1.023366945114079E-2</v>
      </c>
      <c r="AM172" s="329">
        <f t="shared" si="77"/>
        <v>1.023366945114079E-2</v>
      </c>
    </row>
    <row r="173" spans="2:50" x14ac:dyDescent="0.25">
      <c r="B173" s="8"/>
      <c r="C173" s="1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79"/>
      <c r="O173" s="79"/>
      <c r="P173" s="79"/>
      <c r="Q173" s="79"/>
      <c r="R173" s="79"/>
      <c r="S173" s="79"/>
      <c r="T173" s="79"/>
      <c r="U173" s="79"/>
      <c r="V173" s="40"/>
      <c r="W173" s="323"/>
      <c r="X173" s="323"/>
      <c r="Y173" s="323"/>
      <c r="Z173" s="323"/>
      <c r="AA173" s="323"/>
      <c r="AB173" s="323"/>
      <c r="AC173" s="323"/>
      <c r="AD173" s="323"/>
      <c r="AO173" s="34" t="s">
        <v>395</v>
      </c>
      <c r="AP173" s="343">
        <v>2013</v>
      </c>
      <c r="AQ173" s="343">
        <v>2014</v>
      </c>
      <c r="AR173" s="343">
        <v>2015</v>
      </c>
      <c r="AS173" s="343">
        <v>2016</v>
      </c>
      <c r="AT173" s="343">
        <v>2017</v>
      </c>
      <c r="AU173" s="343">
        <v>2018</v>
      </c>
      <c r="AV173" s="343">
        <v>2019</v>
      </c>
      <c r="AW173" s="343">
        <v>2020</v>
      </c>
      <c r="AX173" s="319" t="s">
        <v>385</v>
      </c>
    </row>
    <row r="174" spans="2:50" s="34" customFormat="1" x14ac:dyDescent="0.25">
      <c r="B174" s="33" t="s">
        <v>183</v>
      </c>
      <c r="C174" s="230">
        <v>500000</v>
      </c>
      <c r="D174" s="47">
        <f t="shared" ref="D174:U174" si="78">+D175+D197+D208+D211</f>
        <v>9083.3499999999985</v>
      </c>
      <c r="E174" s="47">
        <f t="shared" si="78"/>
        <v>11962.86</v>
      </c>
      <c r="F174" s="47">
        <f t="shared" si="78"/>
        <v>10536.19</v>
      </c>
      <c r="G174" s="47">
        <f t="shared" si="78"/>
        <v>8972.5950000000012</v>
      </c>
      <c r="H174" s="47">
        <f t="shared" si="78"/>
        <v>16616.79</v>
      </c>
      <c r="I174" s="47">
        <f t="shared" si="78"/>
        <v>26240.38</v>
      </c>
      <c r="J174" s="47">
        <f t="shared" si="78"/>
        <v>22830.63</v>
      </c>
      <c r="K174" s="47">
        <f t="shared" si="78"/>
        <v>19455.29</v>
      </c>
      <c r="L174" s="47">
        <f t="shared" si="78"/>
        <v>20456.549999999996</v>
      </c>
      <c r="M174" s="47">
        <f>+M175+M197+M208+M211</f>
        <v>21562.449999999997</v>
      </c>
      <c r="N174" s="47">
        <f>+N175+N197+N208+N211</f>
        <v>20881.490482286263</v>
      </c>
      <c r="O174" s="47">
        <f t="shared" si="78"/>
        <v>24400.1500140973</v>
      </c>
      <c r="P174" s="47">
        <f t="shared" si="78"/>
        <v>27459.975833721102</v>
      </c>
      <c r="Q174" s="47">
        <f t="shared" si="78"/>
        <v>30343.506125645683</v>
      </c>
      <c r="R174" s="47">
        <f t="shared" si="78"/>
        <v>33489.381904755704</v>
      </c>
      <c r="S174" s="47">
        <f t="shared" si="78"/>
        <v>36908.993417437276</v>
      </c>
      <c r="T174" s="47">
        <f t="shared" si="78"/>
        <v>40866.293118528498</v>
      </c>
      <c r="U174" s="47">
        <f t="shared" si="78"/>
        <v>44934.819489939357</v>
      </c>
      <c r="V174" s="334"/>
      <c r="W174" s="324">
        <f t="shared" ref="W174:X209" si="79">+N174/M174-1</f>
        <v>-3.1580804487140068E-2</v>
      </c>
      <c r="X174" s="324">
        <f t="shared" si="79"/>
        <v>0.16850614829415123</v>
      </c>
      <c r="Y174" s="324">
        <f t="shared" ref="Y174:Y209" si="80">+P174/O174-1</f>
        <v>0.12540192653963089</v>
      </c>
      <c r="Z174" s="324">
        <f t="shared" ref="Z174:Z209" si="81">+Q174/P174-1</f>
        <v>0.10500847886339293</v>
      </c>
      <c r="AA174" s="324">
        <f t="shared" ref="AA174:AA209" si="82">+R174/Q174-1</f>
        <v>0.10367542122797713</v>
      </c>
      <c r="AB174" s="324">
        <f t="shared" ref="AB174:AB209" si="83">+S174/R174-1</f>
        <v>0.10211032029217493</v>
      </c>
      <c r="AC174" s="324">
        <f t="shared" ref="AC174:AD209" si="84">+T174/S174-1</f>
        <v>0.10721776279115858</v>
      </c>
      <c r="AD174" s="324">
        <f t="shared" si="84"/>
        <v>9.9557020246747507E-2</v>
      </c>
      <c r="AF174" s="327">
        <f>+AF175+AF197+AF208+AF211</f>
        <v>1.0000000000000002</v>
      </c>
      <c r="AG174" s="327">
        <f t="shared" ref="AG174:AM174" si="85">+AG175+AG197+AG208+AG211</f>
        <v>1.0000000000000002</v>
      </c>
      <c r="AH174" s="327">
        <f t="shared" si="85"/>
        <v>1</v>
      </c>
      <c r="AI174" s="327">
        <f t="shared" si="85"/>
        <v>1.0000000000000002</v>
      </c>
      <c r="AJ174" s="327">
        <f t="shared" si="85"/>
        <v>0.99999999999999989</v>
      </c>
      <c r="AK174" s="327">
        <f t="shared" si="85"/>
        <v>0.99999999999999989</v>
      </c>
      <c r="AL174" s="327">
        <f t="shared" si="85"/>
        <v>0.99999999999999989</v>
      </c>
      <c r="AM174" s="327">
        <f t="shared" si="85"/>
        <v>1</v>
      </c>
      <c r="AN174" s="327"/>
      <c r="AO174" s="33" t="s">
        <v>183</v>
      </c>
      <c r="AP174" s="347">
        <v>-3.1580804487140068E-2</v>
      </c>
      <c r="AQ174" s="341">
        <v>0.16850614829415123</v>
      </c>
      <c r="AR174" s="341">
        <v>0.12540192653963089</v>
      </c>
      <c r="AS174" s="341">
        <v>0.10500847886339293</v>
      </c>
      <c r="AT174" s="341">
        <v>0.10367542122797713</v>
      </c>
      <c r="AU174" s="341">
        <v>0.10211032029217493</v>
      </c>
      <c r="AV174" s="341">
        <v>0.10721776279115858</v>
      </c>
      <c r="AW174" s="341">
        <v>9.9557020246747507E-2</v>
      </c>
      <c r="AX174" s="348">
        <f>+AVERAGE(AP174:AW174)</f>
        <v>9.748703422101164E-2</v>
      </c>
    </row>
    <row r="175" spans="2:50" s="34" customFormat="1" x14ac:dyDescent="0.25">
      <c r="B175" s="11" t="s">
        <v>442</v>
      </c>
      <c r="C175" s="230">
        <v>510000</v>
      </c>
      <c r="D175" s="48">
        <f t="shared" ref="D175:M175" si="86">+SUM(D176:D196)</f>
        <v>5731.99</v>
      </c>
      <c r="E175" s="48">
        <f t="shared" si="86"/>
        <v>6979.2000000000007</v>
      </c>
      <c r="F175" s="48">
        <f t="shared" si="86"/>
        <v>6945.8399999999992</v>
      </c>
      <c r="G175" s="48">
        <f t="shared" si="86"/>
        <v>9427.4740000000002</v>
      </c>
      <c r="H175" s="48">
        <f t="shared" si="86"/>
        <v>10491.66</v>
      </c>
      <c r="I175" s="48">
        <f t="shared" si="86"/>
        <v>17264.440000000002</v>
      </c>
      <c r="J175" s="48">
        <f t="shared" si="86"/>
        <v>18012.010000000002</v>
      </c>
      <c r="K175" s="48">
        <f t="shared" si="86"/>
        <v>17817.46</v>
      </c>
      <c r="L175" s="48">
        <f t="shared" si="86"/>
        <v>17216.48</v>
      </c>
      <c r="M175" s="48">
        <f t="shared" si="86"/>
        <v>16167.29</v>
      </c>
      <c r="N175" s="172">
        <f>+SUM(N176:N196)</f>
        <v>17096.209291698346</v>
      </c>
      <c r="O175" s="172">
        <f>+N175*(1+Supuestos!F5)</f>
        <v>17704.834342482809</v>
      </c>
      <c r="P175" s="172">
        <f>+O175*(1+Supuestos!G5)</f>
        <v>18246.602273362783</v>
      </c>
      <c r="Q175" s="172">
        <f>+P175*(1+Supuestos!H5)</f>
        <v>18819.545584746378</v>
      </c>
      <c r="R175" s="172">
        <f>+Q175*(1+Supuestos!I5)</f>
        <v>19402.951497873513</v>
      </c>
      <c r="S175" s="172">
        <f>+R175*(1+Supuestos!J5)</f>
        <v>19996.681813708441</v>
      </c>
      <c r="T175" s="172">
        <f>+S175*(1+Supuestos!K5)</f>
        <v>20608.580277207919</v>
      </c>
      <c r="U175" s="172">
        <f>+T175*(1+Supuestos!L5)</f>
        <v>21239.20283369048</v>
      </c>
      <c r="V175" s="300"/>
      <c r="W175" s="324">
        <f t="shared" si="79"/>
        <v>5.7456709918504822E-2</v>
      </c>
      <c r="X175" s="324">
        <f t="shared" si="79"/>
        <v>3.5600000000000076E-2</v>
      </c>
      <c r="Y175" s="324">
        <f t="shared" si="80"/>
        <v>3.0599999999999961E-2</v>
      </c>
      <c r="Z175" s="324">
        <f t="shared" si="81"/>
        <v>3.1400000000000095E-2</v>
      </c>
      <c r="AA175" s="324">
        <f t="shared" si="82"/>
        <v>3.0999999999999917E-2</v>
      </c>
      <c r="AB175" s="324">
        <f t="shared" si="83"/>
        <v>3.0599999999999961E-2</v>
      </c>
      <c r="AC175" s="324">
        <f t="shared" si="84"/>
        <v>3.0599999999999961E-2</v>
      </c>
      <c r="AD175" s="324">
        <f t="shared" si="84"/>
        <v>3.0599999999999961E-2</v>
      </c>
      <c r="AF175" s="328">
        <f t="shared" ref="AF175:AM175" si="87">+N175/N$174</f>
        <v>0.81872552661894682</v>
      </c>
      <c r="AG175" s="328">
        <f t="shared" si="87"/>
        <v>0.72560350375935223</v>
      </c>
      <c r="AH175" s="328">
        <f t="shared" si="87"/>
        <v>0.66447991010085994</v>
      </c>
      <c r="AI175" s="328">
        <f t="shared" si="87"/>
        <v>0.62021657967997645</v>
      </c>
      <c r="AJ175" s="328">
        <f t="shared" si="87"/>
        <v>0.57937621999282618</v>
      </c>
      <c r="AK175" s="328">
        <f t="shared" si="87"/>
        <v>0.54178345064975986</v>
      </c>
      <c r="AL175" s="328">
        <f t="shared" si="87"/>
        <v>0.50429287083697172</v>
      </c>
      <c r="AM175" s="328">
        <f t="shared" si="87"/>
        <v>0.47266692232836971</v>
      </c>
      <c r="AN175" s="328"/>
      <c r="AO175" s="11" t="s">
        <v>442</v>
      </c>
      <c r="AP175" s="347">
        <v>5.7456709918504822E-2</v>
      </c>
      <c r="AQ175" s="341">
        <v>3.5600000000000076E-2</v>
      </c>
      <c r="AR175" s="341">
        <v>3.0599999999999961E-2</v>
      </c>
      <c r="AS175" s="341">
        <v>3.1400000000000095E-2</v>
      </c>
      <c r="AT175" s="341">
        <v>3.0999999999999917E-2</v>
      </c>
      <c r="AU175" s="341">
        <v>3.0599999999999961E-2</v>
      </c>
      <c r="AV175" s="341">
        <v>3.0599999999999961E-2</v>
      </c>
      <c r="AW175" s="341">
        <v>3.0599999999999961E-2</v>
      </c>
      <c r="AX175" s="348">
        <f>+AVERAGE(AP175:AW175)</f>
        <v>3.4732088739813094E-2</v>
      </c>
    </row>
    <row r="176" spans="2:50" x14ac:dyDescent="0.25">
      <c r="B176" s="8" t="s">
        <v>393</v>
      </c>
      <c r="C176" s="15">
        <v>510500</v>
      </c>
      <c r="D176" s="42">
        <v>2637.2</v>
      </c>
      <c r="E176" s="42">
        <v>2825.68</v>
      </c>
      <c r="F176" s="42">
        <v>2785.43</v>
      </c>
      <c r="G176" s="42">
        <v>3705.7849999999999</v>
      </c>
      <c r="H176" s="42">
        <v>4249.6400000000003</v>
      </c>
      <c r="I176" s="42">
        <v>5799.08</v>
      </c>
      <c r="J176" s="42">
        <v>7423.67</v>
      </c>
      <c r="K176" s="42">
        <v>7647.12</v>
      </c>
      <c r="L176" s="42">
        <v>6560.92</v>
      </c>
      <c r="M176" s="42">
        <v>6501.58</v>
      </c>
      <c r="N176" s="235">
        <f>+Opex!E36/Opex!$B$17</f>
        <v>6947.8210799999997</v>
      </c>
      <c r="O176" s="235">
        <f>+Opex!F36/Opex!$B$17</f>
        <v>7192.5023904480013</v>
      </c>
      <c r="P176" s="235">
        <f>+Opex!G36/Opex!$B$17</f>
        <v>7718.237329387709</v>
      </c>
      <c r="Q176" s="235">
        <f>+Opex!H36/Opex!$B$17</f>
        <v>7656.5661995222026</v>
      </c>
      <c r="R176" s="235">
        <f>+Opex!I36/Opex!$B$17</f>
        <v>7894.0451643206234</v>
      </c>
      <c r="S176" s="235">
        <f>+Opex!J36/Opex!$B$17</f>
        <v>8135.7322969181232</v>
      </c>
      <c r="T176" s="235">
        <f>+Opex!K36/Opex!$B$17</f>
        <v>8384.6857052038176</v>
      </c>
      <c r="U176" s="235">
        <f>+Opex!L36/Opex!$B$17</f>
        <v>8641.2570877830549</v>
      </c>
      <c r="V176" s="337"/>
      <c r="W176" s="325">
        <f>+N176/M176-1</f>
        <v>6.8635790069490721E-2</v>
      </c>
      <c r="X176" s="325">
        <f t="shared" si="79"/>
        <v>3.5216984955519504E-2</v>
      </c>
      <c r="Y176" s="325">
        <f t="shared" si="80"/>
        <v>7.3094857728223994E-2</v>
      </c>
      <c r="Z176" s="325">
        <f t="shared" si="81"/>
        <v>-7.9903127143666763E-3</v>
      </c>
      <c r="AA176" s="325">
        <f t="shared" si="82"/>
        <v>3.1016379746477085E-2</v>
      </c>
      <c r="AB176" s="325">
        <f t="shared" si="83"/>
        <v>3.0616385841047977E-2</v>
      </c>
      <c r="AC176" s="325">
        <f t="shared" si="84"/>
        <v>3.0599999999999961E-2</v>
      </c>
      <c r="AD176" s="325">
        <f t="shared" si="84"/>
        <v>3.0599999999999961E-2</v>
      </c>
      <c r="AF176" s="329">
        <f t="shared" ref="AF176:AF196" si="88">+N176/N$175</f>
        <v>0.40639541558336878</v>
      </c>
      <c r="AG176" s="329">
        <f t="shared" ref="AG176:AG196" si="89">+O176/O$175</f>
        <v>0.40624511087288562</v>
      </c>
      <c r="AH176" s="329">
        <f t="shared" ref="AH176:AH196" si="90">+P176/P$175</f>
        <v>0.42299586595665217</v>
      </c>
      <c r="AI176" s="329">
        <f t="shared" ref="AI176:AI196" si="91">+Q176/Q$175</f>
        <v>0.40684118354738619</v>
      </c>
      <c r="AJ176" s="329">
        <f t="shared" ref="AJ176:AJ196" si="92">+R176/R$175</f>
        <v>0.40684764713171495</v>
      </c>
      <c r="AK176" s="329">
        <f t="shared" ref="AK176:AK196" si="93">+S176/S$175</f>
        <v>0.40685411573338071</v>
      </c>
      <c r="AL176" s="329">
        <f t="shared" ref="AL176:AL196" si="94">+T176/T$175</f>
        <v>0.40685411573338071</v>
      </c>
      <c r="AM176" s="329">
        <f t="shared" ref="AM176:AM196" si="95">+U176/U$175</f>
        <v>0.40685411573338076</v>
      </c>
      <c r="AN176" s="329"/>
      <c r="AO176" s="344" t="s">
        <v>393</v>
      </c>
      <c r="AP176" s="342">
        <v>6.8635790069490721E-2</v>
      </c>
      <c r="AQ176" s="342">
        <v>3.5216984955519504E-2</v>
      </c>
      <c r="AR176" s="342">
        <v>7.3094857728223994E-2</v>
      </c>
      <c r="AS176" s="342">
        <v>-7.9903127143666763E-3</v>
      </c>
      <c r="AT176" s="342">
        <v>3.1016379746477085E-2</v>
      </c>
      <c r="AU176" s="342">
        <v>3.0616385841047977E-2</v>
      </c>
      <c r="AV176" s="342">
        <v>3.0599999999999961E-2</v>
      </c>
      <c r="AW176" s="342">
        <v>3.0599999999999961E-2</v>
      </c>
      <c r="AX176" s="346">
        <f>+AVERAGE(AP176:AW176)</f>
        <v>3.6473760703299066E-2</v>
      </c>
    </row>
    <row r="177" spans="2:50" x14ac:dyDescent="0.25">
      <c r="B177" s="8" t="s">
        <v>394</v>
      </c>
      <c r="C177" s="15">
        <v>511000</v>
      </c>
      <c r="D177" s="42">
        <v>391.96</v>
      </c>
      <c r="E177" s="42">
        <v>667.42</v>
      </c>
      <c r="F177" s="42">
        <v>678.58</v>
      </c>
      <c r="G177" s="42">
        <v>686.43499999999995</v>
      </c>
      <c r="H177" s="42">
        <v>1018.07</v>
      </c>
      <c r="I177" s="42">
        <v>1054.8499999999999</v>
      </c>
      <c r="J177" s="42">
        <v>1347.66</v>
      </c>
      <c r="K177" s="42">
        <v>972.39</v>
      </c>
      <c r="L177" s="42">
        <v>563.16</v>
      </c>
      <c r="M177" s="42">
        <v>1119.26</v>
      </c>
      <c r="N177" s="235">
        <f>M177*N$176/M$176</f>
        <v>1196.0812943931783</v>
      </c>
      <c r="O177" s="235">
        <f t="shared" ref="O177:U177" si="96">N177*O$176/N$176</f>
        <v>1238.2036713434013</v>
      </c>
      <c r="P177" s="235">
        <f t="shared" si="96"/>
        <v>1328.709992538812</v>
      </c>
      <c r="Q177" s="235">
        <f t="shared" si="96"/>
        <v>1318.0931841917231</v>
      </c>
      <c r="R177" s="235">
        <f t="shared" si="96"/>
        <v>1358.9756629338567</v>
      </c>
      <c r="S177" s="235">
        <f t="shared" si="96"/>
        <v>1400.5825861788337</v>
      </c>
      <c r="T177" s="235">
        <f t="shared" si="96"/>
        <v>1443.440413315906</v>
      </c>
      <c r="U177" s="235">
        <f t="shared" si="96"/>
        <v>1487.6096899633728</v>
      </c>
      <c r="V177" s="337"/>
      <c r="W177" s="325">
        <f t="shared" ref="W177:W209" si="97">+N177/M177-1</f>
        <v>6.8635790069490721E-2</v>
      </c>
      <c r="X177" s="325">
        <f t="shared" si="79"/>
        <v>3.5216984955519726E-2</v>
      </c>
      <c r="Y177" s="325">
        <f t="shared" si="80"/>
        <v>7.3094857728224216E-2</v>
      </c>
      <c r="Z177" s="325">
        <f t="shared" si="81"/>
        <v>-7.9903127143666763E-3</v>
      </c>
      <c r="AA177" s="325">
        <f t="shared" si="82"/>
        <v>3.1016379746477085E-2</v>
      </c>
      <c r="AB177" s="325">
        <f t="shared" si="83"/>
        <v>3.0616385841047977E-2</v>
      </c>
      <c r="AC177" s="325">
        <f t="shared" si="84"/>
        <v>3.0599999999999961E-2</v>
      </c>
      <c r="AD177" s="325">
        <f t="shared" si="84"/>
        <v>3.0600000000000183E-2</v>
      </c>
      <c r="AF177" s="329">
        <f t="shared" si="88"/>
        <v>6.996178357350695E-2</v>
      </c>
      <c r="AG177" s="329">
        <f t="shared" si="89"/>
        <v>6.9935908316991563E-2</v>
      </c>
      <c r="AH177" s="329">
        <f t="shared" si="90"/>
        <v>7.2819584305759924E-2</v>
      </c>
      <c r="AI177" s="329">
        <f t="shared" si="91"/>
        <v>7.0038523420037538E-2</v>
      </c>
      <c r="AJ177" s="329">
        <f t="shared" si="92"/>
        <v>7.0039636139006739E-2</v>
      </c>
      <c r="AK177" s="329">
        <f t="shared" si="93"/>
        <v>7.0040749721720544E-2</v>
      </c>
      <c r="AL177" s="329">
        <f t="shared" si="94"/>
        <v>7.0040749721720544E-2</v>
      </c>
      <c r="AM177" s="329">
        <f t="shared" si="95"/>
        <v>7.0040749721720544E-2</v>
      </c>
      <c r="AN177" s="329"/>
      <c r="AO177" s="344" t="s">
        <v>394</v>
      </c>
      <c r="AP177" s="342">
        <v>6.8635790069490721E-2</v>
      </c>
      <c r="AQ177" s="342">
        <v>3.5216984955519726E-2</v>
      </c>
      <c r="AR177" s="342">
        <v>7.3094857728224216E-2</v>
      </c>
      <c r="AS177" s="342">
        <v>-7.9903127143666763E-3</v>
      </c>
      <c r="AT177" s="342">
        <v>3.1016379746477085E-2</v>
      </c>
      <c r="AU177" s="342">
        <v>3.0616385841047977E-2</v>
      </c>
      <c r="AV177" s="342">
        <v>3.0599999999999961E-2</v>
      </c>
      <c r="AW177" s="342">
        <v>3.0600000000000183E-2</v>
      </c>
      <c r="AX177" s="346">
        <f t="shared" ref="AX177:AX211" si="98">+AVERAGE(AP177:AW177)</f>
        <v>3.6473760703299149E-2</v>
      </c>
    </row>
    <row r="178" spans="2:50" x14ac:dyDescent="0.25">
      <c r="B178" s="7" t="s">
        <v>145</v>
      </c>
      <c r="C178" s="15">
        <v>511500</v>
      </c>
      <c r="D178" s="42">
        <v>473.74</v>
      </c>
      <c r="E178" s="42">
        <v>264.42</v>
      </c>
      <c r="F178" s="42">
        <v>259.20999999999998</v>
      </c>
      <c r="G178" s="42">
        <v>267.30500000000001</v>
      </c>
      <c r="H178" s="42">
        <v>567.44000000000005</v>
      </c>
      <c r="I178" s="42">
        <v>687.87</v>
      </c>
      <c r="J178" s="42">
        <v>643.85</v>
      </c>
      <c r="K178" s="42">
        <v>634.17999999999995</v>
      </c>
      <c r="L178" s="42">
        <v>1100.93</v>
      </c>
      <c r="M178" s="42">
        <v>1013.07</v>
      </c>
      <c r="N178" s="164">
        <f>+AVERAGE(K178:M178)*(1+EEFFHist!AL185)</f>
        <v>1111.8420227512574</v>
      </c>
      <c r="O178" s="164">
        <f>+N178*(1+Supuestos!F5)</f>
        <v>1151.4235987612024</v>
      </c>
      <c r="P178" s="164">
        <f>+O178*(1+Supuestos!G5)</f>
        <v>1186.6571608832951</v>
      </c>
      <c r="Q178" s="164">
        <f>+P178*(1+Supuestos!H5)</f>
        <v>1223.9181957350306</v>
      </c>
      <c r="R178" s="164">
        <f>+Q178*(1+Supuestos!I5)</f>
        <v>1261.8596598028164</v>
      </c>
      <c r="S178" s="164">
        <f>+R178*(1+Supuestos!J5)</f>
        <v>1300.4725653927826</v>
      </c>
      <c r="T178" s="164">
        <f>+S178*(1+Supuestos!K5)</f>
        <v>1340.2670258938017</v>
      </c>
      <c r="U178" s="164">
        <f>+T178*(1+Supuestos!L5)</f>
        <v>1381.279196886152</v>
      </c>
      <c r="V178" s="331"/>
      <c r="W178" s="325">
        <f t="shared" si="97"/>
        <v>9.7497727453440985E-2</v>
      </c>
      <c r="X178" s="325">
        <f t="shared" si="79"/>
        <v>3.5600000000000076E-2</v>
      </c>
      <c r="Y178" s="325">
        <f t="shared" si="80"/>
        <v>3.0599999999999961E-2</v>
      </c>
      <c r="Z178" s="325">
        <f t="shared" si="81"/>
        <v>3.1400000000000095E-2</v>
      </c>
      <c r="AA178" s="325">
        <f t="shared" si="82"/>
        <v>3.0999999999999917E-2</v>
      </c>
      <c r="AB178" s="325">
        <f t="shared" si="83"/>
        <v>3.0599999999999961E-2</v>
      </c>
      <c r="AC178" s="325">
        <f t="shared" si="84"/>
        <v>3.0599999999999961E-2</v>
      </c>
      <c r="AD178" s="325">
        <f t="shared" si="84"/>
        <v>3.0599999999999961E-2</v>
      </c>
      <c r="AF178" s="329">
        <f t="shared" si="88"/>
        <v>6.5034418085367654E-2</v>
      </c>
      <c r="AG178" s="329">
        <f t="shared" si="89"/>
        <v>6.5034418085367654E-2</v>
      </c>
      <c r="AH178" s="329">
        <f t="shared" si="90"/>
        <v>6.5034418085367654E-2</v>
      </c>
      <c r="AI178" s="329">
        <f t="shared" si="91"/>
        <v>6.503441808536764E-2</v>
      </c>
      <c r="AJ178" s="329">
        <f t="shared" si="92"/>
        <v>6.503441808536764E-2</v>
      </c>
      <c r="AK178" s="329">
        <f t="shared" si="93"/>
        <v>6.5034418085367654E-2</v>
      </c>
      <c r="AL178" s="329">
        <f t="shared" si="94"/>
        <v>6.5034418085367654E-2</v>
      </c>
      <c r="AM178" s="329">
        <f t="shared" si="95"/>
        <v>6.5034418085367654E-2</v>
      </c>
      <c r="AN178" s="329"/>
      <c r="AO178" s="345" t="s">
        <v>145</v>
      </c>
      <c r="AP178" s="342">
        <v>9.7497727453440985E-2</v>
      </c>
      <c r="AQ178" s="342">
        <v>3.5600000000000076E-2</v>
      </c>
      <c r="AR178" s="342">
        <v>3.0599999999999961E-2</v>
      </c>
      <c r="AS178" s="342">
        <v>3.1400000000000095E-2</v>
      </c>
      <c r="AT178" s="342">
        <v>3.0999999999999917E-2</v>
      </c>
      <c r="AU178" s="342">
        <v>3.0599999999999961E-2</v>
      </c>
      <c r="AV178" s="342">
        <v>3.0599999999999961E-2</v>
      </c>
      <c r="AW178" s="342">
        <v>3.0599999999999961E-2</v>
      </c>
      <c r="AX178" s="346">
        <f t="shared" si="98"/>
        <v>3.9737215931680114E-2</v>
      </c>
    </row>
    <row r="179" spans="2:50" x14ac:dyDescent="0.25">
      <c r="B179" s="7" t="s">
        <v>42</v>
      </c>
      <c r="C179" s="15">
        <v>512000</v>
      </c>
      <c r="D179" s="42">
        <v>69.819999999999993</v>
      </c>
      <c r="E179" s="42">
        <v>95.34</v>
      </c>
      <c r="F179" s="42">
        <v>185.31</v>
      </c>
      <c r="G179" s="42">
        <v>304.13499999999999</v>
      </c>
      <c r="H179" s="42">
        <v>354.19</v>
      </c>
      <c r="I179" s="42">
        <v>292.89</v>
      </c>
      <c r="J179" s="42">
        <v>451.37</v>
      </c>
      <c r="K179" s="42">
        <v>387.2</v>
      </c>
      <c r="L179" s="42">
        <v>309.20999999999998</v>
      </c>
      <c r="M179" s="42">
        <v>257.45999999999998</v>
      </c>
      <c r="N179" s="164">
        <f>+AVERAGE(K179:M179)*(1+EEFFHist!AL186)</f>
        <v>263.80338717495732</v>
      </c>
      <c r="O179" s="164">
        <f>+N179*(1+Supuestos!F5)</f>
        <v>273.19478775838581</v>
      </c>
      <c r="P179" s="164">
        <f>+O179*(1+Supuestos!G5)</f>
        <v>281.55454826379241</v>
      </c>
      <c r="Q179" s="164">
        <f>+P179*(1+Supuestos!H5)</f>
        <v>290.39536107927552</v>
      </c>
      <c r="R179" s="164">
        <f>+Q179*(1+Supuestos!I5)</f>
        <v>299.39761727273304</v>
      </c>
      <c r="S179" s="164">
        <f>+R179*(1+Supuestos!J5)</f>
        <v>308.55918436127865</v>
      </c>
      <c r="T179" s="164">
        <f>+S179*(1+Supuestos!K5)</f>
        <v>318.00109540273377</v>
      </c>
      <c r="U179" s="164">
        <f>+T179*(1+Supuestos!L5)</f>
        <v>327.73192892205742</v>
      </c>
      <c r="V179" s="331"/>
      <c r="W179" s="325">
        <f t="shared" si="97"/>
        <v>2.463834061585235E-2</v>
      </c>
      <c r="X179" s="325">
        <f t="shared" si="79"/>
        <v>3.5600000000000076E-2</v>
      </c>
      <c r="Y179" s="325">
        <f t="shared" si="80"/>
        <v>3.0599999999999961E-2</v>
      </c>
      <c r="Z179" s="325">
        <f t="shared" si="81"/>
        <v>3.1400000000000095E-2</v>
      </c>
      <c r="AA179" s="325">
        <f t="shared" si="82"/>
        <v>3.0999999999999917E-2</v>
      </c>
      <c r="AB179" s="325">
        <f t="shared" si="83"/>
        <v>3.0599999999999961E-2</v>
      </c>
      <c r="AC179" s="325">
        <f t="shared" si="84"/>
        <v>3.0599999999999961E-2</v>
      </c>
      <c r="AD179" s="325">
        <f t="shared" si="84"/>
        <v>3.0599999999999961E-2</v>
      </c>
      <c r="AF179" s="329">
        <f t="shared" si="88"/>
        <v>1.5430519284942081E-2</v>
      </c>
      <c r="AG179" s="329">
        <f t="shared" si="89"/>
        <v>1.5430519284942081E-2</v>
      </c>
      <c r="AH179" s="329">
        <f t="shared" si="90"/>
        <v>1.5430519284942079E-2</v>
      </c>
      <c r="AI179" s="329">
        <f t="shared" si="91"/>
        <v>1.5430519284942077E-2</v>
      </c>
      <c r="AJ179" s="329">
        <f t="shared" si="92"/>
        <v>1.5430519284942079E-2</v>
      </c>
      <c r="AK179" s="329">
        <f t="shared" si="93"/>
        <v>1.5430519284942079E-2</v>
      </c>
      <c r="AL179" s="329">
        <f t="shared" si="94"/>
        <v>1.5430519284942079E-2</v>
      </c>
      <c r="AM179" s="329">
        <f t="shared" si="95"/>
        <v>1.5430519284942079E-2</v>
      </c>
      <c r="AN179" s="329"/>
      <c r="AO179" s="345" t="s">
        <v>42</v>
      </c>
      <c r="AP179" s="342">
        <v>2.463834061585235E-2</v>
      </c>
      <c r="AQ179" s="342">
        <v>3.5600000000000076E-2</v>
      </c>
      <c r="AR179" s="342">
        <v>3.0599999999999961E-2</v>
      </c>
      <c r="AS179" s="342">
        <v>3.1400000000000095E-2</v>
      </c>
      <c r="AT179" s="342">
        <v>3.0999999999999917E-2</v>
      </c>
      <c r="AU179" s="342">
        <v>3.0599999999999961E-2</v>
      </c>
      <c r="AV179" s="342">
        <v>3.0599999999999961E-2</v>
      </c>
      <c r="AW179" s="342">
        <v>3.0599999999999961E-2</v>
      </c>
      <c r="AX179" s="346">
        <f t="shared" si="98"/>
        <v>3.0629792576981535E-2</v>
      </c>
    </row>
    <row r="180" spans="2:50" x14ac:dyDescent="0.25">
      <c r="B180" s="7" t="s">
        <v>77</v>
      </c>
      <c r="C180" s="15">
        <v>512500</v>
      </c>
      <c r="D180" s="42">
        <v>21.82</v>
      </c>
      <c r="E180" s="42">
        <v>44.750000000000973</v>
      </c>
      <c r="F180" s="42">
        <v>175.10999999999973</v>
      </c>
      <c r="G180" s="42">
        <v>189.31</v>
      </c>
      <c r="H180" s="42">
        <v>153.13000000000216</v>
      </c>
      <c r="I180" s="42">
        <v>277.49</v>
      </c>
      <c r="J180" s="42">
        <v>448.31</v>
      </c>
      <c r="K180" s="42">
        <v>457.74</v>
      </c>
      <c r="L180" s="42">
        <v>468.27</v>
      </c>
      <c r="M180" s="42">
        <v>384.92</v>
      </c>
      <c r="N180" s="164">
        <f>+AVERAGE(K180:M180)*(1+EEFFHist!AL187)</f>
        <v>417.4646791996359</v>
      </c>
      <c r="O180" s="164">
        <f>+N180*(1+Supuestos!F5)</f>
        <v>432.32642177914295</v>
      </c>
      <c r="P180" s="164">
        <f>+O180*(1+Supuestos!G5)</f>
        <v>445.55561028558469</v>
      </c>
      <c r="Q180" s="164">
        <f>+P180*(1+Supuestos!H5)</f>
        <v>459.54605644855206</v>
      </c>
      <c r="R180" s="164">
        <f>+Q180*(1+Supuestos!I5)</f>
        <v>473.79198419845716</v>
      </c>
      <c r="S180" s="164">
        <f>+R180*(1+Supuestos!J5)</f>
        <v>488.29001891492993</v>
      </c>
      <c r="T180" s="164">
        <f>+S180*(1+Supuestos!K5)</f>
        <v>503.23169349372677</v>
      </c>
      <c r="U180" s="164">
        <f>+T180*(1+Supuestos!L5)</f>
        <v>518.6305833146348</v>
      </c>
      <c r="V180" s="331"/>
      <c r="W180" s="325">
        <f t="shared" si="97"/>
        <v>8.4549202950316538E-2</v>
      </c>
      <c r="X180" s="325">
        <f t="shared" si="79"/>
        <v>3.5600000000000076E-2</v>
      </c>
      <c r="Y180" s="325">
        <f t="shared" si="80"/>
        <v>3.0599999999999961E-2</v>
      </c>
      <c r="Z180" s="325">
        <f t="shared" si="81"/>
        <v>3.1400000000000095E-2</v>
      </c>
      <c r="AA180" s="325">
        <f t="shared" si="82"/>
        <v>3.0999999999999917E-2</v>
      </c>
      <c r="AB180" s="325">
        <f t="shared" si="83"/>
        <v>3.0599999999999961E-2</v>
      </c>
      <c r="AC180" s="325">
        <f t="shared" si="84"/>
        <v>3.0599999999999961E-2</v>
      </c>
      <c r="AD180" s="325">
        <f t="shared" si="84"/>
        <v>3.0599999999999961E-2</v>
      </c>
      <c r="AF180" s="329">
        <f t="shared" si="88"/>
        <v>2.4418552211006816E-2</v>
      </c>
      <c r="AG180" s="329">
        <f t="shared" si="89"/>
        <v>2.4418552211006812E-2</v>
      </c>
      <c r="AH180" s="329">
        <f t="shared" si="90"/>
        <v>2.4418552211006812E-2</v>
      </c>
      <c r="AI180" s="329">
        <f t="shared" si="91"/>
        <v>2.4418552211006805E-2</v>
      </c>
      <c r="AJ180" s="329">
        <f t="shared" si="92"/>
        <v>2.4418552211006809E-2</v>
      </c>
      <c r="AK180" s="329">
        <f t="shared" si="93"/>
        <v>2.4418552211006809E-2</v>
      </c>
      <c r="AL180" s="329">
        <f t="shared" si="94"/>
        <v>2.4418552211006809E-2</v>
      </c>
      <c r="AM180" s="329">
        <f t="shared" si="95"/>
        <v>2.4418552211006812E-2</v>
      </c>
      <c r="AN180" s="329"/>
      <c r="AO180" s="345" t="s">
        <v>396</v>
      </c>
      <c r="AP180" s="342">
        <v>8.4549202950316538E-2</v>
      </c>
      <c r="AQ180" s="342">
        <v>3.5600000000000076E-2</v>
      </c>
      <c r="AR180" s="342">
        <v>3.0599999999999961E-2</v>
      </c>
      <c r="AS180" s="342">
        <v>3.1400000000000095E-2</v>
      </c>
      <c r="AT180" s="342">
        <v>3.0999999999999917E-2</v>
      </c>
      <c r="AU180" s="342">
        <v>3.0599999999999961E-2</v>
      </c>
      <c r="AV180" s="342">
        <v>3.0599999999999961E-2</v>
      </c>
      <c r="AW180" s="342">
        <v>3.0599999999999961E-2</v>
      </c>
      <c r="AX180" s="346">
        <f t="shared" si="98"/>
        <v>3.8118650368789558E-2</v>
      </c>
    </row>
    <row r="181" spans="2:50" x14ac:dyDescent="0.25">
      <c r="B181" s="7" t="s">
        <v>78</v>
      </c>
      <c r="C181" s="15">
        <v>513000</v>
      </c>
      <c r="D181" s="42">
        <v>74.84</v>
      </c>
      <c r="E181" s="42">
        <v>68.680000000000007</v>
      </c>
      <c r="F181" s="42">
        <v>95.84</v>
      </c>
      <c r="G181" s="42">
        <v>123.77500000000001</v>
      </c>
      <c r="H181" s="42">
        <v>144.38</v>
      </c>
      <c r="I181" s="42">
        <v>158.75</v>
      </c>
      <c r="J181" s="42">
        <v>206.96</v>
      </c>
      <c r="K181" s="42">
        <v>230.01</v>
      </c>
      <c r="L181" s="42">
        <v>159.65</v>
      </c>
      <c r="M181" s="42">
        <v>237.97</v>
      </c>
      <c r="N181" s="164">
        <f>+AVERAGE(K181:M181)*(1+EEFFHist!AL188)</f>
        <v>229.85537027523796</v>
      </c>
      <c r="O181" s="164">
        <f>+N181*(1+Supuestos!F5)</f>
        <v>238.03822145703646</v>
      </c>
      <c r="P181" s="164">
        <f>+O181*(1+Supuestos!G5)</f>
        <v>245.32219103362175</v>
      </c>
      <c r="Q181" s="164">
        <f>+P181*(1+Supuestos!H5)</f>
        <v>253.02530783207749</v>
      </c>
      <c r="R181" s="164">
        <f>+Q181*(1+Supuestos!I5)</f>
        <v>260.86909237487185</v>
      </c>
      <c r="S181" s="164">
        <f>+R181*(1+Supuestos!J5)</f>
        <v>268.85168660154295</v>
      </c>
      <c r="T181" s="164">
        <f>+S181*(1+Supuestos!K5)</f>
        <v>277.07854821155013</v>
      </c>
      <c r="U181" s="164">
        <f>+T181*(1+Supuestos!L5)</f>
        <v>285.55715178682357</v>
      </c>
      <c r="V181" s="331"/>
      <c r="W181" s="325">
        <f t="shared" si="97"/>
        <v>-3.4099381118468886E-2</v>
      </c>
      <c r="X181" s="325">
        <f t="shared" si="79"/>
        <v>3.5600000000000076E-2</v>
      </c>
      <c r="Y181" s="325">
        <f t="shared" si="80"/>
        <v>3.0599999999999961E-2</v>
      </c>
      <c r="Z181" s="325">
        <f t="shared" si="81"/>
        <v>3.1400000000000095E-2</v>
      </c>
      <c r="AA181" s="325">
        <f t="shared" si="82"/>
        <v>3.0999999999999917E-2</v>
      </c>
      <c r="AB181" s="325">
        <f t="shared" si="83"/>
        <v>3.0599999999999961E-2</v>
      </c>
      <c r="AC181" s="325">
        <f t="shared" si="84"/>
        <v>3.0599999999999961E-2</v>
      </c>
      <c r="AD181" s="325">
        <f t="shared" si="84"/>
        <v>3.0599999999999961E-2</v>
      </c>
      <c r="AF181" s="329">
        <f t="shared" si="88"/>
        <v>1.344481495011015E-2</v>
      </c>
      <c r="AG181" s="329">
        <f t="shared" si="89"/>
        <v>1.344481495011015E-2</v>
      </c>
      <c r="AH181" s="329">
        <f t="shared" si="90"/>
        <v>1.3444814950110148E-2</v>
      </c>
      <c r="AI181" s="329">
        <f t="shared" si="91"/>
        <v>1.3444814950110146E-2</v>
      </c>
      <c r="AJ181" s="329">
        <f t="shared" si="92"/>
        <v>1.3444814950110146E-2</v>
      </c>
      <c r="AK181" s="329">
        <f t="shared" si="93"/>
        <v>1.3444814950110148E-2</v>
      </c>
      <c r="AL181" s="329">
        <f t="shared" si="94"/>
        <v>1.3444814950110146E-2</v>
      </c>
      <c r="AM181" s="329">
        <f t="shared" si="95"/>
        <v>1.3444814950110146E-2</v>
      </c>
      <c r="AN181" s="329"/>
      <c r="AO181" s="345" t="s">
        <v>78</v>
      </c>
      <c r="AP181" s="342">
        <v>-3.4099381118468886E-2</v>
      </c>
      <c r="AQ181" s="342">
        <v>3.5600000000000076E-2</v>
      </c>
      <c r="AR181" s="342">
        <v>3.0599999999999961E-2</v>
      </c>
      <c r="AS181" s="342">
        <v>3.1400000000000095E-2</v>
      </c>
      <c r="AT181" s="342">
        <v>3.0999999999999917E-2</v>
      </c>
      <c r="AU181" s="342">
        <v>3.0599999999999961E-2</v>
      </c>
      <c r="AV181" s="342">
        <v>3.0599999999999961E-2</v>
      </c>
      <c r="AW181" s="342">
        <v>3.0599999999999961E-2</v>
      </c>
      <c r="AX181" s="346">
        <f t="shared" si="98"/>
        <v>2.328757736019138E-2</v>
      </c>
    </row>
    <row r="182" spans="2:50" ht="18.75" customHeight="1" x14ac:dyDescent="0.25">
      <c r="B182" s="7" t="s">
        <v>184</v>
      </c>
      <c r="C182" s="15">
        <v>513400</v>
      </c>
      <c r="D182" s="42">
        <v>0</v>
      </c>
      <c r="E182" s="42">
        <v>0</v>
      </c>
      <c r="F182" s="42">
        <v>0</v>
      </c>
      <c r="G182" s="42">
        <v>0</v>
      </c>
      <c r="H182" s="42">
        <v>325.27</v>
      </c>
      <c r="I182" s="42">
        <v>988.78</v>
      </c>
      <c r="J182" s="42">
        <v>154.19</v>
      </c>
      <c r="K182" s="42">
        <v>130.68</v>
      </c>
      <c r="L182" s="42">
        <v>15.26</v>
      </c>
      <c r="M182" s="42">
        <v>14.11</v>
      </c>
      <c r="N182" s="164">
        <f>+AVERAGE(K182:M182)*(1+EEFFHist!AL189)</f>
        <v>33.591634712249586</v>
      </c>
      <c r="O182" s="164">
        <f>+N182*(1+Supuestos!F5)</f>
        <v>34.787496908005672</v>
      </c>
      <c r="P182" s="164">
        <f>+O182*(1+Supuestos!G5)</f>
        <v>35.851994313390641</v>
      </c>
      <c r="Q182" s="164">
        <f>+P182*(1+Supuestos!H5)</f>
        <v>36.97774693483111</v>
      </c>
      <c r="R182" s="164">
        <f>+Q182*(1+Supuestos!I5)</f>
        <v>38.124057089810869</v>
      </c>
      <c r="S182" s="164">
        <f>+R182*(1+Supuestos!J5)</f>
        <v>39.290653236759077</v>
      </c>
      <c r="T182" s="164">
        <f>+S182*(1+Supuestos!K5)</f>
        <v>40.492947225803903</v>
      </c>
      <c r="U182" s="164">
        <f>+T182*(1+Supuestos!L5)</f>
        <v>41.7320314109135</v>
      </c>
      <c r="V182" s="331"/>
      <c r="W182" s="325">
        <f t="shared" si="97"/>
        <v>1.3806970029943009</v>
      </c>
      <c r="X182" s="325">
        <f t="shared" si="79"/>
        <v>3.5600000000000076E-2</v>
      </c>
      <c r="Y182" s="325">
        <f t="shared" si="80"/>
        <v>3.0599999999999961E-2</v>
      </c>
      <c r="Z182" s="325">
        <f t="shared" si="81"/>
        <v>3.1400000000000095E-2</v>
      </c>
      <c r="AA182" s="325">
        <f t="shared" si="82"/>
        <v>3.0999999999999917E-2</v>
      </c>
      <c r="AB182" s="325">
        <f t="shared" si="83"/>
        <v>3.0599999999999961E-2</v>
      </c>
      <c r="AC182" s="325">
        <f t="shared" si="84"/>
        <v>3.0599999999999961E-2</v>
      </c>
      <c r="AD182" s="325">
        <f t="shared" si="84"/>
        <v>3.0599999999999961E-2</v>
      </c>
      <c r="AF182" s="329">
        <f t="shared" si="88"/>
        <v>1.9648586501898502E-3</v>
      </c>
      <c r="AG182" s="329">
        <f t="shared" si="89"/>
        <v>1.9648586501898498E-3</v>
      </c>
      <c r="AH182" s="329">
        <f t="shared" si="90"/>
        <v>1.9648586501898498E-3</v>
      </c>
      <c r="AI182" s="329">
        <f t="shared" si="91"/>
        <v>1.9648586501898493E-3</v>
      </c>
      <c r="AJ182" s="329">
        <f t="shared" si="92"/>
        <v>1.9648586501898493E-3</v>
      </c>
      <c r="AK182" s="329">
        <f t="shared" si="93"/>
        <v>1.9648586501898493E-3</v>
      </c>
      <c r="AL182" s="329">
        <f t="shared" si="94"/>
        <v>1.9648586501898493E-3</v>
      </c>
      <c r="AM182" s="329">
        <f t="shared" si="95"/>
        <v>1.9648586501898493E-3</v>
      </c>
      <c r="AN182" s="329"/>
      <c r="AO182" s="345" t="s">
        <v>397</v>
      </c>
      <c r="AP182" s="342">
        <v>1.3806970029943009</v>
      </c>
      <c r="AQ182" s="342">
        <v>3.5600000000000076E-2</v>
      </c>
      <c r="AR182" s="342">
        <v>3.0599999999999961E-2</v>
      </c>
      <c r="AS182" s="342">
        <v>3.1400000000000095E-2</v>
      </c>
      <c r="AT182" s="342">
        <v>3.0999999999999917E-2</v>
      </c>
      <c r="AU182" s="342">
        <v>3.0599999999999961E-2</v>
      </c>
      <c r="AV182" s="342">
        <v>3.0599999999999961E-2</v>
      </c>
      <c r="AW182" s="342">
        <v>3.0599999999999961E-2</v>
      </c>
      <c r="AX182" s="346">
        <f t="shared" si="98"/>
        <v>0.2001371253742876</v>
      </c>
    </row>
    <row r="183" spans="2:50" x14ac:dyDescent="0.25">
      <c r="B183" s="7" t="s">
        <v>23</v>
      </c>
      <c r="C183" s="15">
        <v>513500</v>
      </c>
      <c r="D183" s="42">
        <v>593.48</v>
      </c>
      <c r="E183" s="42">
        <v>743.14</v>
      </c>
      <c r="F183" s="42">
        <v>774.37</v>
      </c>
      <c r="G183" s="42">
        <v>847.255</v>
      </c>
      <c r="H183" s="42">
        <v>1022.21</v>
      </c>
      <c r="I183" s="42">
        <v>1079.18</v>
      </c>
      <c r="J183" s="42">
        <v>1168.3900000000001</v>
      </c>
      <c r="K183" s="42">
        <v>1196.01</v>
      </c>
      <c r="L183" s="42">
        <v>1050.2</v>
      </c>
      <c r="M183" s="42">
        <v>1109.47</v>
      </c>
      <c r="N183" s="164">
        <f>+AVERAGE(K183:M183)*(1+EEFFHist!AL190)</f>
        <v>1102.9607635010793</v>
      </c>
      <c r="O183" s="164">
        <f>+N183*(1+Supuestos!F5)</f>
        <v>1142.2261666817178</v>
      </c>
      <c r="P183" s="164">
        <f>+O183*(1+Supuestos!G5)</f>
        <v>1177.1782873821783</v>
      </c>
      <c r="Q183" s="164">
        <f>+P183*(1+Supuestos!H5)</f>
        <v>1214.1416856059789</v>
      </c>
      <c r="R183" s="164">
        <f>+Q183*(1+Supuestos!I5)</f>
        <v>1251.7800778597641</v>
      </c>
      <c r="S183" s="164">
        <f>+R183*(1+Supuestos!J5)</f>
        <v>1290.0845482422728</v>
      </c>
      <c r="T183" s="164">
        <f>+S183*(1+Supuestos!K5)</f>
        <v>1329.5611354184864</v>
      </c>
      <c r="U183" s="164">
        <f>+T183*(1+Supuestos!L5)</f>
        <v>1370.245706162292</v>
      </c>
      <c r="V183" s="331"/>
      <c r="W183" s="325">
        <f t="shared" si="97"/>
        <v>-5.8669783760900707E-3</v>
      </c>
      <c r="X183" s="325">
        <f t="shared" si="79"/>
        <v>3.5600000000000076E-2</v>
      </c>
      <c r="Y183" s="325">
        <f t="shared" si="80"/>
        <v>3.0599999999999961E-2</v>
      </c>
      <c r="Z183" s="325">
        <f t="shared" si="81"/>
        <v>3.1400000000000095E-2</v>
      </c>
      <c r="AA183" s="325">
        <f t="shared" si="82"/>
        <v>3.0999999999999917E-2</v>
      </c>
      <c r="AB183" s="325">
        <f t="shared" si="83"/>
        <v>3.0599999999999961E-2</v>
      </c>
      <c r="AC183" s="325">
        <f t="shared" si="84"/>
        <v>3.0599999999999961E-2</v>
      </c>
      <c r="AD183" s="325">
        <f t="shared" si="84"/>
        <v>3.0599999999999961E-2</v>
      </c>
      <c r="AF183" s="329">
        <f t="shared" si="88"/>
        <v>6.4514931040102558E-2</v>
      </c>
      <c r="AG183" s="329">
        <f t="shared" si="89"/>
        <v>6.4514931040102558E-2</v>
      </c>
      <c r="AH183" s="329">
        <f t="shared" si="90"/>
        <v>6.4514931040102544E-2</v>
      </c>
      <c r="AI183" s="329">
        <f t="shared" si="91"/>
        <v>6.4514931040102544E-2</v>
      </c>
      <c r="AJ183" s="329">
        <f t="shared" si="92"/>
        <v>6.4514931040102544E-2</v>
      </c>
      <c r="AK183" s="329">
        <f t="shared" si="93"/>
        <v>6.4514931040102544E-2</v>
      </c>
      <c r="AL183" s="329">
        <f t="shared" si="94"/>
        <v>6.4514931040102558E-2</v>
      </c>
      <c r="AM183" s="329">
        <f t="shared" si="95"/>
        <v>6.4514931040102544E-2</v>
      </c>
      <c r="AN183" s="329"/>
      <c r="AO183" s="345" t="s">
        <v>23</v>
      </c>
      <c r="AP183" s="342">
        <v>-5.8669783760900707E-3</v>
      </c>
      <c r="AQ183" s="342">
        <v>3.5600000000000076E-2</v>
      </c>
      <c r="AR183" s="342">
        <v>3.0599999999999961E-2</v>
      </c>
      <c r="AS183" s="342">
        <v>3.1400000000000095E-2</v>
      </c>
      <c r="AT183" s="342">
        <v>3.0999999999999917E-2</v>
      </c>
      <c r="AU183" s="342">
        <v>3.0599999999999961E-2</v>
      </c>
      <c r="AV183" s="342">
        <v>3.0599999999999961E-2</v>
      </c>
      <c r="AW183" s="342">
        <v>3.0599999999999961E-2</v>
      </c>
      <c r="AX183" s="346">
        <f t="shared" si="98"/>
        <v>2.6816627702988732E-2</v>
      </c>
    </row>
    <row r="184" spans="2:50" x14ac:dyDescent="0.25">
      <c r="B184" s="7" t="s">
        <v>447</v>
      </c>
      <c r="C184" s="15">
        <v>513600</v>
      </c>
      <c r="D184" s="42">
        <v>223.75</v>
      </c>
      <c r="E184" s="42">
        <v>478.86</v>
      </c>
      <c r="F184" s="42">
        <v>316.06</v>
      </c>
      <c r="G184" s="42">
        <v>188.82</v>
      </c>
      <c r="H184" s="42">
        <v>341.38</v>
      </c>
      <c r="I184" s="42">
        <v>590.86</v>
      </c>
      <c r="J184" s="42">
        <v>649.64</v>
      </c>
      <c r="K184" s="42">
        <v>572.51</v>
      </c>
      <c r="L184" s="42">
        <v>198.6</v>
      </c>
      <c r="M184" s="42">
        <v>168.31</v>
      </c>
      <c r="N184" s="235">
        <f>M184*N$176/M$176</f>
        <v>179.86208982659599</v>
      </c>
      <c r="O184" s="235">
        <f t="shared" ref="O184:U184" si="99">N184*O$176/N$176</f>
        <v>186.19629033808752</v>
      </c>
      <c r="P184" s="235">
        <f t="shared" si="99"/>
        <v>199.80628168987312</v>
      </c>
      <c r="Q184" s="235">
        <f t="shared" si="99"/>
        <v>198.20976701687619</v>
      </c>
      <c r="R184" s="235">
        <f t="shared" si="99"/>
        <v>204.35751642013233</v>
      </c>
      <c r="S184" s="235">
        <f t="shared" si="99"/>
        <v>210.61420499236939</v>
      </c>
      <c r="T184" s="235">
        <f t="shared" si="99"/>
        <v>217.0589996651359</v>
      </c>
      <c r="U184" s="235">
        <f t="shared" si="99"/>
        <v>223.70100505488907</v>
      </c>
      <c r="V184" s="337"/>
      <c r="W184" s="325">
        <f t="shared" si="97"/>
        <v>6.8635790069490721E-2</v>
      </c>
      <c r="X184" s="325">
        <f t="shared" si="79"/>
        <v>3.5216984955519504E-2</v>
      </c>
      <c r="Y184" s="325">
        <f t="shared" si="80"/>
        <v>7.3094857728223994E-2</v>
      </c>
      <c r="Z184" s="325">
        <f t="shared" si="81"/>
        <v>-7.9903127143666763E-3</v>
      </c>
      <c r="AA184" s="325">
        <f t="shared" si="82"/>
        <v>3.1016379746476863E-2</v>
      </c>
      <c r="AB184" s="325">
        <f t="shared" si="83"/>
        <v>3.0616385841047977E-2</v>
      </c>
      <c r="AC184" s="325">
        <f t="shared" si="84"/>
        <v>3.0599999999999961E-2</v>
      </c>
      <c r="AD184" s="325">
        <f t="shared" si="84"/>
        <v>3.0599999999999961E-2</v>
      </c>
      <c r="AF184" s="329">
        <f t="shared" si="88"/>
        <v>1.052058305778546E-2</v>
      </c>
      <c r="AG184" s="329">
        <f t="shared" si="89"/>
        <v>1.051669203655348E-2</v>
      </c>
      <c r="AH184" s="329">
        <f t="shared" si="90"/>
        <v>1.09503281047321E-2</v>
      </c>
      <c r="AI184" s="329">
        <f t="shared" si="91"/>
        <v>1.0532122899796752E-2</v>
      </c>
      <c r="AJ184" s="329">
        <f t="shared" si="92"/>
        <v>1.053229022618178E-2</v>
      </c>
      <c r="AK184" s="329">
        <f t="shared" si="93"/>
        <v>1.0532457682453387E-2</v>
      </c>
      <c r="AL184" s="329">
        <f t="shared" si="94"/>
        <v>1.0532457682453387E-2</v>
      </c>
      <c r="AM184" s="329">
        <f t="shared" si="95"/>
        <v>1.0532457682453387E-2</v>
      </c>
      <c r="AN184" s="329"/>
      <c r="AO184" s="345" t="s">
        <v>447</v>
      </c>
      <c r="AP184" s="342">
        <v>6.8635790069490721E-2</v>
      </c>
      <c r="AQ184" s="342">
        <v>3.5216984955519504E-2</v>
      </c>
      <c r="AR184" s="342">
        <v>7.3094857728223994E-2</v>
      </c>
      <c r="AS184" s="342">
        <v>-7.9903127143666763E-3</v>
      </c>
      <c r="AT184" s="342">
        <v>3.1016379746476863E-2</v>
      </c>
      <c r="AU184" s="342">
        <v>3.0616385841047977E-2</v>
      </c>
      <c r="AV184" s="342">
        <v>3.0599999999999961E-2</v>
      </c>
      <c r="AW184" s="342">
        <v>3.0599999999999961E-2</v>
      </c>
      <c r="AX184" s="346">
        <f t="shared" si="98"/>
        <v>3.6473760703299038E-2</v>
      </c>
    </row>
    <row r="185" spans="2:50" x14ac:dyDescent="0.25">
      <c r="B185" s="7" t="s">
        <v>147</v>
      </c>
      <c r="C185" s="15">
        <v>513700</v>
      </c>
      <c r="D185" s="42">
        <v>36.01</v>
      </c>
      <c r="E185" s="42">
        <v>36.229999999999997</v>
      </c>
      <c r="F185" s="42">
        <v>58.71</v>
      </c>
      <c r="G185" s="42">
        <v>60.51</v>
      </c>
      <c r="H185" s="42">
        <v>49.14</v>
      </c>
      <c r="I185" s="42">
        <v>41.05</v>
      </c>
      <c r="J185" s="42">
        <v>24.53</v>
      </c>
      <c r="K185" s="42">
        <v>14.95</v>
      </c>
      <c r="L185" s="42">
        <v>4.5</v>
      </c>
      <c r="M185" s="42">
        <v>3.17</v>
      </c>
      <c r="N185" s="235">
        <f t="shared" ref="N185:U185" si="100">M185*N$176/M$176</f>
        <v>3.3875754545202859</v>
      </c>
      <c r="O185" s="235">
        <f t="shared" si="100"/>
        <v>3.5068756483378141</v>
      </c>
      <c r="P185" s="235">
        <f t="shared" si="100"/>
        <v>3.7632102249236397</v>
      </c>
      <c r="Q185" s="235">
        <f t="shared" si="100"/>
        <v>3.7331409984165975</v>
      </c>
      <c r="R185" s="235">
        <f t="shared" si="100"/>
        <v>3.848929517270629</v>
      </c>
      <c r="S185" s="235">
        <f t="shared" si="100"/>
        <v>3.9667698284463855</v>
      </c>
      <c r="T185" s="235">
        <f t="shared" si="100"/>
        <v>4.088152985196845</v>
      </c>
      <c r="U185" s="235">
        <f t="shared" si="100"/>
        <v>4.2132504665438679</v>
      </c>
      <c r="V185" s="337"/>
      <c r="W185" s="325">
        <f t="shared" si="97"/>
        <v>6.8635790069490721E-2</v>
      </c>
      <c r="X185" s="325">
        <f t="shared" si="79"/>
        <v>3.5216984955519504E-2</v>
      </c>
      <c r="Y185" s="325">
        <f t="shared" si="80"/>
        <v>7.3094857728223994E-2</v>
      </c>
      <c r="Z185" s="325">
        <f t="shared" si="81"/>
        <v>-7.9903127143666763E-3</v>
      </c>
      <c r="AA185" s="325">
        <f t="shared" si="82"/>
        <v>3.1016379746477085E-2</v>
      </c>
      <c r="AB185" s="325">
        <f t="shared" si="83"/>
        <v>3.0616385841047977E-2</v>
      </c>
      <c r="AC185" s="325">
        <f t="shared" si="84"/>
        <v>3.0599999999999961E-2</v>
      </c>
      <c r="AD185" s="325">
        <f t="shared" si="84"/>
        <v>3.0599999999999961E-2</v>
      </c>
      <c r="AF185" s="329">
        <f t="shared" si="88"/>
        <v>1.9814775291533427E-4</v>
      </c>
      <c r="AG185" s="329">
        <f t="shared" si="89"/>
        <v>1.9807446827802585E-4</v>
      </c>
      <c r="AH185" s="329">
        <f t="shared" si="90"/>
        <v>2.0624169741548785E-4</v>
      </c>
      <c r="AI185" s="329">
        <f t="shared" si="91"/>
        <v>1.9836509769090193E-4</v>
      </c>
      <c r="AJ185" s="329">
        <f t="shared" si="92"/>
        <v>1.9836824916520852E-4</v>
      </c>
      <c r="AK185" s="329">
        <f t="shared" si="93"/>
        <v>1.9837140308583712E-4</v>
      </c>
      <c r="AL185" s="329">
        <f t="shared" si="94"/>
        <v>1.9837140308583712E-4</v>
      </c>
      <c r="AM185" s="329">
        <f t="shared" si="95"/>
        <v>1.9837140308583709E-4</v>
      </c>
      <c r="AN185" s="329"/>
      <c r="AO185" s="345" t="s">
        <v>147</v>
      </c>
      <c r="AP185" s="342">
        <v>6.8635790069490721E-2</v>
      </c>
      <c r="AQ185" s="342">
        <v>3.5216984955519504E-2</v>
      </c>
      <c r="AR185" s="342">
        <v>7.3094857728223994E-2</v>
      </c>
      <c r="AS185" s="342">
        <v>-7.9903127143666763E-3</v>
      </c>
      <c r="AT185" s="342">
        <v>3.1016379746477085E-2</v>
      </c>
      <c r="AU185" s="342">
        <v>3.0616385841047977E-2</v>
      </c>
      <c r="AV185" s="342">
        <v>3.0599999999999961E-2</v>
      </c>
      <c r="AW185" s="342">
        <v>3.0599999999999961E-2</v>
      </c>
      <c r="AX185" s="346">
        <f t="shared" si="98"/>
        <v>3.6473760703299066E-2</v>
      </c>
    </row>
    <row r="186" spans="2:50" x14ac:dyDescent="0.25">
      <c r="B186" s="7" t="s">
        <v>446</v>
      </c>
      <c r="C186" s="15">
        <v>513800</v>
      </c>
      <c r="D186" s="42">
        <v>158.86000000000001</v>
      </c>
      <c r="E186" s="42">
        <v>127.35</v>
      </c>
      <c r="F186" s="42">
        <v>147.34</v>
      </c>
      <c r="G186" s="42">
        <v>161.245</v>
      </c>
      <c r="H186" s="42">
        <v>182.48</v>
      </c>
      <c r="I186" s="42">
        <v>225.99</v>
      </c>
      <c r="J186" s="42">
        <v>189.44</v>
      </c>
      <c r="K186" s="42">
        <v>202.88</v>
      </c>
      <c r="L186" s="42">
        <v>135.41</v>
      </c>
      <c r="M186" s="42">
        <v>125.47</v>
      </c>
      <c r="N186" s="235">
        <f t="shared" ref="N186:U186" si="101">M186*N$176/M$176</f>
        <v>134.08173258001901</v>
      </c>
      <c r="O186" s="235">
        <f t="shared" si="101"/>
        <v>138.80368693909952</v>
      </c>
      <c r="P186" s="235">
        <f t="shared" si="101"/>
        <v>148.94952268806594</v>
      </c>
      <c r="Q186" s="235">
        <f t="shared" si="101"/>
        <v>147.75936942313265</v>
      </c>
      <c r="R186" s="235">
        <f t="shared" si="101"/>
        <v>152.3423301362605</v>
      </c>
      <c r="S186" s="235">
        <f t="shared" si="101"/>
        <v>157.00650169563656</v>
      </c>
      <c r="T186" s="235">
        <f t="shared" si="101"/>
        <v>161.81090064752303</v>
      </c>
      <c r="U186" s="235">
        <f t="shared" si="101"/>
        <v>166.76231420733725</v>
      </c>
      <c r="V186" s="337"/>
      <c r="W186" s="325">
        <f t="shared" si="97"/>
        <v>6.8635790069490721E-2</v>
      </c>
      <c r="X186" s="325">
        <f t="shared" si="79"/>
        <v>3.5216984955519504E-2</v>
      </c>
      <c r="Y186" s="325">
        <f t="shared" si="80"/>
        <v>7.3094857728223994E-2</v>
      </c>
      <c r="Z186" s="325">
        <f t="shared" si="81"/>
        <v>-7.9903127143665653E-3</v>
      </c>
      <c r="AA186" s="325">
        <f t="shared" si="82"/>
        <v>3.1016379746476863E-2</v>
      </c>
      <c r="AB186" s="325">
        <f t="shared" si="83"/>
        <v>3.0616385841047977E-2</v>
      </c>
      <c r="AC186" s="325">
        <f t="shared" si="84"/>
        <v>3.0599999999999961E-2</v>
      </c>
      <c r="AD186" s="325">
        <f t="shared" si="84"/>
        <v>3.0600000000000183E-2</v>
      </c>
      <c r="AF186" s="329">
        <f t="shared" si="88"/>
        <v>7.8427755704375372E-3</v>
      </c>
      <c r="AG186" s="329">
        <f t="shared" si="89"/>
        <v>7.8398749321274136E-3</v>
      </c>
      <c r="AH186" s="329">
        <f t="shared" si="90"/>
        <v>8.1631374683663275E-3</v>
      </c>
      <c r="AI186" s="329">
        <f t="shared" si="91"/>
        <v>7.8513781726427343E-3</v>
      </c>
      <c r="AJ186" s="329">
        <f t="shared" si="92"/>
        <v>7.8515029093876067E-3</v>
      </c>
      <c r="AK186" s="329">
        <f t="shared" si="93"/>
        <v>7.8516277429589842E-3</v>
      </c>
      <c r="AL186" s="329">
        <f t="shared" si="94"/>
        <v>7.8516277429589824E-3</v>
      </c>
      <c r="AM186" s="329">
        <f t="shared" si="95"/>
        <v>7.8516277429589842E-3</v>
      </c>
      <c r="AN186" s="329"/>
      <c r="AO186" s="345" t="s">
        <v>446</v>
      </c>
      <c r="AP186" s="342">
        <v>6.8635790069490721E-2</v>
      </c>
      <c r="AQ186" s="342">
        <v>3.5216984955519504E-2</v>
      </c>
      <c r="AR186" s="342">
        <v>7.3094857728223994E-2</v>
      </c>
      <c r="AS186" s="342">
        <v>-7.9903127143665653E-3</v>
      </c>
      <c r="AT186" s="342">
        <v>3.1016379746476863E-2</v>
      </c>
      <c r="AU186" s="342">
        <v>3.0616385841047977E-2</v>
      </c>
      <c r="AV186" s="342">
        <v>3.0599999999999961E-2</v>
      </c>
      <c r="AW186" s="342">
        <v>3.0600000000000183E-2</v>
      </c>
      <c r="AX186" s="346">
        <f t="shared" si="98"/>
        <v>3.647376070329908E-2</v>
      </c>
    </row>
    <row r="187" spans="2:50" x14ac:dyDescent="0.25">
      <c r="B187" s="7" t="s">
        <v>443</v>
      </c>
      <c r="C187" s="15">
        <v>513900</v>
      </c>
      <c r="D187" s="42">
        <v>21</v>
      </c>
      <c r="E187" s="42">
        <v>52.09</v>
      </c>
      <c r="F187" s="42">
        <v>89.71</v>
      </c>
      <c r="G187" s="42">
        <v>57.759</v>
      </c>
      <c r="H187" s="42">
        <v>72.56</v>
      </c>
      <c r="I187" s="42">
        <v>69.64</v>
      </c>
      <c r="J187" s="42">
        <v>158.61000000000001</v>
      </c>
      <c r="K187" s="42">
        <v>390.69</v>
      </c>
      <c r="L187" s="42">
        <v>366.81</v>
      </c>
      <c r="M187" s="42">
        <v>324.77</v>
      </c>
      <c r="N187" s="235">
        <f t="shared" ref="N187:U187" si="102">M187*N$176/M$176</f>
        <v>347.06084554086851</v>
      </c>
      <c r="O187" s="235">
        <f t="shared" si="102"/>
        <v>359.28328211693122</v>
      </c>
      <c r="P187" s="235">
        <f t="shared" si="102"/>
        <v>385.54504250739768</v>
      </c>
      <c r="Q187" s="235">
        <f t="shared" si="102"/>
        <v>382.46441705228978</v>
      </c>
      <c r="R187" s="235">
        <f t="shared" si="102"/>
        <v>394.32707865109853</v>
      </c>
      <c r="S187" s="235">
        <f t="shared" si="102"/>
        <v>406.39994863865383</v>
      </c>
      <c r="T187" s="235">
        <f t="shared" si="102"/>
        <v>418.83578706699666</v>
      </c>
      <c r="U187" s="235">
        <f t="shared" si="102"/>
        <v>431.65216215124678</v>
      </c>
      <c r="V187" s="337"/>
      <c r="W187" s="325">
        <f t="shared" si="97"/>
        <v>6.8635790069490721E-2</v>
      </c>
      <c r="X187" s="325">
        <f t="shared" si="79"/>
        <v>3.5216984955519726E-2</v>
      </c>
      <c r="Y187" s="325">
        <f t="shared" si="80"/>
        <v>7.3094857728223994E-2</v>
      </c>
      <c r="Z187" s="325">
        <f t="shared" si="81"/>
        <v>-7.9903127143666763E-3</v>
      </c>
      <c r="AA187" s="325">
        <f t="shared" si="82"/>
        <v>3.1016379746476863E-2</v>
      </c>
      <c r="AB187" s="325">
        <f t="shared" si="83"/>
        <v>3.0616385841047977E-2</v>
      </c>
      <c r="AC187" s="325">
        <f t="shared" si="84"/>
        <v>3.0599999999999961E-2</v>
      </c>
      <c r="AD187" s="325">
        <f t="shared" si="84"/>
        <v>3.0599999999999961E-2</v>
      </c>
      <c r="AF187" s="329">
        <f t="shared" si="88"/>
        <v>2.030045606129751E-2</v>
      </c>
      <c r="AG187" s="329">
        <f t="shared" si="89"/>
        <v>2.0292947969291628E-2</v>
      </c>
      <c r="AH187" s="329">
        <f t="shared" si="90"/>
        <v>2.112968961187003E-2</v>
      </c>
      <c r="AI187" s="329">
        <f t="shared" si="91"/>
        <v>2.0322723273524995E-2</v>
      </c>
      <c r="AJ187" s="329">
        <f t="shared" si="92"/>
        <v>2.0323046145547249E-2</v>
      </c>
      <c r="AK187" s="329">
        <f t="shared" si="93"/>
        <v>2.0323369268197892E-2</v>
      </c>
      <c r="AL187" s="329">
        <f t="shared" si="94"/>
        <v>2.0323369268197895E-2</v>
      </c>
      <c r="AM187" s="329">
        <f t="shared" si="95"/>
        <v>2.0323369268197895E-2</v>
      </c>
      <c r="AN187" s="329"/>
      <c r="AO187" s="345" t="s">
        <v>443</v>
      </c>
      <c r="AP187" s="342">
        <v>6.8635790069490721E-2</v>
      </c>
      <c r="AQ187" s="342">
        <v>3.5216984955519726E-2</v>
      </c>
      <c r="AR187" s="342">
        <v>7.3094857728223994E-2</v>
      </c>
      <c r="AS187" s="342">
        <v>-7.9903127143666763E-3</v>
      </c>
      <c r="AT187" s="342">
        <v>3.1016379746476863E-2</v>
      </c>
      <c r="AU187" s="342">
        <v>3.0616385841047977E-2</v>
      </c>
      <c r="AV187" s="342">
        <v>3.0599999999999961E-2</v>
      </c>
      <c r="AW187" s="342">
        <v>3.0599999999999961E-2</v>
      </c>
      <c r="AX187" s="346">
        <f t="shared" si="98"/>
        <v>3.6473760703299066E-2</v>
      </c>
    </row>
    <row r="188" spans="2:50" x14ac:dyDescent="0.25">
      <c r="B188" s="7" t="s">
        <v>150</v>
      </c>
      <c r="C188" s="15">
        <v>514000</v>
      </c>
      <c r="D188" s="42">
        <v>31.11</v>
      </c>
      <c r="E188" s="42">
        <v>114.08</v>
      </c>
      <c r="F188" s="42">
        <v>92.15</v>
      </c>
      <c r="G188" s="42">
        <v>36.295000000000002</v>
      </c>
      <c r="H188" s="42">
        <v>59.78</v>
      </c>
      <c r="I188" s="42">
        <v>43.59</v>
      </c>
      <c r="J188" s="42">
        <v>158.99</v>
      </c>
      <c r="K188" s="42">
        <v>329.77</v>
      </c>
      <c r="L188" s="42">
        <v>133.65</v>
      </c>
      <c r="M188" s="42">
        <v>74.349999999999994</v>
      </c>
      <c r="N188" s="164">
        <f>+AVERAGE(K188:M188)*(1+EEFFHist!AL195)</f>
        <v>181.39232195297811</v>
      </c>
      <c r="O188" s="164">
        <f>+N188*(1+Supuestos!F5)</f>
        <v>187.84988861450415</v>
      </c>
      <c r="P188" s="164">
        <f>+O188*(1+Supuestos!G5)</f>
        <v>193.59809520610798</v>
      </c>
      <c r="Q188" s="164">
        <f>+P188*(1+Supuestos!H5)</f>
        <v>199.67707539557981</v>
      </c>
      <c r="R188" s="164">
        <f>+Q188*(1+Supuestos!I5)</f>
        <v>205.86706473284275</v>
      </c>
      <c r="S188" s="164">
        <f>+R188*(1+Supuestos!J5)</f>
        <v>212.16659691366772</v>
      </c>
      <c r="T188" s="164">
        <f>+S188*(1+Supuestos!K5)</f>
        <v>218.65889477922593</v>
      </c>
      <c r="U188" s="164">
        <f>+T188*(1+Supuestos!L5)</f>
        <v>225.34985695947023</v>
      </c>
      <c r="V188" s="331"/>
      <c r="W188" s="325">
        <f t="shared" si="97"/>
        <v>1.4397084324543123</v>
      </c>
      <c r="X188" s="325">
        <f t="shared" si="79"/>
        <v>3.5600000000000076E-2</v>
      </c>
      <c r="Y188" s="325">
        <f t="shared" si="80"/>
        <v>3.0599999999999961E-2</v>
      </c>
      <c r="Z188" s="325">
        <f t="shared" si="81"/>
        <v>3.1400000000000095E-2</v>
      </c>
      <c r="AA188" s="325">
        <f t="shared" si="82"/>
        <v>3.0999999999999917E-2</v>
      </c>
      <c r="AB188" s="325">
        <f t="shared" si="83"/>
        <v>3.0599999999999961E-2</v>
      </c>
      <c r="AC188" s="325">
        <f t="shared" si="84"/>
        <v>3.0599999999999961E-2</v>
      </c>
      <c r="AD188" s="325">
        <f t="shared" si="84"/>
        <v>3.0599999999999961E-2</v>
      </c>
      <c r="AF188" s="329">
        <f t="shared" si="88"/>
        <v>1.0610090158469188E-2</v>
      </c>
      <c r="AG188" s="329">
        <f t="shared" si="89"/>
        <v>1.0610090158469188E-2</v>
      </c>
      <c r="AH188" s="329">
        <f t="shared" si="90"/>
        <v>1.0610090158469188E-2</v>
      </c>
      <c r="AI188" s="329">
        <f t="shared" si="91"/>
        <v>1.0610090158469188E-2</v>
      </c>
      <c r="AJ188" s="329">
        <f t="shared" si="92"/>
        <v>1.0610090158469188E-2</v>
      </c>
      <c r="AK188" s="329">
        <f t="shared" si="93"/>
        <v>1.0610090158469188E-2</v>
      </c>
      <c r="AL188" s="329">
        <f t="shared" si="94"/>
        <v>1.0610090158469187E-2</v>
      </c>
      <c r="AM188" s="329">
        <f t="shared" si="95"/>
        <v>1.0610090158469187E-2</v>
      </c>
      <c r="AN188" s="329"/>
      <c r="AO188" s="345" t="s">
        <v>398</v>
      </c>
      <c r="AP188" s="342">
        <v>1.4397084324543123</v>
      </c>
      <c r="AQ188" s="342">
        <v>3.5600000000000076E-2</v>
      </c>
      <c r="AR188" s="342">
        <v>3.0599999999999961E-2</v>
      </c>
      <c r="AS188" s="342">
        <v>3.1400000000000095E-2</v>
      </c>
      <c r="AT188" s="342">
        <v>3.0999999999999917E-2</v>
      </c>
      <c r="AU188" s="342">
        <v>3.0599999999999961E-2</v>
      </c>
      <c r="AV188" s="342">
        <v>3.0599999999999961E-2</v>
      </c>
      <c r="AW188" s="342">
        <v>3.0599999999999961E-2</v>
      </c>
      <c r="AX188" s="346">
        <f t="shared" si="98"/>
        <v>0.20751355405678903</v>
      </c>
    </row>
    <row r="189" spans="2:50" x14ac:dyDescent="0.25">
      <c r="B189" s="7" t="s">
        <v>79</v>
      </c>
      <c r="C189" s="15">
        <v>514100</v>
      </c>
      <c r="D189" s="42">
        <v>6.19</v>
      </c>
      <c r="E189" s="42">
        <v>62.3</v>
      </c>
      <c r="F189" s="42">
        <v>11.47</v>
      </c>
      <c r="G189" s="42">
        <v>100.485</v>
      </c>
      <c r="H189" s="42">
        <v>14.24</v>
      </c>
      <c r="I189" s="42">
        <v>170.01</v>
      </c>
      <c r="J189" s="42">
        <v>20.61</v>
      </c>
      <c r="K189" s="42">
        <v>25.9</v>
      </c>
      <c r="L189" s="42">
        <v>202.83</v>
      </c>
      <c r="M189" s="42">
        <v>6.94</v>
      </c>
      <c r="N189" s="235">
        <f>M189*N$176/M$176</f>
        <v>7.4163323830822669</v>
      </c>
      <c r="O189" s="235">
        <f t="shared" ref="O189:U189" si="103">N189*O$176/N$176</f>
        <v>7.6775132490424074</v>
      </c>
      <c r="P189" s="235">
        <f t="shared" si="103"/>
        <v>8.2386999876877169</v>
      </c>
      <c r="Q189" s="235">
        <f t="shared" si="103"/>
        <v>8.1728701984262422</v>
      </c>
      <c r="R189" s="235">
        <f t="shared" si="103"/>
        <v>8.4263630441192952</v>
      </c>
      <c r="S189" s="235">
        <f t="shared" si="103"/>
        <v>8.6843478263148004</v>
      </c>
      <c r="T189" s="235">
        <f t="shared" si="103"/>
        <v>8.9500888698000338</v>
      </c>
      <c r="U189" s="235">
        <f t="shared" si="103"/>
        <v>9.2239615892159144</v>
      </c>
      <c r="V189" s="337"/>
      <c r="W189" s="325">
        <f t="shared" si="97"/>
        <v>6.8635790069490943E-2</v>
      </c>
      <c r="X189" s="325">
        <f t="shared" si="79"/>
        <v>3.5216984955519504E-2</v>
      </c>
      <c r="Y189" s="325">
        <f t="shared" si="80"/>
        <v>7.3094857728223994E-2</v>
      </c>
      <c r="Z189" s="325">
        <f t="shared" si="81"/>
        <v>-7.9903127143667874E-3</v>
      </c>
      <c r="AA189" s="325">
        <f t="shared" si="82"/>
        <v>3.1016379746477085E-2</v>
      </c>
      <c r="AB189" s="325">
        <f t="shared" si="83"/>
        <v>3.0616385841048199E-2</v>
      </c>
      <c r="AC189" s="325">
        <f t="shared" si="84"/>
        <v>3.0599999999999961E-2</v>
      </c>
      <c r="AD189" s="325">
        <f t="shared" si="84"/>
        <v>3.0599999999999961E-2</v>
      </c>
      <c r="AF189" s="329">
        <f t="shared" si="88"/>
        <v>4.3379981237615773E-4</v>
      </c>
      <c r="AG189" s="329">
        <f t="shared" si="89"/>
        <v>4.3363937219227118E-4</v>
      </c>
      <c r="AH189" s="329">
        <f t="shared" si="90"/>
        <v>4.5151967825346554E-4</v>
      </c>
      <c r="AI189" s="329">
        <f t="shared" si="91"/>
        <v>4.3427563973970329E-4</v>
      </c>
      <c r="AJ189" s="329">
        <f t="shared" si="92"/>
        <v>4.3428253918187609E-4</v>
      </c>
      <c r="AK189" s="329">
        <f t="shared" si="93"/>
        <v>4.3428944397971912E-4</v>
      </c>
      <c r="AL189" s="329">
        <f t="shared" si="94"/>
        <v>4.3428944397971917E-4</v>
      </c>
      <c r="AM189" s="329">
        <f t="shared" si="95"/>
        <v>4.3428944397971917E-4</v>
      </c>
      <c r="AN189" s="329"/>
      <c r="AO189" s="345" t="s">
        <v>79</v>
      </c>
      <c r="AP189" s="342">
        <v>6.8635790069490943E-2</v>
      </c>
      <c r="AQ189" s="342">
        <v>3.5216984955519504E-2</v>
      </c>
      <c r="AR189" s="342">
        <v>7.3094857728223994E-2</v>
      </c>
      <c r="AS189" s="342">
        <v>-7.9903127143667874E-3</v>
      </c>
      <c r="AT189" s="342">
        <v>3.1016379746477085E-2</v>
      </c>
      <c r="AU189" s="342">
        <v>3.0616385841048199E-2</v>
      </c>
      <c r="AV189" s="342">
        <v>3.0599999999999961E-2</v>
      </c>
      <c r="AW189" s="342">
        <v>3.0599999999999961E-2</v>
      </c>
      <c r="AX189" s="346">
        <f t="shared" si="98"/>
        <v>3.6473760703299107E-2</v>
      </c>
    </row>
    <row r="190" spans="2:50" x14ac:dyDescent="0.25">
      <c r="B190" s="7" t="s">
        <v>80</v>
      </c>
      <c r="C190" s="15">
        <v>514500</v>
      </c>
      <c r="D190" s="42">
        <v>70.17</v>
      </c>
      <c r="E190" s="42">
        <v>90.29</v>
      </c>
      <c r="F190" s="42">
        <v>65.61</v>
      </c>
      <c r="G190" s="42">
        <v>38.924999999999997</v>
      </c>
      <c r="H190" s="42">
        <v>43.91</v>
      </c>
      <c r="I190" s="42">
        <v>42.29</v>
      </c>
      <c r="J190" s="42">
        <v>37.840000000000003</v>
      </c>
      <c r="K190" s="42">
        <v>30.54</v>
      </c>
      <c r="L190" s="42">
        <v>15.43</v>
      </c>
      <c r="M190" s="42">
        <v>22.59</v>
      </c>
      <c r="N190" s="164">
        <f>+AVERAGE(K190:M190)*(1+EEFFHist!AL197)</f>
        <v>21.149637074357397</v>
      </c>
      <c r="O190" s="164">
        <f>+N190*(1+Supuestos!F5)</f>
        <v>21.902564154204523</v>
      </c>
      <c r="P190" s="164">
        <f>+O190*(1+Supuestos!G5)</f>
        <v>22.572782617323181</v>
      </c>
      <c r="Q190" s="164">
        <f>+P190*(1+Supuestos!H5)</f>
        <v>23.281567991507131</v>
      </c>
      <c r="R190" s="164">
        <f>+Q190*(1+Supuestos!I5)</f>
        <v>24.00329659924385</v>
      </c>
      <c r="S190" s="164">
        <f>+R190*(1+Supuestos!J5)</f>
        <v>24.737797475180709</v>
      </c>
      <c r="T190" s="164">
        <f>+S190*(1+Supuestos!K5)</f>
        <v>25.494774077921239</v>
      </c>
      <c r="U190" s="164">
        <f>+T190*(1+Supuestos!L5)</f>
        <v>26.274914164705628</v>
      </c>
      <c r="V190" s="331"/>
      <c r="W190" s="325">
        <f t="shared" si="97"/>
        <v>-6.3761085685816843E-2</v>
      </c>
      <c r="X190" s="325">
        <f t="shared" si="79"/>
        <v>3.5600000000000076E-2</v>
      </c>
      <c r="Y190" s="325">
        <f t="shared" si="80"/>
        <v>3.0599999999999961E-2</v>
      </c>
      <c r="Z190" s="325">
        <f t="shared" si="81"/>
        <v>3.1400000000000095E-2</v>
      </c>
      <c r="AA190" s="325">
        <f t="shared" si="82"/>
        <v>3.0999999999999917E-2</v>
      </c>
      <c r="AB190" s="325">
        <f t="shared" si="83"/>
        <v>3.0599999999999961E-2</v>
      </c>
      <c r="AC190" s="325">
        <f t="shared" si="84"/>
        <v>3.0599999999999961E-2</v>
      </c>
      <c r="AD190" s="325">
        <f t="shared" si="84"/>
        <v>3.0599999999999961E-2</v>
      </c>
      <c r="AF190" s="329">
        <f t="shared" si="88"/>
        <v>1.2370951193623567E-3</v>
      </c>
      <c r="AG190" s="329">
        <f t="shared" si="89"/>
        <v>1.2370951193623567E-3</v>
      </c>
      <c r="AH190" s="329">
        <f t="shared" si="90"/>
        <v>1.2370951193623567E-3</v>
      </c>
      <c r="AI190" s="329">
        <f t="shared" si="91"/>
        <v>1.2370951193623565E-3</v>
      </c>
      <c r="AJ190" s="329">
        <f t="shared" si="92"/>
        <v>1.2370951193623567E-3</v>
      </c>
      <c r="AK190" s="329">
        <f t="shared" si="93"/>
        <v>1.2370951193623567E-3</v>
      </c>
      <c r="AL190" s="329">
        <f t="shared" si="94"/>
        <v>1.2370951193623567E-3</v>
      </c>
      <c r="AM190" s="329">
        <f t="shared" si="95"/>
        <v>1.2370951193623567E-3</v>
      </c>
      <c r="AN190" s="329"/>
      <c r="AO190" s="345" t="s">
        <v>399</v>
      </c>
      <c r="AP190" s="342">
        <v>-6.3761085685816843E-2</v>
      </c>
      <c r="AQ190" s="342">
        <v>3.5600000000000076E-2</v>
      </c>
      <c r="AR190" s="342">
        <v>3.0599999999999961E-2</v>
      </c>
      <c r="AS190" s="342">
        <v>3.1400000000000095E-2</v>
      </c>
      <c r="AT190" s="342">
        <v>3.0999999999999917E-2</v>
      </c>
      <c r="AU190" s="342">
        <v>3.0599999999999961E-2</v>
      </c>
      <c r="AV190" s="342">
        <v>3.0599999999999961E-2</v>
      </c>
      <c r="AW190" s="342">
        <v>3.0599999999999961E-2</v>
      </c>
      <c r="AX190" s="346">
        <f t="shared" si="98"/>
        <v>1.9579864289272886E-2</v>
      </c>
    </row>
    <row r="191" spans="2:50" x14ac:dyDescent="0.25">
      <c r="B191" s="7" t="s">
        <v>444</v>
      </c>
      <c r="C191" s="15">
        <v>515000</v>
      </c>
      <c r="D191" s="42">
        <v>13.7</v>
      </c>
      <c r="E191" s="42">
        <v>24.49</v>
      </c>
      <c r="F191" s="42">
        <v>17.95</v>
      </c>
      <c r="G191" s="42">
        <v>20.100000000000001</v>
      </c>
      <c r="H191" s="42">
        <v>21.02</v>
      </c>
      <c r="I191" s="42">
        <v>24.44</v>
      </c>
      <c r="J191" s="42">
        <v>35.409999999999997</v>
      </c>
      <c r="K191" s="42">
        <v>75.680000000000007</v>
      </c>
      <c r="L191" s="42">
        <v>38.86</v>
      </c>
      <c r="M191" s="42">
        <v>18.36</v>
      </c>
      <c r="N191" s="164">
        <f>+AVERAGE(K191:M191)*(1+EEFFHist!AL198)</f>
        <v>46.119141487087518</v>
      </c>
      <c r="O191" s="164">
        <f>+N191*(1+Supuestos!F5)</f>
        <v>47.760982924027836</v>
      </c>
      <c r="P191" s="164">
        <f>+O191*(1+Supuestos!G5)</f>
        <v>49.222469001503086</v>
      </c>
      <c r="Q191" s="164">
        <f>+P191*(1+Supuestos!H5)</f>
        <v>50.768054528150287</v>
      </c>
      <c r="R191" s="164">
        <f>+Q191*(1+Supuestos!I5)</f>
        <v>52.341864218522943</v>
      </c>
      <c r="S191" s="164">
        <f>+R191*(1+Supuestos!J5)</f>
        <v>53.943525263609743</v>
      </c>
      <c r="T191" s="164">
        <f>+S191*(1+Supuestos!K5)</f>
        <v>55.5941971366762</v>
      </c>
      <c r="U191" s="164">
        <f>+T191*(1+Supuestos!L5)</f>
        <v>57.29537956905849</v>
      </c>
      <c r="V191" s="331"/>
      <c r="W191" s="325">
        <f t="shared" si="97"/>
        <v>1.5119358108435468</v>
      </c>
      <c r="X191" s="325">
        <f t="shared" si="79"/>
        <v>3.5600000000000076E-2</v>
      </c>
      <c r="Y191" s="325">
        <f t="shared" si="80"/>
        <v>3.0599999999999961E-2</v>
      </c>
      <c r="Z191" s="325">
        <f t="shared" si="81"/>
        <v>3.1400000000000095E-2</v>
      </c>
      <c r="AA191" s="325">
        <f t="shared" si="82"/>
        <v>3.0999999999999917E-2</v>
      </c>
      <c r="AB191" s="325">
        <f t="shared" si="83"/>
        <v>3.0599999999999961E-2</v>
      </c>
      <c r="AC191" s="325">
        <f t="shared" si="84"/>
        <v>3.0599999999999961E-2</v>
      </c>
      <c r="AD191" s="325">
        <f t="shared" si="84"/>
        <v>3.0599999999999961E-2</v>
      </c>
      <c r="AF191" s="329">
        <f t="shared" si="88"/>
        <v>2.6976238241001329E-3</v>
      </c>
      <c r="AG191" s="329">
        <f t="shared" si="89"/>
        <v>2.6976238241001329E-3</v>
      </c>
      <c r="AH191" s="329">
        <f t="shared" si="90"/>
        <v>2.6976238241001329E-3</v>
      </c>
      <c r="AI191" s="329">
        <f t="shared" si="91"/>
        <v>2.6976238241001324E-3</v>
      </c>
      <c r="AJ191" s="329">
        <f t="shared" si="92"/>
        <v>2.6976238241001324E-3</v>
      </c>
      <c r="AK191" s="329">
        <f t="shared" si="93"/>
        <v>2.6976238241001329E-3</v>
      </c>
      <c r="AL191" s="329">
        <f t="shared" si="94"/>
        <v>2.6976238241001329E-3</v>
      </c>
      <c r="AM191" s="329">
        <f t="shared" si="95"/>
        <v>2.6976238241001329E-3</v>
      </c>
      <c r="AN191" s="329"/>
      <c r="AO191" s="345" t="s">
        <v>445</v>
      </c>
      <c r="AP191" s="342">
        <v>1.5119358108435468</v>
      </c>
      <c r="AQ191" s="342">
        <v>3.5600000000000076E-2</v>
      </c>
      <c r="AR191" s="342">
        <v>3.0599999999999961E-2</v>
      </c>
      <c r="AS191" s="342">
        <v>3.1400000000000095E-2</v>
      </c>
      <c r="AT191" s="342">
        <v>3.0999999999999917E-2</v>
      </c>
      <c r="AU191" s="342">
        <v>3.0599999999999961E-2</v>
      </c>
      <c r="AV191" s="342">
        <v>3.0599999999999961E-2</v>
      </c>
      <c r="AW191" s="342">
        <v>3.0599999999999961E-2</v>
      </c>
      <c r="AX191" s="346">
        <f t="shared" si="98"/>
        <v>0.21654197635544334</v>
      </c>
    </row>
    <row r="192" spans="2:50" x14ac:dyDescent="0.25">
      <c r="B192" s="7" t="s">
        <v>81</v>
      </c>
      <c r="C192" s="15">
        <v>515500</v>
      </c>
      <c r="D192" s="42">
        <v>124.63</v>
      </c>
      <c r="E192" s="42">
        <v>220.31</v>
      </c>
      <c r="F192" s="42">
        <v>184.86</v>
      </c>
      <c r="G192" s="42">
        <v>166.61500000000001</v>
      </c>
      <c r="H192" s="42">
        <v>183.89</v>
      </c>
      <c r="I192" s="42">
        <v>276.39</v>
      </c>
      <c r="J192" s="42">
        <v>214.31</v>
      </c>
      <c r="K192" s="42">
        <v>154.82</v>
      </c>
      <c r="L192" s="42">
        <v>47.74</v>
      </c>
      <c r="M192" s="42">
        <v>52.69</v>
      </c>
      <c r="N192" s="235">
        <f t="shared" ref="N192:U192" si="104">M192*N$176/M$176</f>
        <v>56.306419778761473</v>
      </c>
      <c r="O192" s="235">
        <f t="shared" si="104"/>
        <v>58.289362117009283</v>
      </c>
      <c r="P192" s="235">
        <f t="shared" si="104"/>
        <v>62.550014748021013</v>
      </c>
      <c r="Q192" s="235">
        <f t="shared" si="104"/>
        <v>62.050220569896076</v>
      </c>
      <c r="R192" s="235">
        <f t="shared" si="104"/>
        <v>63.974793774444635</v>
      </c>
      <c r="S192" s="235">
        <f t="shared" si="104"/>
        <v>65.933470744744511</v>
      </c>
      <c r="T192" s="235">
        <f t="shared" si="104"/>
        <v>67.951034949533692</v>
      </c>
      <c r="U192" s="235">
        <f t="shared" si="104"/>
        <v>70.030336618989423</v>
      </c>
      <c r="V192" s="337"/>
      <c r="W192" s="325">
        <f t="shared" si="97"/>
        <v>6.8635790069490943E-2</v>
      </c>
      <c r="X192" s="325">
        <f t="shared" si="79"/>
        <v>3.5216984955519504E-2</v>
      </c>
      <c r="Y192" s="325">
        <f t="shared" si="80"/>
        <v>7.3094857728224216E-2</v>
      </c>
      <c r="Z192" s="325">
        <f t="shared" si="81"/>
        <v>-7.9903127143666763E-3</v>
      </c>
      <c r="AA192" s="325">
        <f t="shared" si="82"/>
        <v>3.1016379746477085E-2</v>
      </c>
      <c r="AB192" s="325">
        <f t="shared" si="83"/>
        <v>3.0616385841047977E-2</v>
      </c>
      <c r="AC192" s="325">
        <f t="shared" si="84"/>
        <v>3.0599999999999961E-2</v>
      </c>
      <c r="AD192" s="325">
        <f t="shared" si="84"/>
        <v>3.0599999999999961E-2</v>
      </c>
      <c r="AF192" s="329">
        <f t="shared" si="88"/>
        <v>3.2935031864697044E-3</v>
      </c>
      <c r="AG192" s="329">
        <f t="shared" si="89"/>
        <v>3.2922850894540009E-3</v>
      </c>
      <c r="AH192" s="329">
        <f t="shared" si="90"/>
        <v>3.4280362892183144E-3</v>
      </c>
      <c r="AI192" s="329">
        <f t="shared" si="91"/>
        <v>3.2971157720295347E-3</v>
      </c>
      <c r="AJ192" s="329">
        <f t="shared" si="92"/>
        <v>3.2971681541056276E-3</v>
      </c>
      <c r="AK192" s="329">
        <f t="shared" si="93"/>
        <v>3.2972205768431418E-3</v>
      </c>
      <c r="AL192" s="329">
        <f t="shared" si="94"/>
        <v>3.2972205768431418E-3</v>
      </c>
      <c r="AM192" s="329">
        <f t="shared" si="95"/>
        <v>3.2972205768431418E-3</v>
      </c>
      <c r="AN192" s="329"/>
      <c r="AO192" s="345" t="s">
        <v>400</v>
      </c>
      <c r="AP192" s="342">
        <v>6.8635790069490943E-2</v>
      </c>
      <c r="AQ192" s="342">
        <v>3.5216984955519504E-2</v>
      </c>
      <c r="AR192" s="342">
        <v>7.3094857728224216E-2</v>
      </c>
      <c r="AS192" s="342">
        <v>-7.9903127143666763E-3</v>
      </c>
      <c r="AT192" s="342">
        <v>3.1016379746477085E-2</v>
      </c>
      <c r="AU192" s="342">
        <v>3.0616385841047977E-2</v>
      </c>
      <c r="AV192" s="342">
        <v>3.0599999999999961E-2</v>
      </c>
      <c r="AW192" s="342">
        <v>3.0599999999999961E-2</v>
      </c>
      <c r="AX192" s="346">
        <f t="shared" si="98"/>
        <v>3.6473760703299121E-2</v>
      </c>
    </row>
    <row r="193" spans="2:50" x14ac:dyDescent="0.25">
      <c r="B193" s="7" t="s">
        <v>152</v>
      </c>
      <c r="C193" s="15">
        <v>516000</v>
      </c>
      <c r="D193" s="42">
        <v>466.66</v>
      </c>
      <c r="E193" s="42">
        <v>471.74</v>
      </c>
      <c r="F193" s="42">
        <v>482.85</v>
      </c>
      <c r="G193" s="42">
        <v>546.19500000000005</v>
      </c>
      <c r="H193" s="42">
        <v>607.91999999999996</v>
      </c>
      <c r="I193" s="42">
        <v>407.59</v>
      </c>
      <c r="J193" s="42">
        <v>600.4</v>
      </c>
      <c r="K193" s="42">
        <v>531.76</v>
      </c>
      <c r="L193" s="42">
        <v>448.97</v>
      </c>
      <c r="M193" s="42">
        <v>430.83</v>
      </c>
      <c r="N193" s="235">
        <f>+M193*(1+Supuestos!E5)+Capex!E38/Capex!$B$20</f>
        <v>444.13158000000004</v>
      </c>
      <c r="O193" s="235">
        <f>+N193*(1+Supuestos!F5)</f>
        <v>459.94266424800009</v>
      </c>
      <c r="P193" s="235">
        <f>+O193*(1+Supuestos!G5)</f>
        <v>474.01690977398886</v>
      </c>
      <c r="Q193" s="235">
        <f>+P193*(1+Supuestos!H5)</f>
        <v>488.90104074089214</v>
      </c>
      <c r="R193" s="235">
        <f>+Q193*(1+Supuestos!I5)</f>
        <v>504.05697300385975</v>
      </c>
      <c r="S193" s="235">
        <f>+R193*(1+Supuestos!J5)</f>
        <v>519.48111637777788</v>
      </c>
      <c r="T193" s="235">
        <f>+S193*(1+Supuestos!K5)</f>
        <v>535.37723853893783</v>
      </c>
      <c r="U193" s="235">
        <f>+T193*(1+Supuestos!L5)</f>
        <v>551.75978203822933</v>
      </c>
      <c r="V193" s="337"/>
      <c r="W193" s="325">
        <f>+N193/M193-1</f>
        <v>3.0874312373790236E-2</v>
      </c>
      <c r="X193" s="325">
        <f t="shared" si="79"/>
        <v>3.5600000000000076E-2</v>
      </c>
      <c r="Y193" s="325">
        <f t="shared" si="80"/>
        <v>3.0599999999999961E-2</v>
      </c>
      <c r="Z193" s="325">
        <f t="shared" si="81"/>
        <v>3.1400000000000095E-2</v>
      </c>
      <c r="AA193" s="325">
        <f t="shared" si="82"/>
        <v>3.0999999999999917E-2</v>
      </c>
      <c r="AB193" s="325">
        <f t="shared" si="83"/>
        <v>3.0599999999999961E-2</v>
      </c>
      <c r="AC193" s="325">
        <f t="shared" si="84"/>
        <v>3.0599999999999961E-2</v>
      </c>
      <c r="AD193" s="325">
        <f t="shared" si="84"/>
        <v>3.0599999999999961E-2</v>
      </c>
      <c r="AF193" s="329">
        <f t="shared" si="88"/>
        <v>2.5978365871764535E-2</v>
      </c>
      <c r="AG193" s="329">
        <f t="shared" si="89"/>
        <v>2.5978365871764535E-2</v>
      </c>
      <c r="AH193" s="329">
        <f t="shared" si="90"/>
        <v>2.5978365871764532E-2</v>
      </c>
      <c r="AI193" s="329">
        <f t="shared" si="91"/>
        <v>2.5978365871764528E-2</v>
      </c>
      <c r="AJ193" s="329">
        <f t="shared" si="92"/>
        <v>2.5978365871764532E-2</v>
      </c>
      <c r="AK193" s="329">
        <f t="shared" si="93"/>
        <v>2.5978365871764535E-2</v>
      </c>
      <c r="AL193" s="329">
        <f t="shared" si="94"/>
        <v>2.5978365871764532E-2</v>
      </c>
      <c r="AM193" s="329">
        <f t="shared" si="95"/>
        <v>2.5978365871764532E-2</v>
      </c>
      <c r="AN193" s="329"/>
      <c r="AO193" s="7" t="s">
        <v>152</v>
      </c>
      <c r="AP193" s="342">
        <v>3.0874312373790236E-2</v>
      </c>
      <c r="AQ193" s="342">
        <v>3.5600000000000076E-2</v>
      </c>
      <c r="AR193" s="342">
        <v>3.0599999999999961E-2</v>
      </c>
      <c r="AS193" s="342">
        <v>3.1400000000000095E-2</v>
      </c>
      <c r="AT193" s="342">
        <v>3.0999999999999917E-2</v>
      </c>
      <c r="AU193" s="342">
        <v>3.0599999999999961E-2</v>
      </c>
      <c r="AV193" s="342">
        <v>3.0599999999999961E-2</v>
      </c>
      <c r="AW193" s="342">
        <v>3.0599999999999961E-2</v>
      </c>
      <c r="AX193" s="346">
        <f t="shared" si="98"/>
        <v>3.1409289046723771E-2</v>
      </c>
    </row>
    <row r="194" spans="2:50" x14ac:dyDescent="0.25">
      <c r="B194" s="7" t="s">
        <v>153</v>
      </c>
      <c r="C194" s="15">
        <v>516500</v>
      </c>
      <c r="D194" s="42">
        <v>153.5</v>
      </c>
      <c r="E194" s="42">
        <v>144.59</v>
      </c>
      <c r="F194" s="42">
        <v>71.239999999999995</v>
      </c>
      <c r="G194" s="42">
        <v>106.175</v>
      </c>
      <c r="H194" s="42">
        <v>564.19000000000005</v>
      </c>
      <c r="I194" s="42">
        <v>621.17999999999995</v>
      </c>
      <c r="J194" s="42">
        <v>1446.0300000000036</v>
      </c>
      <c r="K194" s="42">
        <v>1319.0399999999986</v>
      </c>
      <c r="L194" s="42">
        <v>2048.0500000000002</v>
      </c>
      <c r="M194" s="42">
        <v>680.29</v>
      </c>
      <c r="N194" s="235">
        <f>+M194*(1+Supuestos!E5)+Capex!E41/Capex!$B$20</f>
        <v>717.97753999999998</v>
      </c>
      <c r="O194" s="235">
        <f>+N194*(1+Supuestos!F5)</f>
        <v>743.53754042399999</v>
      </c>
      <c r="P194" s="235">
        <f>+O194*(1+Supuestos!G5)</f>
        <v>766.28978916097435</v>
      </c>
      <c r="Q194" s="235">
        <f>+P194*(1+Supuestos!H5)</f>
        <v>790.35128854062907</v>
      </c>
      <c r="R194" s="235">
        <f>+Q194*(1+Supuestos!I5)</f>
        <v>814.85217848538855</v>
      </c>
      <c r="S194" s="235">
        <f>+R194*(1+Supuestos!J5)</f>
        <v>839.78665514704142</v>
      </c>
      <c r="T194" s="235">
        <f>+S194*(1+Supuestos!K5)</f>
        <v>865.48412679454088</v>
      </c>
      <c r="U194" s="235">
        <f>+T194*(1+Supuestos!L5)</f>
        <v>891.96794107445385</v>
      </c>
      <c r="V194" s="337"/>
      <c r="W194" s="325">
        <f t="shared" si="97"/>
        <v>5.5399226800335155E-2</v>
      </c>
      <c r="X194" s="325">
        <f t="shared" si="79"/>
        <v>3.5600000000000076E-2</v>
      </c>
      <c r="Y194" s="325">
        <f t="shared" si="80"/>
        <v>3.0599999999999961E-2</v>
      </c>
      <c r="Z194" s="325">
        <f t="shared" si="81"/>
        <v>3.1400000000000095E-2</v>
      </c>
      <c r="AA194" s="325">
        <f t="shared" si="82"/>
        <v>3.0999999999999917E-2</v>
      </c>
      <c r="AB194" s="325">
        <f t="shared" si="83"/>
        <v>3.0599999999999961E-2</v>
      </c>
      <c r="AC194" s="325">
        <f t="shared" si="84"/>
        <v>3.0599999999999961E-2</v>
      </c>
      <c r="AD194" s="325">
        <f t="shared" si="84"/>
        <v>3.0599999999999961E-2</v>
      </c>
      <c r="AF194" s="329">
        <f t="shared" si="88"/>
        <v>4.1996300334755418E-2</v>
      </c>
      <c r="AG194" s="329">
        <f t="shared" si="89"/>
        <v>4.1996300334755418E-2</v>
      </c>
      <c r="AH194" s="329">
        <f t="shared" si="90"/>
        <v>4.1996300334755411E-2</v>
      </c>
      <c r="AI194" s="329">
        <f t="shared" si="91"/>
        <v>4.1996300334755411E-2</v>
      </c>
      <c r="AJ194" s="329">
        <f t="shared" si="92"/>
        <v>4.1996300334755418E-2</v>
      </c>
      <c r="AK194" s="329">
        <f t="shared" si="93"/>
        <v>4.1996300334755418E-2</v>
      </c>
      <c r="AL194" s="329">
        <f t="shared" si="94"/>
        <v>4.1996300334755418E-2</v>
      </c>
      <c r="AM194" s="329">
        <f t="shared" si="95"/>
        <v>4.1996300334755425E-2</v>
      </c>
      <c r="AN194" s="329"/>
      <c r="AO194" s="7" t="s">
        <v>153</v>
      </c>
      <c r="AP194" s="342">
        <v>5.5399226800335155E-2</v>
      </c>
      <c r="AQ194" s="342">
        <v>3.5600000000000076E-2</v>
      </c>
      <c r="AR194" s="342">
        <v>3.0599999999999961E-2</v>
      </c>
      <c r="AS194" s="342">
        <v>3.1400000000000095E-2</v>
      </c>
      <c r="AT194" s="342">
        <v>3.0999999999999917E-2</v>
      </c>
      <c r="AU194" s="342">
        <v>3.0599999999999961E-2</v>
      </c>
      <c r="AV194" s="342">
        <v>3.0599999999999961E-2</v>
      </c>
      <c r="AW194" s="342">
        <v>3.0599999999999961E-2</v>
      </c>
      <c r="AX194" s="346">
        <f t="shared" si="98"/>
        <v>3.4474903350041886E-2</v>
      </c>
    </row>
    <row r="195" spans="2:50" x14ac:dyDescent="0.25">
      <c r="B195" s="7" t="s">
        <v>47</v>
      </c>
      <c r="C195" s="15">
        <v>519500</v>
      </c>
      <c r="D195" s="42">
        <v>163.55000000000001</v>
      </c>
      <c r="E195" s="42">
        <v>167.66</v>
      </c>
      <c r="F195" s="42">
        <v>165.96</v>
      </c>
      <c r="G195" s="42">
        <v>149.065</v>
      </c>
      <c r="H195" s="42">
        <v>271.11</v>
      </c>
      <c r="I195" s="42">
        <v>3166.22</v>
      </c>
      <c r="J195" s="42">
        <v>2630.18</v>
      </c>
      <c r="K195" s="42">
        <v>2479.92</v>
      </c>
      <c r="L195" s="42">
        <v>2874.7699999999986</v>
      </c>
      <c r="M195" s="42">
        <v>3022.9299999999994</v>
      </c>
      <c r="N195" s="164">
        <f>+AVERAGE(K195:M195)*(1+EEFFHist!AL202)</f>
        <v>2935.5438436124768</v>
      </c>
      <c r="O195" s="164">
        <f>+N195*(1+Supuestos!F5)</f>
        <v>3040.0492044450812</v>
      </c>
      <c r="P195" s="164">
        <f>+O195*(1+Supuestos!G5)</f>
        <v>3133.0747101011007</v>
      </c>
      <c r="Q195" s="164">
        <f>+P195*(1+Supuestos!H5)</f>
        <v>3231.4532559982754</v>
      </c>
      <c r="R195" s="164">
        <f>+Q195*(1+Supuestos!I5)</f>
        <v>3331.6283069342217</v>
      </c>
      <c r="S195" s="164">
        <f>+R195*(1+Supuestos!J5)</f>
        <v>3433.5761331264089</v>
      </c>
      <c r="T195" s="164">
        <f>+S195*(1+Supuestos!K5)</f>
        <v>3538.6435628000768</v>
      </c>
      <c r="U195" s="164">
        <f>+T195*(1+Supuestos!L5)</f>
        <v>3646.9260558217588</v>
      </c>
      <c r="V195" s="331"/>
      <c r="W195" s="325">
        <f t="shared" si="97"/>
        <v>-2.8907767096003734E-2</v>
      </c>
      <c r="X195" s="325">
        <f t="shared" si="79"/>
        <v>3.5600000000000076E-2</v>
      </c>
      <c r="Y195" s="325">
        <f t="shared" si="80"/>
        <v>3.0599999999999961E-2</v>
      </c>
      <c r="Z195" s="325">
        <f t="shared" si="81"/>
        <v>3.1400000000000095E-2</v>
      </c>
      <c r="AA195" s="325">
        <f t="shared" si="82"/>
        <v>3.0999999999999917E-2</v>
      </c>
      <c r="AB195" s="325">
        <f t="shared" si="83"/>
        <v>3.0599999999999961E-2</v>
      </c>
      <c r="AC195" s="325">
        <f t="shared" si="84"/>
        <v>3.0599999999999961E-2</v>
      </c>
      <c r="AD195" s="325">
        <f t="shared" si="84"/>
        <v>3.0599999999999961E-2</v>
      </c>
      <c r="AF195" s="329">
        <f t="shared" si="88"/>
        <v>0.17170729449585831</v>
      </c>
      <c r="AG195" s="329">
        <f t="shared" si="89"/>
        <v>0.17170729449585828</v>
      </c>
      <c r="AH195" s="329">
        <f t="shared" si="90"/>
        <v>0.17170729449585828</v>
      </c>
      <c r="AI195" s="329">
        <f t="shared" si="91"/>
        <v>0.17170729449585825</v>
      </c>
      <c r="AJ195" s="329">
        <f t="shared" si="92"/>
        <v>0.17170729449585828</v>
      </c>
      <c r="AK195" s="329">
        <f t="shared" si="93"/>
        <v>0.17170729449585828</v>
      </c>
      <c r="AL195" s="329">
        <f t="shared" si="94"/>
        <v>0.17170729449585828</v>
      </c>
      <c r="AM195" s="329">
        <f t="shared" si="95"/>
        <v>0.17170729449585828</v>
      </c>
      <c r="AN195" s="329"/>
      <c r="AO195" s="7" t="s">
        <v>47</v>
      </c>
      <c r="AP195" s="342">
        <v>-2.8907767096003734E-2</v>
      </c>
      <c r="AQ195" s="342">
        <v>3.5600000000000076E-2</v>
      </c>
      <c r="AR195" s="342">
        <v>3.0599999999999961E-2</v>
      </c>
      <c r="AS195" s="342">
        <v>3.1400000000000095E-2</v>
      </c>
      <c r="AT195" s="342">
        <v>3.0999999999999917E-2</v>
      </c>
      <c r="AU195" s="342">
        <v>3.0599999999999961E-2</v>
      </c>
      <c r="AV195" s="342">
        <v>3.0599999999999961E-2</v>
      </c>
      <c r="AW195" s="342">
        <v>3.0599999999999961E-2</v>
      </c>
      <c r="AX195" s="346">
        <f t="shared" si="98"/>
        <v>2.3936529112999524E-2</v>
      </c>
    </row>
    <row r="196" spans="2:50" x14ac:dyDescent="0.25">
      <c r="B196" s="7" t="s">
        <v>154</v>
      </c>
      <c r="C196" s="15">
        <v>519900</v>
      </c>
      <c r="D196" s="42">
        <v>0</v>
      </c>
      <c r="E196" s="42">
        <v>279.77999999999997</v>
      </c>
      <c r="F196" s="42">
        <v>288.08</v>
      </c>
      <c r="G196" s="42">
        <v>1671.2850000000001</v>
      </c>
      <c r="H196" s="42">
        <v>245.71</v>
      </c>
      <c r="I196" s="42">
        <v>1246.3</v>
      </c>
      <c r="J196" s="42">
        <v>1.62</v>
      </c>
      <c r="K196" s="42">
        <v>33.67</v>
      </c>
      <c r="L196" s="42">
        <v>473.26</v>
      </c>
      <c r="M196" s="42">
        <v>598.75</v>
      </c>
      <c r="N196" s="19">
        <v>718.36</v>
      </c>
      <c r="O196" s="164">
        <f>+N196*(1+Supuestos!F5)</f>
        <v>743.93361600000003</v>
      </c>
      <c r="P196" s="164">
        <f>+O196*(1+Supuestos!G5)</f>
        <v>766.69798464960002</v>
      </c>
      <c r="Q196" s="164">
        <f>+P196*(1+Supuestos!H5)</f>
        <v>790.77230136759749</v>
      </c>
      <c r="R196" s="164">
        <f>+Q196*(1+Supuestos!I5)</f>
        <v>815.28624270999296</v>
      </c>
      <c r="S196" s="164">
        <f>+R196*(1+Supuestos!J5)</f>
        <v>840.23400173691869</v>
      </c>
      <c r="T196" s="164">
        <f>+S196*(1+Supuestos!K5)</f>
        <v>865.94516219006834</v>
      </c>
      <c r="U196" s="164">
        <f>+T196*(1+Supuestos!L5)</f>
        <v>892.44308415308444</v>
      </c>
      <c r="V196" s="331"/>
      <c r="W196" s="325">
        <f t="shared" si="97"/>
        <v>0.19976617954070974</v>
      </c>
      <c r="X196" s="325">
        <f t="shared" si="79"/>
        <v>3.5600000000000076E-2</v>
      </c>
      <c r="Y196" s="325">
        <f t="shared" si="80"/>
        <v>3.0599999999999961E-2</v>
      </c>
      <c r="Z196" s="325">
        <f t="shared" si="81"/>
        <v>3.1400000000000095E-2</v>
      </c>
      <c r="AA196" s="325">
        <f t="shared" si="82"/>
        <v>3.0999999999999917E-2</v>
      </c>
      <c r="AB196" s="325">
        <f t="shared" si="83"/>
        <v>3.0599999999999961E-2</v>
      </c>
      <c r="AC196" s="325">
        <f t="shared" si="84"/>
        <v>3.0599999999999961E-2</v>
      </c>
      <c r="AD196" s="325">
        <f t="shared" si="84"/>
        <v>3.0599999999999961E-2</v>
      </c>
      <c r="AF196" s="329">
        <f t="shared" si="88"/>
        <v>4.2018671375813381E-2</v>
      </c>
      <c r="AG196" s="329">
        <f t="shared" si="89"/>
        <v>4.2018671375813374E-2</v>
      </c>
      <c r="AH196" s="329">
        <f t="shared" si="90"/>
        <v>4.2018671375813374E-2</v>
      </c>
      <c r="AI196" s="329">
        <f t="shared" si="91"/>
        <v>4.2018671375813367E-2</v>
      </c>
      <c r="AJ196" s="329">
        <f t="shared" si="92"/>
        <v>4.2018671375813374E-2</v>
      </c>
      <c r="AK196" s="329">
        <f t="shared" si="93"/>
        <v>4.2018671375813374E-2</v>
      </c>
      <c r="AL196" s="329">
        <f t="shared" si="94"/>
        <v>4.2018671375813367E-2</v>
      </c>
      <c r="AM196" s="329">
        <f t="shared" si="95"/>
        <v>4.2018671375813374E-2</v>
      </c>
      <c r="AN196" s="329"/>
      <c r="AO196" s="7" t="s">
        <v>154</v>
      </c>
      <c r="AP196" s="342">
        <v>0.19976617954070974</v>
      </c>
      <c r="AQ196" s="342">
        <v>3.5600000000000076E-2</v>
      </c>
      <c r="AR196" s="342">
        <v>3.0599999999999961E-2</v>
      </c>
      <c r="AS196" s="342">
        <v>3.1400000000000095E-2</v>
      </c>
      <c r="AT196" s="342">
        <v>3.0999999999999917E-2</v>
      </c>
      <c r="AU196" s="342">
        <v>3.0599999999999961E-2</v>
      </c>
      <c r="AV196" s="342">
        <v>3.0599999999999961E-2</v>
      </c>
      <c r="AW196" s="342">
        <v>3.0599999999999961E-2</v>
      </c>
      <c r="AX196" s="346">
        <f t="shared" si="98"/>
        <v>5.2520772442588709E-2</v>
      </c>
    </row>
    <row r="197" spans="2:50" s="34" customFormat="1" x14ac:dyDescent="0.25">
      <c r="B197" s="6" t="s">
        <v>133</v>
      </c>
      <c r="C197" s="230">
        <v>530000</v>
      </c>
      <c r="D197" s="48">
        <f>+SUM(D198:D207)</f>
        <v>83.630000000000095</v>
      </c>
      <c r="E197" s="48">
        <f t="shared" ref="E197:M197" si="105">+SUM(E198:E207)</f>
        <v>244.59</v>
      </c>
      <c r="F197" s="48">
        <f t="shared" si="105"/>
        <v>1996.4</v>
      </c>
      <c r="G197" s="48">
        <f t="shared" si="105"/>
        <v>1832.6599999999999</v>
      </c>
      <c r="H197" s="48">
        <f t="shared" si="105"/>
        <v>105.35000000000001</v>
      </c>
      <c r="I197" s="48">
        <f t="shared" si="105"/>
        <v>130.41999999999791</v>
      </c>
      <c r="J197" s="48">
        <f t="shared" si="105"/>
        <v>1516.53</v>
      </c>
      <c r="K197" s="48">
        <f t="shared" si="105"/>
        <v>4582.5999999999995</v>
      </c>
      <c r="L197" s="48">
        <f t="shared" si="105"/>
        <v>14226.95</v>
      </c>
      <c r="M197" s="48">
        <f t="shared" si="105"/>
        <v>943.87</v>
      </c>
      <c r="N197" s="48">
        <f>+M197*(1+Supuestos!E5)</f>
        <v>968.41061999999999</v>
      </c>
      <c r="O197" s="48">
        <f>+N197*(1+Supuestos!F5)</f>
        <v>1002.886038072</v>
      </c>
      <c r="P197" s="48">
        <f>+O197*(1+Supuestos!G5)</f>
        <v>1033.5743508370033</v>
      </c>
      <c r="Q197" s="48">
        <f>+P197*(1+Supuestos!H5)</f>
        <v>1066.0285854532854</v>
      </c>
      <c r="R197" s="48">
        <f>+Q197*(1+Supuestos!I5)</f>
        <v>1099.0754716023371</v>
      </c>
      <c r="S197" s="48">
        <f>+R197*(1+Supuestos!J5)</f>
        <v>1132.7071810333684</v>
      </c>
      <c r="T197" s="48">
        <f>+S197*(1+Supuestos!K5)</f>
        <v>1167.3680207729894</v>
      </c>
      <c r="U197" s="48">
        <f>+T197*(1+Supuestos!L5)</f>
        <v>1203.0894822086429</v>
      </c>
      <c r="V197" s="334"/>
      <c r="W197" s="324">
        <f t="shared" si="97"/>
        <v>2.6000000000000023E-2</v>
      </c>
      <c r="X197" s="324">
        <f t="shared" si="79"/>
        <v>3.5600000000000076E-2</v>
      </c>
      <c r="Y197" s="324">
        <f t="shared" si="80"/>
        <v>3.0600000000000183E-2</v>
      </c>
      <c r="Z197" s="324">
        <f t="shared" si="81"/>
        <v>3.1400000000000095E-2</v>
      </c>
      <c r="AA197" s="324">
        <f t="shared" si="82"/>
        <v>3.0999999999999917E-2</v>
      </c>
      <c r="AB197" s="324">
        <f t="shared" si="83"/>
        <v>3.0599999999999961E-2</v>
      </c>
      <c r="AC197" s="324">
        <f t="shared" si="84"/>
        <v>3.0599999999999961E-2</v>
      </c>
      <c r="AD197" s="324">
        <f t="shared" si="84"/>
        <v>3.0599999999999961E-2</v>
      </c>
      <c r="AF197" s="328">
        <f t="shared" ref="AF197:AM197" si="106">+N197/N$174</f>
        <v>4.6376508459561414E-2</v>
      </c>
      <c r="AG197" s="328">
        <f t="shared" si="106"/>
        <v>4.1101634108502524E-2</v>
      </c>
      <c r="AH197" s="328">
        <f t="shared" si="106"/>
        <v>3.7639303002144832E-2</v>
      </c>
      <c r="AI197" s="328">
        <f t="shared" si="106"/>
        <v>3.5132017408901234E-2</v>
      </c>
      <c r="AJ197" s="328">
        <f t="shared" si="106"/>
        <v>3.281862516089798E-2</v>
      </c>
      <c r="AK197" s="328">
        <f t="shared" si="106"/>
        <v>3.0689191878590559E-2</v>
      </c>
      <c r="AL197" s="328">
        <f t="shared" si="106"/>
        <v>2.8565547097388011E-2</v>
      </c>
      <c r="AM197" s="328">
        <f t="shared" si="106"/>
        <v>2.6774102930980009E-2</v>
      </c>
      <c r="AN197" s="328"/>
      <c r="AO197" s="6" t="s">
        <v>133</v>
      </c>
      <c r="AP197" s="341">
        <v>2.6000000000000023E-2</v>
      </c>
      <c r="AQ197" s="341">
        <v>3.5600000000000076E-2</v>
      </c>
      <c r="AR197" s="341">
        <v>3.0600000000000183E-2</v>
      </c>
      <c r="AS197" s="341">
        <v>3.1400000000000095E-2</v>
      </c>
      <c r="AT197" s="341">
        <v>3.0999999999999917E-2</v>
      </c>
      <c r="AU197" s="341">
        <v>3.0599999999999961E-2</v>
      </c>
      <c r="AV197" s="341">
        <v>3.0599999999999961E-2</v>
      </c>
      <c r="AW197" s="341">
        <v>3.0599999999999961E-2</v>
      </c>
      <c r="AX197" s="346">
        <f t="shared" si="98"/>
        <v>3.0800000000000022E-2</v>
      </c>
    </row>
    <row r="198" spans="2:50" x14ac:dyDescent="0.25">
      <c r="B198" s="7" t="s">
        <v>134</v>
      </c>
      <c r="C198" s="15">
        <v>530500</v>
      </c>
      <c r="D198" s="42">
        <v>71.459999999999994</v>
      </c>
      <c r="E198" s="42">
        <v>207.19</v>
      </c>
      <c r="F198" s="42">
        <v>148.19999999999999</v>
      </c>
      <c r="G198" s="42">
        <v>208</v>
      </c>
      <c r="H198" s="42">
        <v>85.91</v>
      </c>
      <c r="I198" s="42">
        <v>53.02</v>
      </c>
      <c r="J198" s="42">
        <v>67.099999999999994</v>
      </c>
      <c r="K198" s="42">
        <v>226.18</v>
      </c>
      <c r="L198" s="42">
        <v>63.61</v>
      </c>
      <c r="M198" s="42">
        <v>35.58</v>
      </c>
      <c r="N198" s="42">
        <f>+N$197*EEFFHist!$Y205</f>
        <v>29.544019927542845</v>
      </c>
      <c r="O198" s="42">
        <f>+O$197*EEFFHist!$Y205</f>
        <v>30.595787036963372</v>
      </c>
      <c r="P198" s="42">
        <f>+P$197*EEFFHist!$Y205</f>
        <v>31.532018120294453</v>
      </c>
      <c r="Q198" s="42">
        <f>+Q$197*EEFFHist!$Y205</f>
        <v>32.522123489271706</v>
      </c>
      <c r="R198" s="42">
        <f>+R$197*EEFFHist!$Y205</f>
        <v>33.530309317439126</v>
      </c>
      <c r="S198" s="42">
        <f>+S$197*EEFFHist!$Y205</f>
        <v>34.556336782552755</v>
      </c>
      <c r="T198" s="42">
        <f>+T$197*EEFFHist!$Y205</f>
        <v>35.613760688098871</v>
      </c>
      <c r="U198" s="42">
        <f>+U$197*EEFFHist!$Y205</f>
        <v>36.703541765154696</v>
      </c>
      <c r="V198" s="45"/>
      <c r="W198" s="325">
        <f t="shared" si="97"/>
        <v>-0.16964530838834047</v>
      </c>
      <c r="X198" s="325">
        <f t="shared" si="79"/>
        <v>3.5600000000000076E-2</v>
      </c>
      <c r="Y198" s="325">
        <f t="shared" si="80"/>
        <v>3.0599999999999961E-2</v>
      </c>
      <c r="Z198" s="325">
        <f t="shared" si="81"/>
        <v>3.1400000000000317E-2</v>
      </c>
      <c r="AA198" s="325">
        <f t="shared" si="82"/>
        <v>3.0999999999999917E-2</v>
      </c>
      <c r="AB198" s="325">
        <f t="shared" si="83"/>
        <v>3.0599999999999739E-2</v>
      </c>
      <c r="AC198" s="325">
        <f t="shared" si="84"/>
        <v>3.0599999999999961E-2</v>
      </c>
      <c r="AD198" s="325">
        <f t="shared" si="84"/>
        <v>3.0599999999999961E-2</v>
      </c>
      <c r="AF198" s="329">
        <f t="shared" ref="AF198:AF207" si="107">+N198/N$197</f>
        <v>3.0507740536284956E-2</v>
      </c>
      <c r="AG198" s="329">
        <f t="shared" ref="AG198:AG207" si="108">+O198/O$197</f>
        <v>3.0507740536284956E-2</v>
      </c>
      <c r="AH198" s="329">
        <f t="shared" ref="AH198:AH207" si="109">+P198/P$197</f>
        <v>3.0507740536284956E-2</v>
      </c>
      <c r="AI198" s="329">
        <f t="shared" ref="AI198:AI207" si="110">+Q198/Q$197</f>
        <v>3.0507740536284956E-2</v>
      </c>
      <c r="AJ198" s="329">
        <f t="shared" ref="AJ198:AJ207" si="111">+R198/R$197</f>
        <v>3.0507740536284959E-2</v>
      </c>
      <c r="AK198" s="329">
        <f t="shared" ref="AK198:AK207" si="112">+S198/S$197</f>
        <v>3.0507740536284956E-2</v>
      </c>
      <c r="AL198" s="329">
        <f t="shared" ref="AL198:AL207" si="113">+T198/T$197</f>
        <v>3.0507740536284959E-2</v>
      </c>
      <c r="AM198" s="329">
        <f t="shared" ref="AM198:AM207" si="114">+U198/U$197</f>
        <v>3.0507740536284956E-2</v>
      </c>
      <c r="AN198" s="329"/>
      <c r="AO198" s="7" t="s">
        <v>134</v>
      </c>
      <c r="AP198" s="342">
        <v>-0.16964530838834047</v>
      </c>
      <c r="AQ198" s="342">
        <v>3.5600000000000076E-2</v>
      </c>
      <c r="AR198" s="342">
        <v>3.0599999999999961E-2</v>
      </c>
      <c r="AS198" s="342">
        <v>3.1400000000000317E-2</v>
      </c>
      <c r="AT198" s="342">
        <v>3.0999999999999917E-2</v>
      </c>
      <c r="AU198" s="342">
        <v>3.0599999999999739E-2</v>
      </c>
      <c r="AV198" s="342">
        <v>3.0599999999999961E-2</v>
      </c>
      <c r="AW198" s="342">
        <v>3.0599999999999961E-2</v>
      </c>
      <c r="AX198" s="346">
        <f t="shared" si="98"/>
        <v>6.344336451457433E-3</v>
      </c>
    </row>
    <row r="199" spans="2:50" x14ac:dyDescent="0.25">
      <c r="B199" s="7" t="s">
        <v>155</v>
      </c>
      <c r="C199" s="15">
        <v>531000</v>
      </c>
      <c r="D199" s="42">
        <v>0</v>
      </c>
      <c r="E199" s="42">
        <v>0</v>
      </c>
      <c r="F199" s="42">
        <v>34.71</v>
      </c>
      <c r="G199" s="42">
        <v>16.96</v>
      </c>
      <c r="H199" s="42">
        <v>10</v>
      </c>
      <c r="I199" s="42">
        <v>20</v>
      </c>
      <c r="J199" s="42">
        <v>6.92</v>
      </c>
      <c r="K199" s="42">
        <v>3.16</v>
      </c>
      <c r="L199" s="42">
        <v>50.37</v>
      </c>
      <c r="M199" s="42">
        <v>5.49</v>
      </c>
      <c r="N199" s="42">
        <f>+N$197*EEFFHist!$Y206</f>
        <v>3.2430481977475445</v>
      </c>
      <c r="O199" s="42">
        <f>+O$197*EEFFHist!$Y206</f>
        <v>3.3585007135873575</v>
      </c>
      <c r="P199" s="42">
        <f>+P$197*EEFFHist!$Y206</f>
        <v>3.4612708354231305</v>
      </c>
      <c r="Q199" s="42">
        <f>+Q$197*EEFFHist!$Y206</f>
        <v>3.5699547396554174</v>
      </c>
      <c r="R199" s="42">
        <f>+R$197*EEFFHist!$Y206</f>
        <v>3.680623336584735</v>
      </c>
      <c r="S199" s="42">
        <f>+S$197*EEFFHist!$Y206</f>
        <v>3.7932504106842275</v>
      </c>
      <c r="T199" s="42">
        <f>+T$197*EEFFHist!$Y206</f>
        <v>3.9093238732511644</v>
      </c>
      <c r="U199" s="42">
        <f>+U$197*EEFFHist!$Y206</f>
        <v>4.0289491837726503</v>
      </c>
      <c r="V199" s="45"/>
      <c r="W199" s="325">
        <f t="shared" si="97"/>
        <v>-0.40928083829735074</v>
      </c>
      <c r="X199" s="325">
        <f t="shared" si="79"/>
        <v>3.5600000000000076E-2</v>
      </c>
      <c r="Y199" s="325">
        <f t="shared" si="80"/>
        <v>3.0599999999999961E-2</v>
      </c>
      <c r="Z199" s="325">
        <f t="shared" si="81"/>
        <v>3.1400000000000095E-2</v>
      </c>
      <c r="AA199" s="325">
        <f t="shared" si="82"/>
        <v>3.0999999999999917E-2</v>
      </c>
      <c r="AB199" s="325">
        <f t="shared" si="83"/>
        <v>3.0599999999999961E-2</v>
      </c>
      <c r="AC199" s="325">
        <f t="shared" si="84"/>
        <v>3.0599999999999961E-2</v>
      </c>
      <c r="AD199" s="325">
        <f t="shared" si="84"/>
        <v>3.0600000000000183E-2</v>
      </c>
      <c r="AF199" s="329">
        <f t="shared" si="107"/>
        <v>3.3488358458393865E-3</v>
      </c>
      <c r="AG199" s="329">
        <f t="shared" si="108"/>
        <v>3.3488358458393865E-3</v>
      </c>
      <c r="AH199" s="329">
        <f t="shared" si="109"/>
        <v>3.3488358458393865E-3</v>
      </c>
      <c r="AI199" s="329">
        <f t="shared" si="110"/>
        <v>3.3488358458393865E-3</v>
      </c>
      <c r="AJ199" s="329">
        <f t="shared" si="111"/>
        <v>3.3488358458393865E-3</v>
      </c>
      <c r="AK199" s="329">
        <f t="shared" si="112"/>
        <v>3.3488358458393865E-3</v>
      </c>
      <c r="AL199" s="329">
        <f t="shared" si="113"/>
        <v>3.3488358458393865E-3</v>
      </c>
      <c r="AM199" s="329">
        <f t="shared" si="114"/>
        <v>3.3488358458393865E-3</v>
      </c>
      <c r="AN199" s="329"/>
      <c r="AO199" s="7" t="s">
        <v>155</v>
      </c>
      <c r="AP199" s="342">
        <v>-0.40928083829735074</v>
      </c>
      <c r="AQ199" s="342">
        <v>3.5600000000000076E-2</v>
      </c>
      <c r="AR199" s="342">
        <v>3.0599999999999961E-2</v>
      </c>
      <c r="AS199" s="342">
        <v>3.1400000000000095E-2</v>
      </c>
      <c r="AT199" s="342">
        <v>3.0999999999999917E-2</v>
      </c>
      <c r="AU199" s="342">
        <v>3.0599999999999961E-2</v>
      </c>
      <c r="AV199" s="342">
        <v>3.0599999999999961E-2</v>
      </c>
      <c r="AW199" s="342">
        <v>3.0600000000000183E-2</v>
      </c>
      <c r="AX199" s="346">
        <f t="shared" si="98"/>
        <v>-2.3610104787168823E-2</v>
      </c>
    </row>
    <row r="200" spans="2:50" x14ac:dyDescent="0.25">
      <c r="B200" s="7" t="s">
        <v>156</v>
      </c>
      <c r="C200" s="15">
        <v>531300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3.51</v>
      </c>
      <c r="K200" s="42">
        <v>11.36</v>
      </c>
      <c r="L200" s="42">
        <v>57.34</v>
      </c>
      <c r="M200" s="42">
        <v>0</v>
      </c>
      <c r="N200" s="42">
        <f>+N$197*EEFFHist!$Y207</f>
        <v>2.101231877661156</v>
      </c>
      <c r="O200" s="42">
        <f>+O$197*EEFFHist!$Y207</f>
        <v>2.176035732505893</v>
      </c>
      <c r="P200" s="42">
        <f>+P$197*EEFFHist!$Y207</f>
        <v>2.2426224259205738</v>
      </c>
      <c r="Q200" s="42">
        <f>+Q$197*EEFFHist!$Y207</f>
        <v>2.3130407700944802</v>
      </c>
      <c r="R200" s="42">
        <f>+R$197*EEFFHist!$Y207</f>
        <v>2.3847450339674086</v>
      </c>
      <c r="S200" s="42">
        <f>+S$197*EEFFHist!$Y207</f>
        <v>2.4577182320068109</v>
      </c>
      <c r="T200" s="42">
        <f>+T$197*EEFFHist!$Y207</f>
        <v>2.5329244099062191</v>
      </c>
      <c r="U200" s="42">
        <f>+U$197*EEFFHist!$Y207</f>
        <v>2.6104318968493496</v>
      </c>
      <c r="V200" s="45"/>
      <c r="W200" s="325" t="e">
        <f t="shared" si="97"/>
        <v>#DIV/0!</v>
      </c>
      <c r="X200" s="325">
        <f t="shared" si="79"/>
        <v>3.5599999999999854E-2</v>
      </c>
      <c r="Y200" s="325">
        <f t="shared" si="80"/>
        <v>3.0600000000000183E-2</v>
      </c>
      <c r="Z200" s="325">
        <f t="shared" si="81"/>
        <v>3.1400000000000095E-2</v>
      </c>
      <c r="AA200" s="325">
        <f t="shared" si="82"/>
        <v>3.0999999999999694E-2</v>
      </c>
      <c r="AB200" s="325">
        <f t="shared" si="83"/>
        <v>3.0599999999999961E-2</v>
      </c>
      <c r="AC200" s="325">
        <f t="shared" si="84"/>
        <v>3.0599999999999961E-2</v>
      </c>
      <c r="AD200" s="325">
        <f t="shared" si="84"/>
        <v>3.0599999999999961E-2</v>
      </c>
      <c r="AF200" s="329">
        <f t="shared" si="107"/>
        <v>2.16977368304899E-3</v>
      </c>
      <c r="AG200" s="329">
        <f t="shared" si="108"/>
        <v>2.16977368304899E-3</v>
      </c>
      <c r="AH200" s="329">
        <f t="shared" si="109"/>
        <v>2.16977368304899E-3</v>
      </c>
      <c r="AI200" s="329">
        <f t="shared" si="110"/>
        <v>2.16977368304899E-3</v>
      </c>
      <c r="AJ200" s="329">
        <f t="shared" si="111"/>
        <v>2.16977368304899E-3</v>
      </c>
      <c r="AK200" s="329">
        <f t="shared" si="112"/>
        <v>2.16977368304899E-3</v>
      </c>
      <c r="AL200" s="329">
        <f t="shared" si="113"/>
        <v>2.16977368304899E-3</v>
      </c>
      <c r="AM200" s="329">
        <f t="shared" si="114"/>
        <v>2.16977368304899E-3</v>
      </c>
      <c r="AN200" s="329"/>
      <c r="AO200" s="7" t="s">
        <v>156</v>
      </c>
      <c r="AP200" s="342" t="e">
        <v>#DIV/0!</v>
      </c>
      <c r="AQ200" s="342">
        <v>3.5599999999999854E-2</v>
      </c>
      <c r="AR200" s="342">
        <v>3.0600000000000183E-2</v>
      </c>
      <c r="AS200" s="342">
        <v>3.1400000000000095E-2</v>
      </c>
      <c r="AT200" s="342">
        <v>3.0999999999999694E-2</v>
      </c>
      <c r="AU200" s="342">
        <v>3.0599999999999961E-2</v>
      </c>
      <c r="AV200" s="342">
        <v>3.0599999999999961E-2</v>
      </c>
      <c r="AW200" s="342">
        <v>3.0599999999999961E-2</v>
      </c>
      <c r="AX200" s="346" t="e">
        <f t="shared" si="98"/>
        <v>#DIV/0!</v>
      </c>
    </row>
    <row r="201" spans="2:50" x14ac:dyDescent="0.25">
      <c r="B201" s="7" t="s">
        <v>157</v>
      </c>
      <c r="C201" s="15">
        <v>531400</v>
      </c>
      <c r="D201" s="42">
        <v>0</v>
      </c>
      <c r="E201" s="42">
        <v>0</v>
      </c>
      <c r="F201" s="42">
        <v>0</v>
      </c>
      <c r="G201" s="42">
        <v>121.36</v>
      </c>
      <c r="H201" s="42">
        <v>4.8099999999999996</v>
      </c>
      <c r="I201" s="42">
        <v>40.599999999997905</v>
      </c>
      <c r="J201" s="42">
        <v>15.1</v>
      </c>
      <c r="K201" s="42">
        <v>3.32</v>
      </c>
      <c r="L201" s="42">
        <v>28.12</v>
      </c>
      <c r="M201" s="42">
        <v>37.26</v>
      </c>
      <c r="N201" s="42">
        <f>+N$197*EEFFHist!$Y208</f>
        <v>13.614815593168613</v>
      </c>
      <c r="O201" s="42">
        <f>+O$197*EEFFHist!$Y208</f>
        <v>14.099503028285415</v>
      </c>
      <c r="P201" s="42">
        <f>+P$197*EEFFHist!$Y208</f>
        <v>14.530947820950951</v>
      </c>
      <c r="Q201" s="42">
        <f>+Q$197*EEFFHist!$Y208</f>
        <v>14.987219582528812</v>
      </c>
      <c r="R201" s="42">
        <f>+R$197*EEFFHist!$Y208</f>
        <v>15.451823389587204</v>
      </c>
      <c r="S201" s="42">
        <f>+S$197*EEFFHist!$Y208</f>
        <v>15.924649185308571</v>
      </c>
      <c r="T201" s="42">
        <f>+T$197*EEFFHist!$Y208</f>
        <v>16.411943450379013</v>
      </c>
      <c r="U201" s="42">
        <f>+U$197*EEFFHist!$Y208</f>
        <v>16.91414891996061</v>
      </c>
      <c r="V201" s="45"/>
      <c r="W201" s="325">
        <f t="shared" si="97"/>
        <v>-0.63459968885752516</v>
      </c>
      <c r="X201" s="325">
        <f t="shared" si="79"/>
        <v>3.5600000000000076E-2</v>
      </c>
      <c r="Y201" s="325">
        <f t="shared" si="80"/>
        <v>3.0600000000000183E-2</v>
      </c>
      <c r="Z201" s="325">
        <f t="shared" si="81"/>
        <v>3.1400000000000095E-2</v>
      </c>
      <c r="AA201" s="325">
        <f t="shared" si="82"/>
        <v>3.0999999999999917E-2</v>
      </c>
      <c r="AB201" s="325">
        <f t="shared" si="83"/>
        <v>3.0599999999999961E-2</v>
      </c>
      <c r="AC201" s="325">
        <f t="shared" si="84"/>
        <v>3.0599999999999961E-2</v>
      </c>
      <c r="AD201" s="325">
        <f t="shared" si="84"/>
        <v>3.0599999999999961E-2</v>
      </c>
      <c r="AF201" s="329">
        <f t="shared" si="107"/>
        <v>1.4058928425597618E-2</v>
      </c>
      <c r="AG201" s="329">
        <f t="shared" si="108"/>
        <v>1.4058928425597618E-2</v>
      </c>
      <c r="AH201" s="329">
        <f t="shared" si="109"/>
        <v>1.4058928425597618E-2</v>
      </c>
      <c r="AI201" s="329">
        <f t="shared" si="110"/>
        <v>1.4058928425597618E-2</v>
      </c>
      <c r="AJ201" s="329">
        <f t="shared" si="111"/>
        <v>1.4058928425597618E-2</v>
      </c>
      <c r="AK201" s="329">
        <f t="shared" si="112"/>
        <v>1.4058928425597618E-2</v>
      </c>
      <c r="AL201" s="329">
        <f t="shared" si="113"/>
        <v>1.405892842559762E-2</v>
      </c>
      <c r="AM201" s="329">
        <f t="shared" si="114"/>
        <v>1.4058928425597618E-2</v>
      </c>
      <c r="AN201" s="329"/>
      <c r="AO201" s="7" t="s">
        <v>157</v>
      </c>
      <c r="AP201" s="342">
        <v>-0.63459968885752516</v>
      </c>
      <c r="AQ201" s="342">
        <v>3.5600000000000076E-2</v>
      </c>
      <c r="AR201" s="342">
        <v>3.0600000000000183E-2</v>
      </c>
      <c r="AS201" s="342">
        <v>3.1400000000000095E-2</v>
      </c>
      <c r="AT201" s="342">
        <v>3.0999999999999917E-2</v>
      </c>
      <c r="AU201" s="342">
        <v>3.0599999999999961E-2</v>
      </c>
      <c r="AV201" s="342">
        <v>3.0599999999999961E-2</v>
      </c>
      <c r="AW201" s="342">
        <v>3.0599999999999961E-2</v>
      </c>
      <c r="AX201" s="346">
        <f t="shared" si="98"/>
        <v>-5.1774961107190626E-2</v>
      </c>
    </row>
    <row r="202" spans="2:50" x14ac:dyDescent="0.25">
      <c r="B202" s="7" t="s">
        <v>158</v>
      </c>
      <c r="C202" s="15">
        <v>531500</v>
      </c>
      <c r="D202" s="42">
        <v>1.7300000000000972</v>
      </c>
      <c r="E202" s="42">
        <v>0</v>
      </c>
      <c r="F202" s="42">
        <v>0</v>
      </c>
      <c r="G202" s="42">
        <v>40.94</v>
      </c>
      <c r="H202" s="42">
        <v>0</v>
      </c>
      <c r="I202" s="42">
        <v>0</v>
      </c>
      <c r="J202" s="42">
        <v>0.73</v>
      </c>
      <c r="K202" s="42">
        <v>0</v>
      </c>
      <c r="L202" s="42">
        <v>0</v>
      </c>
      <c r="M202" s="42">
        <v>0</v>
      </c>
      <c r="N202" s="42">
        <f>+N$197*EEFFHist!$Y209</f>
        <v>0</v>
      </c>
      <c r="O202" s="42">
        <f>+O$197*EEFFHist!$Y209</f>
        <v>0</v>
      </c>
      <c r="P202" s="42">
        <f>+P$197*EEFFHist!$Y209</f>
        <v>0</v>
      </c>
      <c r="Q202" s="42">
        <f>+Q$197*EEFFHist!$Y209</f>
        <v>0</v>
      </c>
      <c r="R202" s="42">
        <f>+R$197*EEFFHist!$Y209</f>
        <v>0</v>
      </c>
      <c r="S202" s="42">
        <f>+S$197*EEFFHist!$Y209</f>
        <v>0</v>
      </c>
      <c r="T202" s="42">
        <f>+T$197*EEFFHist!$Y209</f>
        <v>0</v>
      </c>
      <c r="U202" s="42">
        <f>+U$197*EEFFHist!$Y209</f>
        <v>0</v>
      </c>
      <c r="V202" s="45"/>
      <c r="W202" s="325" t="e">
        <f t="shared" si="97"/>
        <v>#DIV/0!</v>
      </c>
      <c r="X202" s="325" t="e">
        <f t="shared" si="79"/>
        <v>#DIV/0!</v>
      </c>
      <c r="Y202" s="325" t="e">
        <f t="shared" si="80"/>
        <v>#DIV/0!</v>
      </c>
      <c r="Z202" s="325" t="e">
        <f t="shared" si="81"/>
        <v>#DIV/0!</v>
      </c>
      <c r="AA202" s="325" t="e">
        <f t="shared" si="82"/>
        <v>#DIV/0!</v>
      </c>
      <c r="AB202" s="325" t="e">
        <f t="shared" si="83"/>
        <v>#DIV/0!</v>
      </c>
      <c r="AC202" s="325" t="e">
        <f t="shared" si="84"/>
        <v>#DIV/0!</v>
      </c>
      <c r="AD202" s="325" t="e">
        <f t="shared" si="84"/>
        <v>#DIV/0!</v>
      </c>
      <c r="AF202" s="329">
        <f t="shared" si="107"/>
        <v>0</v>
      </c>
      <c r="AG202" s="329">
        <f t="shared" si="108"/>
        <v>0</v>
      </c>
      <c r="AH202" s="329">
        <f t="shared" si="109"/>
        <v>0</v>
      </c>
      <c r="AI202" s="329">
        <f t="shared" si="110"/>
        <v>0</v>
      </c>
      <c r="AJ202" s="329">
        <f t="shared" si="111"/>
        <v>0</v>
      </c>
      <c r="AK202" s="329">
        <f t="shared" si="112"/>
        <v>0</v>
      </c>
      <c r="AL202" s="329">
        <f t="shared" si="113"/>
        <v>0</v>
      </c>
      <c r="AM202" s="329">
        <f t="shared" si="114"/>
        <v>0</v>
      </c>
      <c r="AN202" s="329"/>
      <c r="AO202" s="7" t="s">
        <v>158</v>
      </c>
      <c r="AP202" s="342" t="e">
        <v>#DIV/0!</v>
      </c>
      <c r="AQ202" s="342" t="e">
        <v>#DIV/0!</v>
      </c>
      <c r="AR202" s="342" t="e">
        <v>#DIV/0!</v>
      </c>
      <c r="AS202" s="342" t="e">
        <v>#DIV/0!</v>
      </c>
      <c r="AT202" s="342" t="e">
        <v>#DIV/0!</v>
      </c>
      <c r="AU202" s="342" t="e">
        <v>#DIV/0!</v>
      </c>
      <c r="AV202" s="342" t="e">
        <v>#DIV/0!</v>
      </c>
      <c r="AW202" s="342" t="e">
        <v>#DIV/0!</v>
      </c>
      <c r="AX202" s="346" t="e">
        <f t="shared" si="98"/>
        <v>#DIV/0!</v>
      </c>
    </row>
    <row r="203" spans="2:50" ht="30" x14ac:dyDescent="0.25">
      <c r="B203" s="7" t="s">
        <v>401</v>
      </c>
      <c r="C203" s="15">
        <v>531600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42">
        <v>0</v>
      </c>
      <c r="M203" s="42">
        <v>0</v>
      </c>
      <c r="N203" s="42">
        <f>+N$197*EEFFHist!$Y210</f>
        <v>0</v>
      </c>
      <c r="O203" s="42">
        <f>+O$197*EEFFHist!$Y210</f>
        <v>0</v>
      </c>
      <c r="P203" s="42">
        <f>+P$197*EEFFHist!$Y210</f>
        <v>0</v>
      </c>
      <c r="Q203" s="42">
        <f>+Q$197*EEFFHist!$Y210</f>
        <v>0</v>
      </c>
      <c r="R203" s="42">
        <f>+R$197*EEFFHist!$Y210</f>
        <v>0</v>
      </c>
      <c r="S203" s="42">
        <f>+S$197*EEFFHist!$Y210</f>
        <v>0</v>
      </c>
      <c r="T203" s="42">
        <f>+T$197*EEFFHist!$Y210</f>
        <v>0</v>
      </c>
      <c r="U203" s="42">
        <f>+U$197*EEFFHist!$Y210</f>
        <v>0</v>
      </c>
      <c r="V203" s="45"/>
      <c r="W203" s="325" t="e">
        <f t="shared" si="97"/>
        <v>#DIV/0!</v>
      </c>
      <c r="X203" s="325" t="e">
        <f t="shared" si="79"/>
        <v>#DIV/0!</v>
      </c>
      <c r="Y203" s="325" t="e">
        <f t="shared" si="80"/>
        <v>#DIV/0!</v>
      </c>
      <c r="Z203" s="325" t="e">
        <f t="shared" si="81"/>
        <v>#DIV/0!</v>
      </c>
      <c r="AA203" s="325" t="e">
        <f t="shared" si="82"/>
        <v>#DIV/0!</v>
      </c>
      <c r="AB203" s="325" t="e">
        <f t="shared" si="83"/>
        <v>#DIV/0!</v>
      </c>
      <c r="AC203" s="325" t="e">
        <f t="shared" si="84"/>
        <v>#DIV/0!</v>
      </c>
      <c r="AD203" s="325" t="e">
        <f t="shared" si="84"/>
        <v>#DIV/0!</v>
      </c>
      <c r="AF203" s="329">
        <f t="shared" si="107"/>
        <v>0</v>
      </c>
      <c r="AG203" s="329">
        <f t="shared" si="108"/>
        <v>0</v>
      </c>
      <c r="AH203" s="329">
        <f t="shared" si="109"/>
        <v>0</v>
      </c>
      <c r="AI203" s="329">
        <f t="shared" si="110"/>
        <v>0</v>
      </c>
      <c r="AJ203" s="329">
        <f t="shared" si="111"/>
        <v>0</v>
      </c>
      <c r="AK203" s="329">
        <f t="shared" si="112"/>
        <v>0</v>
      </c>
      <c r="AL203" s="329">
        <f t="shared" si="113"/>
        <v>0</v>
      </c>
      <c r="AM203" s="329">
        <f t="shared" si="114"/>
        <v>0</v>
      </c>
      <c r="AN203" s="329"/>
      <c r="AO203" s="7" t="s">
        <v>401</v>
      </c>
      <c r="AP203" s="342" t="e">
        <v>#DIV/0!</v>
      </c>
      <c r="AQ203" s="342" t="e">
        <v>#DIV/0!</v>
      </c>
      <c r="AR203" s="342" t="e">
        <v>#DIV/0!</v>
      </c>
      <c r="AS203" s="342" t="e">
        <v>#DIV/0!</v>
      </c>
      <c r="AT203" s="342" t="e">
        <v>#DIV/0!</v>
      </c>
      <c r="AU203" s="342" t="e">
        <v>#DIV/0!</v>
      </c>
      <c r="AV203" s="342" t="e">
        <v>#DIV/0!</v>
      </c>
      <c r="AW203" s="342" t="e">
        <v>#DIV/0!</v>
      </c>
      <c r="AX203" s="346" t="e">
        <f t="shared" si="98"/>
        <v>#DIV/0!</v>
      </c>
    </row>
    <row r="204" spans="2:50" x14ac:dyDescent="0.25">
      <c r="B204" s="7" t="s">
        <v>160</v>
      </c>
      <c r="C204" s="15">
        <v>532000</v>
      </c>
      <c r="D204" s="42">
        <v>0.28000000000000003</v>
      </c>
      <c r="E204" s="42">
        <v>0</v>
      </c>
      <c r="F204" s="42">
        <v>253.76</v>
      </c>
      <c r="G204" s="42">
        <v>0.54</v>
      </c>
      <c r="H204" s="42">
        <v>4.37</v>
      </c>
      <c r="I204" s="42">
        <v>0.15</v>
      </c>
      <c r="J204" s="42">
        <v>212.8</v>
      </c>
      <c r="K204" s="42">
        <v>23.38</v>
      </c>
      <c r="L204" s="42">
        <v>20.23</v>
      </c>
      <c r="M204" s="42">
        <v>13.63</v>
      </c>
      <c r="N204" s="42">
        <f>+N$197*EEFFHist!$Y211</f>
        <v>6.7673839410914969</v>
      </c>
      <c r="O204" s="42">
        <f>+O$197*EEFFHist!$Y211</f>
        <v>7.0083028093943538</v>
      </c>
      <c r="P204" s="42">
        <f>+P$197*EEFFHist!$Y211</f>
        <v>7.2227568753618216</v>
      </c>
      <c r="Q204" s="42">
        <f>+Q$197*EEFFHist!$Y211</f>
        <v>7.4495514412481842</v>
      </c>
      <c r="R204" s="42">
        <f>+R$197*EEFFHist!$Y211</f>
        <v>7.6804875359268774</v>
      </c>
      <c r="S204" s="42">
        <f>+S$197*EEFFHist!$Y211</f>
        <v>7.9155104545262382</v>
      </c>
      <c r="T204" s="42">
        <f>+T$197*EEFFHist!$Y211</f>
        <v>8.1577250744347403</v>
      </c>
      <c r="U204" s="42">
        <f>+U$197*EEFFHist!$Y211</f>
        <v>8.4073514617124445</v>
      </c>
      <c r="V204" s="45"/>
      <c r="W204" s="325">
        <f t="shared" si="97"/>
        <v>-0.50349347460810745</v>
      </c>
      <c r="X204" s="325">
        <f t="shared" si="79"/>
        <v>3.5599999999999854E-2</v>
      </c>
      <c r="Y204" s="325">
        <f t="shared" si="80"/>
        <v>3.0600000000000183E-2</v>
      </c>
      <c r="Z204" s="325">
        <f t="shared" si="81"/>
        <v>3.1400000000000095E-2</v>
      </c>
      <c r="AA204" s="325">
        <f t="shared" si="82"/>
        <v>3.0999999999999917E-2</v>
      </c>
      <c r="AB204" s="325">
        <f t="shared" si="83"/>
        <v>3.0599999999999739E-2</v>
      </c>
      <c r="AC204" s="325">
        <f t="shared" si="84"/>
        <v>3.0599999999999961E-2</v>
      </c>
      <c r="AD204" s="325">
        <f t="shared" si="84"/>
        <v>3.0600000000000183E-2</v>
      </c>
      <c r="AF204" s="329">
        <f t="shared" si="107"/>
        <v>6.9881347863486841E-3</v>
      </c>
      <c r="AG204" s="329">
        <f t="shared" si="108"/>
        <v>6.9881347863486841E-3</v>
      </c>
      <c r="AH204" s="329">
        <f t="shared" si="109"/>
        <v>6.9881347863486841E-3</v>
      </c>
      <c r="AI204" s="329">
        <f t="shared" si="110"/>
        <v>6.9881347863486841E-3</v>
      </c>
      <c r="AJ204" s="329">
        <f t="shared" si="111"/>
        <v>6.9881347863486841E-3</v>
      </c>
      <c r="AK204" s="329">
        <f t="shared" si="112"/>
        <v>6.9881347863486841E-3</v>
      </c>
      <c r="AL204" s="329">
        <f t="shared" si="113"/>
        <v>6.9881347863486832E-3</v>
      </c>
      <c r="AM204" s="329">
        <f t="shared" si="114"/>
        <v>6.9881347863486841E-3</v>
      </c>
      <c r="AN204" s="329"/>
      <c r="AO204" s="7" t="s">
        <v>160</v>
      </c>
      <c r="AP204" s="342">
        <v>-0.50349347460810745</v>
      </c>
      <c r="AQ204" s="342">
        <v>3.5599999999999854E-2</v>
      </c>
      <c r="AR204" s="342">
        <v>3.0600000000000183E-2</v>
      </c>
      <c r="AS204" s="342">
        <v>3.1400000000000095E-2</v>
      </c>
      <c r="AT204" s="342">
        <v>3.0999999999999917E-2</v>
      </c>
      <c r="AU204" s="342">
        <v>3.0599999999999739E-2</v>
      </c>
      <c r="AV204" s="342">
        <v>3.0599999999999961E-2</v>
      </c>
      <c r="AW204" s="342">
        <v>3.0600000000000183E-2</v>
      </c>
      <c r="AX204" s="346">
        <f t="shared" si="98"/>
        <v>-3.538668432601344E-2</v>
      </c>
    </row>
    <row r="205" spans="2:50" x14ac:dyDescent="0.25">
      <c r="B205" s="7" t="s">
        <v>161</v>
      </c>
      <c r="C205" s="15">
        <v>533200</v>
      </c>
      <c r="D205" s="42">
        <v>0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42">
        <v>0</v>
      </c>
      <c r="M205" s="42">
        <v>0</v>
      </c>
      <c r="N205" s="42">
        <f>+N$197*EEFFHist!$Y212</f>
        <v>0</v>
      </c>
      <c r="O205" s="42">
        <f>+O$197*EEFFHist!$Y212</f>
        <v>0</v>
      </c>
      <c r="P205" s="42">
        <f>+P$197*EEFFHist!$Y212</f>
        <v>0</v>
      </c>
      <c r="Q205" s="42">
        <f>+Q$197*EEFFHist!$Y212</f>
        <v>0</v>
      </c>
      <c r="R205" s="42">
        <f>+R$197*EEFFHist!$Y212</f>
        <v>0</v>
      </c>
      <c r="S205" s="42">
        <f>+S$197*EEFFHist!$Y212</f>
        <v>0</v>
      </c>
      <c r="T205" s="42">
        <f>+T$197*EEFFHist!$Y212</f>
        <v>0</v>
      </c>
      <c r="U205" s="42">
        <f>+U$197*EEFFHist!$Y212</f>
        <v>0</v>
      </c>
      <c r="V205" s="45"/>
      <c r="W205" s="325" t="e">
        <f t="shared" si="97"/>
        <v>#DIV/0!</v>
      </c>
      <c r="X205" s="325" t="e">
        <f t="shared" si="79"/>
        <v>#DIV/0!</v>
      </c>
      <c r="Y205" s="325" t="e">
        <f t="shared" si="80"/>
        <v>#DIV/0!</v>
      </c>
      <c r="Z205" s="325" t="e">
        <f t="shared" si="81"/>
        <v>#DIV/0!</v>
      </c>
      <c r="AA205" s="325" t="e">
        <f t="shared" si="82"/>
        <v>#DIV/0!</v>
      </c>
      <c r="AB205" s="325" t="e">
        <f t="shared" si="83"/>
        <v>#DIV/0!</v>
      </c>
      <c r="AC205" s="325" t="e">
        <f t="shared" si="84"/>
        <v>#DIV/0!</v>
      </c>
      <c r="AD205" s="325" t="e">
        <f t="shared" si="84"/>
        <v>#DIV/0!</v>
      </c>
      <c r="AF205" s="329">
        <f t="shared" si="107"/>
        <v>0</v>
      </c>
      <c r="AG205" s="329">
        <f t="shared" si="108"/>
        <v>0</v>
      </c>
      <c r="AH205" s="329">
        <f t="shared" si="109"/>
        <v>0</v>
      </c>
      <c r="AI205" s="329">
        <f t="shared" si="110"/>
        <v>0</v>
      </c>
      <c r="AJ205" s="329">
        <f t="shared" si="111"/>
        <v>0</v>
      </c>
      <c r="AK205" s="329">
        <f t="shared" si="112"/>
        <v>0</v>
      </c>
      <c r="AL205" s="329">
        <f t="shared" si="113"/>
        <v>0</v>
      </c>
      <c r="AM205" s="329">
        <f t="shared" si="114"/>
        <v>0</v>
      </c>
      <c r="AN205" s="329"/>
      <c r="AO205" s="7" t="s">
        <v>161</v>
      </c>
      <c r="AP205" s="342" t="e">
        <v>#DIV/0!</v>
      </c>
      <c r="AQ205" s="342" t="e">
        <v>#DIV/0!</v>
      </c>
      <c r="AR205" s="342" t="e">
        <v>#DIV/0!</v>
      </c>
      <c r="AS205" s="342" t="e">
        <v>#DIV/0!</v>
      </c>
      <c r="AT205" s="342" t="e">
        <v>#DIV/0!</v>
      </c>
      <c r="AU205" s="342" t="e">
        <v>#DIV/0!</v>
      </c>
      <c r="AV205" s="342" t="e">
        <v>#DIV/0!</v>
      </c>
      <c r="AW205" s="342" t="e">
        <v>#DIV/0!</v>
      </c>
      <c r="AX205" s="346" t="e">
        <f t="shared" si="98"/>
        <v>#DIV/0!</v>
      </c>
    </row>
    <row r="206" spans="2:50" x14ac:dyDescent="0.25">
      <c r="B206" s="7" t="s">
        <v>162</v>
      </c>
      <c r="C206" s="15">
        <v>539500</v>
      </c>
      <c r="D206" s="42">
        <v>10.16</v>
      </c>
      <c r="E206" s="42">
        <v>37.4</v>
      </c>
      <c r="F206" s="42">
        <v>1559.73</v>
      </c>
      <c r="G206" s="42">
        <v>1444.86</v>
      </c>
      <c r="H206" s="42">
        <v>0.26</v>
      </c>
      <c r="I206" s="42">
        <v>16.649999999999999</v>
      </c>
      <c r="J206" s="42">
        <v>1210.3699999999999</v>
      </c>
      <c r="K206" s="42">
        <v>4315.2</v>
      </c>
      <c r="L206" s="42">
        <v>14007.28</v>
      </c>
      <c r="M206" s="42">
        <v>851.91</v>
      </c>
      <c r="N206" s="42">
        <f>+N$197*EEFFHist!$Y213</f>
        <v>913.14012046278845</v>
      </c>
      <c r="O206" s="42">
        <f>+O$197*EEFFHist!$Y213</f>
        <v>945.64790875126369</v>
      </c>
      <c r="P206" s="42">
        <f>+P$197*EEFFHist!$Y213</f>
        <v>974.58473475905248</v>
      </c>
      <c r="Q206" s="42">
        <f>+Q$197*EEFFHist!$Y213</f>
        <v>1005.1866954304868</v>
      </c>
      <c r="R206" s="42">
        <f>+R$197*EEFFHist!$Y213</f>
        <v>1036.3474829888319</v>
      </c>
      <c r="S206" s="42">
        <f>+S$197*EEFFHist!$Y213</f>
        <v>1068.05971596829</v>
      </c>
      <c r="T206" s="42">
        <f>+T$197*EEFFHist!$Y213</f>
        <v>1100.7423432769194</v>
      </c>
      <c r="U206" s="42">
        <f>+U$197*EEFFHist!$Y213</f>
        <v>1134.4250589811934</v>
      </c>
      <c r="V206" s="45"/>
      <c r="W206" s="325">
        <f t="shared" si="97"/>
        <v>7.1873930887990989E-2</v>
      </c>
      <c r="X206" s="325">
        <f t="shared" si="79"/>
        <v>3.5600000000000076E-2</v>
      </c>
      <c r="Y206" s="325">
        <f t="shared" si="80"/>
        <v>3.0600000000000183E-2</v>
      </c>
      <c r="Z206" s="325">
        <f t="shared" si="81"/>
        <v>3.1400000000000095E-2</v>
      </c>
      <c r="AA206" s="325">
        <f t="shared" si="82"/>
        <v>3.0999999999999917E-2</v>
      </c>
      <c r="AB206" s="325">
        <f t="shared" si="83"/>
        <v>3.0599999999999961E-2</v>
      </c>
      <c r="AC206" s="325">
        <f t="shared" si="84"/>
        <v>3.0599999999999739E-2</v>
      </c>
      <c r="AD206" s="325">
        <f t="shared" si="84"/>
        <v>3.0600000000000183E-2</v>
      </c>
      <c r="AF206" s="329">
        <f t="shared" si="107"/>
        <v>0.94292658672288043</v>
      </c>
      <c r="AG206" s="329">
        <f t="shared" si="108"/>
        <v>0.94292658672288043</v>
      </c>
      <c r="AH206" s="329">
        <f t="shared" si="109"/>
        <v>0.94292658672288043</v>
      </c>
      <c r="AI206" s="329">
        <f t="shared" si="110"/>
        <v>0.94292658672288043</v>
      </c>
      <c r="AJ206" s="329">
        <f t="shared" si="111"/>
        <v>0.94292658672288054</v>
      </c>
      <c r="AK206" s="329">
        <f t="shared" si="112"/>
        <v>0.94292658672288054</v>
      </c>
      <c r="AL206" s="329">
        <f t="shared" si="113"/>
        <v>0.94292658672288032</v>
      </c>
      <c r="AM206" s="329">
        <f t="shared" si="114"/>
        <v>0.94292658672288054</v>
      </c>
      <c r="AN206" s="329"/>
      <c r="AO206" s="7" t="s">
        <v>162</v>
      </c>
      <c r="AP206" s="342">
        <v>7.1873930887990989E-2</v>
      </c>
      <c r="AQ206" s="342">
        <v>3.5600000000000076E-2</v>
      </c>
      <c r="AR206" s="342">
        <v>3.0600000000000183E-2</v>
      </c>
      <c r="AS206" s="342">
        <v>3.1400000000000095E-2</v>
      </c>
      <c r="AT206" s="342">
        <v>3.0999999999999917E-2</v>
      </c>
      <c r="AU206" s="342">
        <v>3.0599999999999961E-2</v>
      </c>
      <c r="AV206" s="342">
        <v>3.0599999999999739E-2</v>
      </c>
      <c r="AW206" s="342">
        <v>3.0600000000000183E-2</v>
      </c>
      <c r="AX206" s="346">
        <f t="shared" si="98"/>
        <v>3.6534241360998893E-2</v>
      </c>
    </row>
    <row r="207" spans="2:50" x14ac:dyDescent="0.25">
      <c r="B207" s="7" t="s">
        <v>154</v>
      </c>
      <c r="C207" s="15">
        <v>539900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0</v>
      </c>
      <c r="M207" s="42">
        <v>0</v>
      </c>
      <c r="N207" s="42">
        <f>+N$197*EEFFHist!$Y214</f>
        <v>0</v>
      </c>
      <c r="O207" s="42">
        <f>+O$197*EEFFHist!$Y214</f>
        <v>0</v>
      </c>
      <c r="P207" s="42">
        <f>+P$197*EEFFHist!$Y214</f>
        <v>0</v>
      </c>
      <c r="Q207" s="42">
        <f>+Q$197*EEFFHist!$Y214</f>
        <v>0</v>
      </c>
      <c r="R207" s="42">
        <f>+R$197*EEFFHist!$Y214</f>
        <v>0</v>
      </c>
      <c r="S207" s="42">
        <f>+S$197*EEFFHist!$Y214</f>
        <v>0</v>
      </c>
      <c r="T207" s="42">
        <f>+T$197*EEFFHist!$Y214</f>
        <v>0</v>
      </c>
      <c r="U207" s="42">
        <f>+U$197*EEFFHist!$Y214</f>
        <v>0</v>
      </c>
      <c r="V207" s="45"/>
      <c r="W207" s="325" t="e">
        <f t="shared" si="97"/>
        <v>#DIV/0!</v>
      </c>
      <c r="X207" s="325" t="e">
        <f t="shared" si="79"/>
        <v>#DIV/0!</v>
      </c>
      <c r="Y207" s="325" t="e">
        <f t="shared" si="80"/>
        <v>#DIV/0!</v>
      </c>
      <c r="Z207" s="325" t="e">
        <f t="shared" si="81"/>
        <v>#DIV/0!</v>
      </c>
      <c r="AA207" s="325" t="e">
        <f t="shared" si="82"/>
        <v>#DIV/0!</v>
      </c>
      <c r="AB207" s="325" t="e">
        <f t="shared" si="83"/>
        <v>#DIV/0!</v>
      </c>
      <c r="AC207" s="325" t="e">
        <f t="shared" si="84"/>
        <v>#DIV/0!</v>
      </c>
      <c r="AD207" s="325" t="e">
        <f t="shared" si="84"/>
        <v>#DIV/0!</v>
      </c>
      <c r="AF207" s="329">
        <f t="shared" si="107"/>
        <v>0</v>
      </c>
      <c r="AG207" s="329">
        <f t="shared" si="108"/>
        <v>0</v>
      </c>
      <c r="AH207" s="329">
        <f t="shared" si="109"/>
        <v>0</v>
      </c>
      <c r="AI207" s="329">
        <f t="shared" si="110"/>
        <v>0</v>
      </c>
      <c r="AJ207" s="329">
        <f t="shared" si="111"/>
        <v>0</v>
      </c>
      <c r="AK207" s="329">
        <f t="shared" si="112"/>
        <v>0</v>
      </c>
      <c r="AL207" s="329">
        <f t="shared" si="113"/>
        <v>0</v>
      </c>
      <c r="AM207" s="329">
        <f t="shared" si="114"/>
        <v>0</v>
      </c>
      <c r="AN207" s="329"/>
      <c r="AO207" s="7" t="s">
        <v>154</v>
      </c>
      <c r="AP207" s="342" t="e">
        <v>#DIV/0!</v>
      </c>
      <c r="AQ207" s="342" t="e">
        <v>#DIV/0!</v>
      </c>
      <c r="AR207" s="342" t="e">
        <v>#DIV/0!</v>
      </c>
      <c r="AS207" s="342" t="e">
        <v>#DIV/0!</v>
      </c>
      <c r="AT207" s="342" t="e">
        <v>#DIV/0!</v>
      </c>
      <c r="AU207" s="342" t="e">
        <v>#DIV/0!</v>
      </c>
      <c r="AV207" s="342" t="e">
        <v>#DIV/0!</v>
      </c>
      <c r="AW207" s="342" t="e">
        <v>#DIV/0!</v>
      </c>
      <c r="AX207" s="346" t="e">
        <f t="shared" si="98"/>
        <v>#DIV/0!</v>
      </c>
    </row>
    <row r="208" spans="2:50" s="34" customFormat="1" x14ac:dyDescent="0.25">
      <c r="B208" s="11" t="s">
        <v>163</v>
      </c>
      <c r="C208" s="230">
        <v>540000</v>
      </c>
      <c r="D208" s="48">
        <f t="shared" ref="D208:U208" si="115">+SUM(D209)</f>
        <v>1101.71</v>
      </c>
      <c r="E208" s="48">
        <f t="shared" si="115"/>
        <v>1361.9</v>
      </c>
      <c r="F208" s="48">
        <f t="shared" si="115"/>
        <v>1097.18</v>
      </c>
      <c r="G208" s="48">
        <f t="shared" si="115"/>
        <v>443.16</v>
      </c>
      <c r="H208" s="48">
        <f t="shared" si="115"/>
        <v>972.52</v>
      </c>
      <c r="I208" s="48">
        <f t="shared" si="115"/>
        <v>3041.84</v>
      </c>
      <c r="J208" s="48">
        <f t="shared" si="115"/>
        <v>1387.54</v>
      </c>
      <c r="K208" s="48">
        <f t="shared" si="115"/>
        <v>712.13</v>
      </c>
      <c r="L208" s="48">
        <f t="shared" si="115"/>
        <v>1554.13</v>
      </c>
      <c r="M208" s="48">
        <f t="shared" si="115"/>
        <v>2021.48</v>
      </c>
      <c r="N208" s="48">
        <f>+SUM(N209)</f>
        <v>929.56728829401368</v>
      </c>
      <c r="O208" s="48">
        <f t="shared" si="115"/>
        <v>1878.5017790690235</v>
      </c>
      <c r="P208" s="48">
        <f t="shared" si="115"/>
        <v>2699.3337391420341</v>
      </c>
      <c r="Q208" s="48">
        <f t="shared" si="115"/>
        <v>3451.1175452971879</v>
      </c>
      <c r="R208" s="48">
        <f t="shared" si="115"/>
        <v>4285.8271286423515</v>
      </c>
      <c r="S208" s="48">
        <f t="shared" si="115"/>
        <v>5207.2694594895038</v>
      </c>
      <c r="T208" s="48">
        <f t="shared" si="115"/>
        <v>6299.8137907807031</v>
      </c>
      <c r="U208" s="48">
        <f t="shared" si="115"/>
        <v>7422.5339674332763</v>
      </c>
      <c r="V208" s="334"/>
      <c r="W208" s="324">
        <f t="shared" si="97"/>
        <v>-0.54015509018441255</v>
      </c>
      <c r="X208" s="324">
        <f t="shared" si="79"/>
        <v>1.0208346428761921</v>
      </c>
      <c r="Y208" s="324">
        <f t="shared" si="80"/>
        <v>0.4369609702897439</v>
      </c>
      <c r="Z208" s="324">
        <f t="shared" si="81"/>
        <v>0.27850717206761666</v>
      </c>
      <c r="AA208" s="324">
        <f t="shared" si="82"/>
        <v>0.24186645988996114</v>
      </c>
      <c r="AB208" s="324">
        <f t="shared" si="83"/>
        <v>0.21499754964196227</v>
      </c>
      <c r="AC208" s="324">
        <f t="shared" si="84"/>
        <v>0.20981136847070458</v>
      </c>
      <c r="AD208" s="324">
        <f t="shared" si="84"/>
        <v>0.178214819348405</v>
      </c>
      <c r="AF208" s="328">
        <f t="shared" ref="AF208:AM208" si="116">+N208/N$174</f>
        <v>4.4516328424092345E-2</v>
      </c>
      <c r="AG208" s="328">
        <f t="shared" si="116"/>
        <v>7.6987304503607981E-2</v>
      </c>
      <c r="AH208" s="328">
        <f t="shared" si="116"/>
        <v>9.8300659676008442E-2</v>
      </c>
      <c r="AI208" s="328">
        <f t="shared" si="116"/>
        <v>0.11373496296067043</v>
      </c>
      <c r="AJ208" s="328">
        <f t="shared" si="116"/>
        <v>0.12797570109927101</v>
      </c>
      <c r="AK208" s="328">
        <f t="shared" si="116"/>
        <v>0.14108402796564434</v>
      </c>
      <c r="AL208" s="328">
        <f t="shared" si="116"/>
        <v>0.15415672208166126</v>
      </c>
      <c r="AM208" s="328">
        <f t="shared" si="116"/>
        <v>0.16518446166441458</v>
      </c>
      <c r="AN208" s="328"/>
      <c r="AO208" s="11" t="s">
        <v>163</v>
      </c>
      <c r="AP208" s="341">
        <v>-0.54015509018441255</v>
      </c>
      <c r="AQ208" s="341">
        <v>1.0208346428761921</v>
      </c>
      <c r="AR208" s="341">
        <v>0.4369609702897439</v>
      </c>
      <c r="AS208" s="341">
        <v>0.27850717206761666</v>
      </c>
      <c r="AT208" s="341">
        <v>0.24186645988996114</v>
      </c>
      <c r="AU208" s="341">
        <v>0.21499754964196227</v>
      </c>
      <c r="AV208" s="341">
        <v>0.20981136847070458</v>
      </c>
      <c r="AW208" s="341">
        <v>0.178214819348405</v>
      </c>
      <c r="AX208" s="346">
        <f t="shared" si="98"/>
        <v>0.25512973655002164</v>
      </c>
    </row>
    <row r="209" spans="2:50" x14ac:dyDescent="0.25">
      <c r="B209" s="8" t="s">
        <v>163</v>
      </c>
      <c r="C209" s="15">
        <v>540500</v>
      </c>
      <c r="D209" s="43">
        <v>1101.71</v>
      </c>
      <c r="E209" s="43">
        <v>1361.9</v>
      </c>
      <c r="F209" s="43">
        <v>1097.18</v>
      </c>
      <c r="G209" s="43">
        <v>443.16</v>
      </c>
      <c r="H209" s="43">
        <v>972.52</v>
      </c>
      <c r="I209" s="43">
        <v>3041.84</v>
      </c>
      <c r="J209" s="43">
        <v>1387.54</v>
      </c>
      <c r="K209" s="43">
        <v>712.13</v>
      </c>
      <c r="L209" s="43">
        <v>1554.13</v>
      </c>
      <c r="M209" s="43">
        <v>2021.48</v>
      </c>
      <c r="N209" s="192">
        <f>+N229*Supuestos!E9</f>
        <v>929.56728829401368</v>
      </c>
      <c r="O209" s="192">
        <f>+O229*Supuestos!F9</f>
        <v>1878.5017790690235</v>
      </c>
      <c r="P209" s="192">
        <f>+P229*Supuestos!G9</f>
        <v>2699.3337391420341</v>
      </c>
      <c r="Q209" s="192">
        <f>+Q229*Supuestos!H9</f>
        <v>3451.1175452971879</v>
      </c>
      <c r="R209" s="192">
        <f>+R229*Supuestos!I9</f>
        <v>4285.8271286423515</v>
      </c>
      <c r="S209" s="192">
        <f>+S229*Supuestos!J9</f>
        <v>5207.2694594895038</v>
      </c>
      <c r="T209" s="192">
        <f>+T229*Supuestos!K9</f>
        <v>6299.8137907807031</v>
      </c>
      <c r="U209" s="192">
        <f>+U229*Supuestos!L9</f>
        <v>7422.5339674332763</v>
      </c>
      <c r="V209" s="338"/>
      <c r="W209" s="325">
        <f t="shared" si="97"/>
        <v>-0.54015509018441255</v>
      </c>
      <c r="X209" s="325">
        <f t="shared" si="79"/>
        <v>1.0208346428761921</v>
      </c>
      <c r="Y209" s="325">
        <f t="shared" si="80"/>
        <v>0.4369609702897439</v>
      </c>
      <c r="Z209" s="325">
        <f t="shared" si="81"/>
        <v>0.27850717206761666</v>
      </c>
      <c r="AA209" s="325">
        <f t="shared" si="82"/>
        <v>0.24186645988996114</v>
      </c>
      <c r="AB209" s="325">
        <f t="shared" si="83"/>
        <v>0.21499754964196227</v>
      </c>
      <c r="AC209" s="325">
        <f t="shared" si="84"/>
        <v>0.20981136847070458</v>
      </c>
      <c r="AD209" s="325">
        <f t="shared" si="84"/>
        <v>0.178214819348405</v>
      </c>
      <c r="AF209" s="330">
        <f t="shared" ref="AF209:AM209" si="117">+N209/N$208</f>
        <v>1</v>
      </c>
      <c r="AG209" s="330">
        <f t="shared" si="117"/>
        <v>1</v>
      </c>
      <c r="AH209" s="330">
        <f t="shared" si="117"/>
        <v>1</v>
      </c>
      <c r="AI209" s="330">
        <f t="shared" si="117"/>
        <v>1</v>
      </c>
      <c r="AJ209" s="330">
        <f t="shared" si="117"/>
        <v>1</v>
      </c>
      <c r="AK209" s="330">
        <f t="shared" si="117"/>
        <v>1</v>
      </c>
      <c r="AL209" s="330">
        <f t="shared" si="117"/>
        <v>1</v>
      </c>
      <c r="AM209" s="330">
        <f t="shared" si="117"/>
        <v>1</v>
      </c>
      <c r="AN209" s="330"/>
      <c r="AO209" s="8" t="s">
        <v>163</v>
      </c>
      <c r="AP209" s="342">
        <v>-0.54015509018441255</v>
      </c>
      <c r="AQ209" s="342">
        <v>1.0208346428761921</v>
      </c>
      <c r="AR209" s="342">
        <v>0.4369609702897439</v>
      </c>
      <c r="AS209" s="342">
        <v>0.27850717206761666</v>
      </c>
      <c r="AT209" s="342">
        <v>0.24186645988996114</v>
      </c>
      <c r="AU209" s="342">
        <v>0.21499754964196227</v>
      </c>
      <c r="AV209" s="342">
        <v>0.20981136847070458</v>
      </c>
      <c r="AW209" s="342">
        <v>0.178214819348405</v>
      </c>
      <c r="AX209" s="346">
        <f t="shared" si="98"/>
        <v>0.25512973655002164</v>
      </c>
    </row>
    <row r="210" spans="2:50" x14ac:dyDescent="0.25">
      <c r="B210" s="8"/>
      <c r="C210" s="1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0"/>
      <c r="O210" s="40"/>
      <c r="P210" s="51"/>
      <c r="Q210" s="39"/>
      <c r="W210" s="325"/>
      <c r="AF210" s="323"/>
      <c r="AG210" s="323"/>
      <c r="AH210" s="323"/>
      <c r="AI210" s="323"/>
      <c r="AJ210" s="323"/>
      <c r="AK210" s="323"/>
      <c r="AL210" s="323"/>
      <c r="AM210" s="323"/>
      <c r="AN210" s="323"/>
      <c r="AO210" s="8"/>
      <c r="AP210" s="342"/>
      <c r="AQ210" s="342"/>
      <c r="AR210" s="342"/>
      <c r="AS210" s="342"/>
      <c r="AT210" s="342"/>
      <c r="AU210" s="342"/>
      <c r="AV210" s="342"/>
      <c r="AW210" s="342"/>
      <c r="AX210" s="346" t="e">
        <f t="shared" si="98"/>
        <v>#DIV/0!</v>
      </c>
    </row>
    <row r="211" spans="2:50" s="34" customFormat="1" x14ac:dyDescent="0.25">
      <c r="B211" s="11" t="s">
        <v>164</v>
      </c>
      <c r="C211" s="230">
        <v>590000</v>
      </c>
      <c r="D211" s="18">
        <f t="shared" ref="D211:K211" si="118">+(D153-D175)+(D160-D197)-D208</f>
        <v>2166.0199999999995</v>
      </c>
      <c r="E211" s="18">
        <f t="shared" si="118"/>
        <v>3377.1699999999996</v>
      </c>
      <c r="F211" s="18">
        <f>+(F153-F175)+(F160-F197)-F208</f>
        <v>496.76999999999975</v>
      </c>
      <c r="G211" s="18">
        <f>+(G153-G175)+(G160-G197)-G208</f>
        <v>-2730.6989999999996</v>
      </c>
      <c r="H211" s="18">
        <f t="shared" si="118"/>
        <v>5047.26</v>
      </c>
      <c r="I211" s="18">
        <f t="shared" si="118"/>
        <v>5803.68</v>
      </c>
      <c r="J211" s="18">
        <f t="shared" si="118"/>
        <v>1914.5499999999993</v>
      </c>
      <c r="K211" s="18">
        <f t="shared" si="118"/>
        <v>-3656.899999999996</v>
      </c>
      <c r="L211" s="18">
        <f>+(L153-L175)+(L160-L197)-L208</f>
        <v>-12541.010000000002</v>
      </c>
      <c r="M211" s="18">
        <f>+(M153-M175)+(M160-M197)-M208</f>
        <v>2429.809999999999</v>
      </c>
      <c r="N211" s="18">
        <f>+(N153-N175)+(N160-N197)-N208</f>
        <v>1887.3032822939051</v>
      </c>
      <c r="O211" s="18">
        <f t="shared" ref="O211:U211" si="119">+(O153-O175)+(O160-O197)-O208</f>
        <v>3813.9278544734716</v>
      </c>
      <c r="P211" s="18">
        <f t="shared" si="119"/>
        <v>5480.4654703792821</v>
      </c>
      <c r="Q211" s="18">
        <f>+(Q153-Q175)+(Q160-Q197)-Q208</f>
        <v>7006.8144101488342</v>
      </c>
      <c r="R211" s="18">
        <f t="shared" si="119"/>
        <v>8701.5278066374995</v>
      </c>
      <c r="S211" s="18">
        <f t="shared" si="119"/>
        <v>10572.33496320596</v>
      </c>
      <c r="T211" s="18">
        <f t="shared" si="119"/>
        <v>12790.531029766884</v>
      </c>
      <c r="U211" s="18">
        <f t="shared" si="119"/>
        <v>15069.993206606956</v>
      </c>
      <c r="V211" s="334"/>
      <c r="W211" s="324">
        <f>+N211/M211-1</f>
        <v>-0.22327125071758458</v>
      </c>
      <c r="X211" s="324">
        <f t="shared" ref="X211:AD211" si="120">+O211/N211-1</f>
        <v>1.0208346428761934</v>
      </c>
      <c r="Y211" s="324">
        <f t="shared" si="120"/>
        <v>0.43696097028974412</v>
      </c>
      <c r="Z211" s="324">
        <f t="shared" si="120"/>
        <v>0.27850717206761622</v>
      </c>
      <c r="AA211" s="324">
        <f t="shared" si="120"/>
        <v>0.24186645988996114</v>
      </c>
      <c r="AB211" s="324">
        <f t="shared" si="120"/>
        <v>0.21499754964196227</v>
      </c>
      <c r="AC211" s="324">
        <f t="shared" si="120"/>
        <v>0.20981136847070503</v>
      </c>
      <c r="AD211" s="324">
        <f t="shared" si="120"/>
        <v>0.17821481934840477</v>
      </c>
      <c r="AF211" s="328">
        <f>+N211/N$174</f>
        <v>9.038163649739954E-2</v>
      </c>
      <c r="AG211" s="328">
        <f t="shared" ref="AG211:AM211" si="121">+O211/O$174</f>
        <v>0.1563075576285374</v>
      </c>
      <c r="AH211" s="328">
        <f t="shared" si="121"/>
        <v>0.19958012722098686</v>
      </c>
      <c r="AI211" s="328">
        <f t="shared" si="121"/>
        <v>0.23091643995045202</v>
      </c>
      <c r="AJ211" s="328">
        <f t="shared" si="121"/>
        <v>0.25982945374700472</v>
      </c>
      <c r="AK211" s="328">
        <f t="shared" si="121"/>
        <v>0.28644332950600515</v>
      </c>
      <c r="AL211" s="328">
        <f t="shared" si="121"/>
        <v>0.31298485998397896</v>
      </c>
      <c r="AM211" s="328">
        <f t="shared" si="121"/>
        <v>0.33537451307623567</v>
      </c>
      <c r="AN211" s="328"/>
      <c r="AO211" s="11" t="s">
        <v>164</v>
      </c>
      <c r="AP211" s="341">
        <v>-0.22327125071758458</v>
      </c>
      <c r="AQ211" s="341">
        <v>1.0208346428761934</v>
      </c>
      <c r="AR211" s="341">
        <v>0.43696097028974412</v>
      </c>
      <c r="AS211" s="341">
        <v>0.27850717206761622</v>
      </c>
      <c r="AT211" s="341">
        <v>0.24186645988996114</v>
      </c>
      <c r="AU211" s="341">
        <v>0.21499754964196227</v>
      </c>
      <c r="AV211" s="341">
        <v>0.20981136847070503</v>
      </c>
      <c r="AW211" s="341">
        <v>0.17821481934840477</v>
      </c>
      <c r="AX211" s="346">
        <f t="shared" si="98"/>
        <v>0.29474021648337534</v>
      </c>
    </row>
    <row r="212" spans="2:50" x14ac:dyDescent="0.25">
      <c r="D212" s="35">
        <f t="shared" ref="D212:K212" si="122">+D211-D138</f>
        <v>0</v>
      </c>
      <c r="E212" s="35">
        <f t="shared" si="122"/>
        <v>0</v>
      </c>
      <c r="F212" s="35">
        <f t="shared" si="122"/>
        <v>0</v>
      </c>
      <c r="G212" s="35">
        <f t="shared" si="122"/>
        <v>1.0000000002037268E-3</v>
      </c>
      <c r="H212" s="35">
        <f t="shared" si="122"/>
        <v>0</v>
      </c>
      <c r="I212" s="35">
        <f t="shared" si="122"/>
        <v>0</v>
      </c>
      <c r="J212" s="35">
        <f t="shared" si="122"/>
        <v>0</v>
      </c>
      <c r="K212" s="35">
        <f t="shared" si="122"/>
        <v>4.0927261579781771E-12</v>
      </c>
      <c r="L212" s="35">
        <f t="shared" ref="L212:U212" si="123">+L211-L138</f>
        <v>0</v>
      </c>
      <c r="M212" s="35">
        <f>+M211-M138</f>
        <v>0</v>
      </c>
      <c r="N212" s="35">
        <f>+N211-N138</f>
        <v>0</v>
      </c>
      <c r="O212" s="35">
        <f t="shared" si="123"/>
        <v>0</v>
      </c>
      <c r="P212" s="35">
        <f t="shared" si="123"/>
        <v>0</v>
      </c>
      <c r="Q212" s="35">
        <f t="shared" si="123"/>
        <v>0</v>
      </c>
      <c r="R212" s="35">
        <f t="shared" si="123"/>
        <v>0</v>
      </c>
      <c r="S212" s="35">
        <f t="shared" si="123"/>
        <v>0</v>
      </c>
      <c r="T212" s="35">
        <f t="shared" si="123"/>
        <v>0</v>
      </c>
      <c r="U212" s="35">
        <f t="shared" si="123"/>
        <v>0</v>
      </c>
      <c r="V212" s="35"/>
    </row>
    <row r="213" spans="2:50" x14ac:dyDescent="0.25"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49"/>
      <c r="O213" s="50"/>
      <c r="P213" s="40"/>
      <c r="Q213" s="40"/>
    </row>
    <row r="214" spans="2:50" x14ac:dyDescent="0.25">
      <c r="B214" s="34" t="s">
        <v>208</v>
      </c>
      <c r="C214" s="40"/>
      <c r="D214" s="79">
        <f t="shared" ref="D214:L214" si="124">+D153-D175+D193+D194+D196</f>
        <v>2581.9499999999998</v>
      </c>
      <c r="E214" s="78">
        <f t="shared" si="124"/>
        <v>3865.8399999999992</v>
      </c>
      <c r="F214" s="78">
        <f t="shared" si="124"/>
        <v>3429.7899999999995</v>
      </c>
      <c r="G214" s="78">
        <f t="shared" si="124"/>
        <v>748.89100000000008</v>
      </c>
      <c r="H214" s="78">
        <f t="shared" si="124"/>
        <v>3901.4599999999996</v>
      </c>
      <c r="I214" s="78">
        <f t="shared" si="124"/>
        <v>7023.8999999999987</v>
      </c>
      <c r="J214" s="78">
        <f t="shared" si="124"/>
        <v>3873.3300000000027</v>
      </c>
      <c r="K214" s="78">
        <f t="shared" si="124"/>
        <v>1589.8800000000022</v>
      </c>
      <c r="L214" s="78">
        <f t="shared" si="124"/>
        <v>4561.1000000000004</v>
      </c>
      <c r="M214" s="78">
        <f>+M153-M175+M193+M194+M196</f>
        <v>5163.4199999999992</v>
      </c>
      <c r="N214" s="78">
        <f>+N153-N175+N193+N194+N196</f>
        <v>3776.788550587919</v>
      </c>
      <c r="O214" s="78">
        <f t="shared" ref="O214:U214" si="125">+O153-O175+O193+O194+O196</f>
        <v>6686.5206936304958</v>
      </c>
      <c r="P214" s="78">
        <f t="shared" si="125"/>
        <v>9204.3094560480076</v>
      </c>
      <c r="Q214" s="78">
        <f t="shared" si="125"/>
        <v>11514.611823713651</v>
      </c>
      <c r="R214" s="78">
        <f t="shared" si="125"/>
        <v>14076.791879463781</v>
      </c>
      <c r="S214" s="78">
        <f t="shared" si="125"/>
        <v>16902.378137371419</v>
      </c>
      <c r="T214" s="78">
        <f t="shared" si="125"/>
        <v>20247.475410892628</v>
      </c>
      <c r="U214" s="78">
        <f t="shared" si="125"/>
        <v>23685.065960449829</v>
      </c>
      <c r="V214" s="78"/>
      <c r="W214" s="325">
        <f>+N214/M214-1</f>
        <v>-0.26854903327873392</v>
      </c>
      <c r="X214" s="325">
        <f>+O214/N214-1</f>
        <v>0.7704249533878802</v>
      </c>
      <c r="Y214" s="325">
        <f t="shared" ref="Y214" si="126">+P214/O214-1</f>
        <v>0.37654691846178379</v>
      </c>
      <c r="Z214" s="325">
        <f t="shared" ref="Z214" si="127">+Q214/P214-1</f>
        <v>0.25100224831614937</v>
      </c>
      <c r="AA214" s="325">
        <f t="shared" ref="AA214" si="128">+R214/Q214-1</f>
        <v>0.22251553894969134</v>
      </c>
      <c r="AB214" s="325">
        <f t="shared" ref="AB214" si="129">+S214/R214-1</f>
        <v>0.20072657762524737</v>
      </c>
      <c r="AC214" s="325">
        <f t="shared" ref="AC214" si="130">+T214/S214-1</f>
        <v>0.19790690081209039</v>
      </c>
      <c r="AD214" s="325">
        <f t="shared" ref="AD214" si="131">+U214/T214-1</f>
        <v>0.16977872449756704</v>
      </c>
    </row>
    <row r="215" spans="2:50" x14ac:dyDescent="0.25">
      <c r="B215" s="34" t="s">
        <v>391</v>
      </c>
      <c r="C215" s="40"/>
      <c r="D215" s="199">
        <f>+D214/D153</f>
        <v>0.33558926821406382</v>
      </c>
      <c r="E215" s="199">
        <f t="shared" ref="E215:U215" si="132">+E214/E153</f>
        <v>0.38856841891540084</v>
      </c>
      <c r="F215" s="199">
        <f t="shared" si="132"/>
        <v>0.35976340174501176</v>
      </c>
      <c r="G215" s="199">
        <f t="shared" si="132"/>
        <v>9.5367204442797462E-2</v>
      </c>
      <c r="H215" s="199">
        <f t="shared" si="132"/>
        <v>0.30068360654474269</v>
      </c>
      <c r="I215" s="199">
        <f t="shared" si="132"/>
        <v>0.31907572114456412</v>
      </c>
      <c r="J215" s="199">
        <f t="shared" si="132"/>
        <v>0.19525499702832405</v>
      </c>
      <c r="K215" s="199">
        <f t="shared" si="132"/>
        <v>9.0731712327946384E-2</v>
      </c>
      <c r="L215" s="199">
        <f t="shared" si="132"/>
        <v>0.24251753308555724</v>
      </c>
      <c r="M215" s="199">
        <f t="shared" si="132"/>
        <v>0.26315998703419419</v>
      </c>
      <c r="N215" s="199">
        <f>+N214/N153</f>
        <v>0.19885654015919163</v>
      </c>
      <c r="O215" s="199">
        <f t="shared" si="132"/>
        <v>0.29792096804416007</v>
      </c>
      <c r="P215" s="199">
        <f t="shared" si="132"/>
        <v>0.36174905998007351</v>
      </c>
      <c r="Q215" s="199">
        <f t="shared" si="132"/>
        <v>0.40739307001675745</v>
      </c>
      <c r="R215" s="199">
        <f t="shared" si="132"/>
        <v>0.44908424912642192</v>
      </c>
      <c r="S215" s="199">
        <f t="shared" si="132"/>
        <v>0.48710643665129877</v>
      </c>
      <c r="T215" s="199">
        <f t="shared" si="132"/>
        <v>0.52469213191060393</v>
      </c>
      <c r="U215" s="199">
        <f t="shared" si="132"/>
        <v>0.5561428445982598</v>
      </c>
      <c r="V215" s="199"/>
      <c r="W215" s="325">
        <f>+N215/M215-1</f>
        <v>-0.24435115535496343</v>
      </c>
      <c r="X215" s="325">
        <f t="shared" ref="X215" si="133">+O215/N215-1</f>
        <v>0.49817032824600038</v>
      </c>
      <c r="Y215" s="325">
        <f t="shared" ref="Y215" si="134">+P215/O215-1</f>
        <v>0.21424504745316342</v>
      </c>
      <c r="Z215" s="325">
        <f t="shared" ref="Z215" si="135">+Q215/P215-1</f>
        <v>0.1261758912081159</v>
      </c>
      <c r="AA215" s="325">
        <f t="shared" ref="AA215" si="136">+R215/Q215-1</f>
        <v>0.1023364955814039</v>
      </c>
      <c r="AB215" s="325">
        <f t="shared" ref="AB215" si="137">+S215/R215-1</f>
        <v>8.4666045622484587E-2</v>
      </c>
      <c r="AC215" s="325">
        <f t="shared" ref="AC215" si="138">+T215/S215-1</f>
        <v>7.716115499867926E-2</v>
      </c>
      <c r="AD215" s="325">
        <f t="shared" ref="AD215" si="139">+U215/T215-1</f>
        <v>5.994126988931936E-2</v>
      </c>
    </row>
    <row r="216" spans="2:50" x14ac:dyDescent="0.25">
      <c r="B216" s="34" t="s">
        <v>261</v>
      </c>
      <c r="C216" s="40"/>
      <c r="D216" s="199">
        <f>+D211/D119</f>
        <v>0.11386148242496434</v>
      </c>
      <c r="E216" s="199">
        <f t="shared" ref="E216:U216" si="140">+E211/E119</f>
        <v>0.1634154579273556</v>
      </c>
      <c r="F216" s="199">
        <f t="shared" si="140"/>
        <v>2.5059651423815155E-2</v>
      </c>
      <c r="G216" s="199">
        <f t="shared" si="140"/>
        <v>-0.15656932611578692</v>
      </c>
      <c r="H216" s="199">
        <f t="shared" si="140"/>
        <v>0.15056600295150246</v>
      </c>
      <c r="I216" s="199">
        <f t="shared" si="140"/>
        <v>9.9515324730373E-2</v>
      </c>
      <c r="J216" s="199">
        <f t="shared" si="140"/>
        <v>2.8146301669607646E-2</v>
      </c>
      <c r="K216" s="199">
        <f t="shared" si="140"/>
        <v>-5.9529381084245672E-2</v>
      </c>
      <c r="L216" s="199">
        <f t="shared" si="140"/>
        <v>-0.25855716106483989</v>
      </c>
      <c r="M216" s="199">
        <f t="shared" si="140"/>
        <v>4.7643109130466828E-2</v>
      </c>
      <c r="N216" s="199">
        <f>+N211/N119</f>
        <v>3.5685213665913491E-2</v>
      </c>
      <c r="O216" s="199">
        <f t="shared" si="140"/>
        <v>6.7263296313318705E-2</v>
      </c>
      <c r="P216" s="199">
        <f>+P211/P119</f>
        <v>8.8135972750475675E-2</v>
      </c>
      <c r="Q216" s="199">
        <f t="shared" si="140"/>
        <v>9.7156546837834756E-2</v>
      </c>
      <c r="R216" s="199">
        <f t="shared" si="140"/>
        <v>0.10380002983954527</v>
      </c>
      <c r="S216" s="199">
        <f t="shared" si="140"/>
        <v>0.10872772771068712</v>
      </c>
      <c r="T216" s="199">
        <f t="shared" si="140"/>
        <v>0.11379395498263775</v>
      </c>
      <c r="U216" s="199">
        <f t="shared" si="140"/>
        <v>0.1168080905899052</v>
      </c>
      <c r="V216" s="199"/>
    </row>
    <row r="217" spans="2:50" x14ac:dyDescent="0.25">
      <c r="E217" s="146"/>
      <c r="F217" s="146"/>
      <c r="G217" s="146"/>
      <c r="H217" s="146"/>
      <c r="I217" s="146"/>
      <c r="J217" s="146"/>
      <c r="K217" s="146"/>
      <c r="L217" s="146"/>
      <c r="M217" s="146"/>
    </row>
    <row r="218" spans="2:50" x14ac:dyDescent="0.25">
      <c r="B218" s="400" t="s">
        <v>245</v>
      </c>
      <c r="C218" s="400"/>
      <c r="E218" s="146"/>
      <c r="F218" s="146"/>
      <c r="G218" s="146"/>
      <c r="H218" s="146"/>
      <c r="I218" s="146"/>
      <c r="J218" s="146"/>
      <c r="K218" s="146"/>
      <c r="L218" s="146"/>
      <c r="M218" s="146"/>
      <c r="N218" s="401" t="s">
        <v>207</v>
      </c>
      <c r="O218" s="401"/>
      <c r="P218" s="401"/>
      <c r="Q218" s="401"/>
      <c r="R218" s="401"/>
      <c r="S218" s="401"/>
      <c r="T218" s="401"/>
      <c r="U218" s="401"/>
    </row>
    <row r="219" spans="2:50" x14ac:dyDescent="0.25">
      <c r="B219" s="145"/>
      <c r="D219" s="106"/>
      <c r="E219" s="106"/>
      <c r="F219" s="106"/>
      <c r="G219" s="109"/>
      <c r="H219" s="106"/>
      <c r="I219" s="106"/>
      <c r="J219" s="106"/>
      <c r="K219" s="106"/>
      <c r="L219" s="106"/>
      <c r="M219" s="106"/>
      <c r="N219" s="162">
        <v>2013</v>
      </c>
      <c r="O219" s="167">
        <v>2014</v>
      </c>
      <c r="P219" s="162">
        <v>2015</v>
      </c>
      <c r="Q219" s="162">
        <v>2016</v>
      </c>
      <c r="R219" s="162">
        <v>2017</v>
      </c>
      <c r="S219" s="162">
        <v>2018</v>
      </c>
      <c r="T219" s="162">
        <v>2019</v>
      </c>
      <c r="U219" s="162">
        <v>2020</v>
      </c>
    </row>
    <row r="220" spans="2:50" x14ac:dyDescent="0.25">
      <c r="B220" s="156" t="s">
        <v>221</v>
      </c>
      <c r="D220" s="154">
        <f t="shared" ref="D220:U220" si="141">+D157-D175</f>
        <v>1961.79</v>
      </c>
      <c r="E220" s="154">
        <f t="shared" si="141"/>
        <v>2945.5699999999997</v>
      </c>
      <c r="F220" s="154">
        <f t="shared" si="141"/>
        <v>2587.62</v>
      </c>
      <c r="G220" s="154">
        <f t="shared" si="141"/>
        <v>-1574.7640000000001</v>
      </c>
      <c r="H220" s="154">
        <f t="shared" si="141"/>
        <v>2483.6399999999994</v>
      </c>
      <c r="I220" s="154">
        <f t="shared" si="141"/>
        <v>4734.3499999999985</v>
      </c>
      <c r="J220" s="154">
        <f t="shared" si="141"/>
        <v>1679.3999999999978</v>
      </c>
      <c r="K220" s="154">
        <f t="shared" si="141"/>
        <v>-783.97999999999956</v>
      </c>
      <c r="L220" s="154">
        <f t="shared" si="141"/>
        <v>842.72000000000116</v>
      </c>
      <c r="M220" s="39">
        <f t="shared" si="141"/>
        <v>3164.2299999999996</v>
      </c>
      <c r="N220" s="39">
        <f t="shared" si="141"/>
        <v>1896.3194305879188</v>
      </c>
      <c r="O220" s="39">
        <f t="shared" si="141"/>
        <v>4739.1068729584949</v>
      </c>
      <c r="P220" s="39">
        <f t="shared" si="141"/>
        <v>7197.3047724634453</v>
      </c>
      <c r="Q220" s="39">
        <f t="shared" si="141"/>
        <v>9444.5871930645335</v>
      </c>
      <c r="R220" s="39">
        <f t="shared" si="141"/>
        <v>11942.596485264537</v>
      </c>
      <c r="S220" s="39">
        <f t="shared" si="141"/>
        <v>14702.876364109681</v>
      </c>
      <c r="T220" s="39">
        <f t="shared" si="141"/>
        <v>17980.668883369079</v>
      </c>
      <c r="U220" s="39">
        <f t="shared" si="141"/>
        <v>21348.895153184061</v>
      </c>
      <c r="V220" s="39"/>
    </row>
    <row r="221" spans="2:50" x14ac:dyDescent="0.25">
      <c r="B221" s="145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</row>
    <row r="222" spans="2:50" x14ac:dyDescent="0.25">
      <c r="B222" s="145" t="s">
        <v>230</v>
      </c>
      <c r="D222" s="149"/>
      <c r="E222" s="150">
        <f>+E237</f>
        <v>853.43227405377013</v>
      </c>
      <c r="F222" s="150">
        <f t="shared" ref="F222:L222" si="142">+F237</f>
        <v>1781.1630926942505</v>
      </c>
      <c r="G222" s="150">
        <f t="shared" si="142"/>
        <v>305.07563553670559</v>
      </c>
      <c r="H222" s="150">
        <f t="shared" si="142"/>
        <v>401.24216712238638</v>
      </c>
      <c r="I222" s="150">
        <f t="shared" si="142"/>
        <v>1633.0505213034387</v>
      </c>
      <c r="J222" s="150">
        <f t="shared" si="142"/>
        <v>766.98364102734934</v>
      </c>
      <c r="K222" s="150">
        <f t="shared" si="142"/>
        <v>71.240326646901849</v>
      </c>
      <c r="L222" s="150">
        <f t="shared" si="142"/>
        <v>-225.02667605362035</v>
      </c>
      <c r="M222" s="146">
        <f t="shared" ref="M222:R222" si="143">+M237</f>
        <v>1568.3728209125893</v>
      </c>
      <c r="N222" s="146">
        <f t="shared" si="143"/>
        <v>625.78541209401351</v>
      </c>
      <c r="O222" s="146">
        <f t="shared" si="143"/>
        <v>1563.9052680763034</v>
      </c>
      <c r="P222" s="146">
        <f t="shared" si="143"/>
        <v>2375.110574912937</v>
      </c>
      <c r="Q222" s="146">
        <f t="shared" si="143"/>
        <v>3116.7137737112971</v>
      </c>
      <c r="R222" s="146">
        <f t="shared" si="143"/>
        <v>3941.0568401372975</v>
      </c>
      <c r="S222" s="146">
        <f>+S237</f>
        <v>4851.9492001561957</v>
      </c>
      <c r="T222" s="146">
        <f>+T237</f>
        <v>5933.6207315117954</v>
      </c>
      <c r="U222" s="146">
        <f>+U237</f>
        <v>7045.1354005507401</v>
      </c>
      <c r="V222" s="146"/>
    </row>
    <row r="223" spans="2:50" x14ac:dyDescent="0.25">
      <c r="B223" s="145" t="s">
        <v>402</v>
      </c>
      <c r="D223" s="149"/>
      <c r="E223" s="150">
        <f t="shared" ref="E223:L223" si="144">+E225+E224</f>
        <v>626.72</v>
      </c>
      <c r="F223" s="150">
        <f t="shared" si="144"/>
        <v>-2.3100000000000591</v>
      </c>
      <c r="G223" s="150">
        <f t="shared" si="144"/>
        <v>-458.05999999999995</v>
      </c>
      <c r="H223" s="150">
        <f t="shared" si="144"/>
        <v>351.49</v>
      </c>
      <c r="I223" s="150">
        <f t="shared" si="144"/>
        <v>1713.9299999999998</v>
      </c>
      <c r="J223" s="150">
        <f t="shared" si="144"/>
        <v>-1439.29</v>
      </c>
      <c r="K223" s="150">
        <f t="shared" si="144"/>
        <v>-1007.92</v>
      </c>
      <c r="L223" s="150">
        <f t="shared" si="144"/>
        <v>733.75</v>
      </c>
      <c r="M223" s="146">
        <f t="shared" ref="M223:R223" si="145">+M225+M224</f>
        <v>764.46</v>
      </c>
      <c r="N223" s="146">
        <f t="shared" si="145"/>
        <v>-774.54803122640158</v>
      </c>
      <c r="O223" s="146">
        <f t="shared" si="145"/>
        <v>59.610374165691724</v>
      </c>
      <c r="P223" s="146">
        <f t="shared" si="145"/>
        <v>51.429276724880765</v>
      </c>
      <c r="Q223" s="146">
        <f t="shared" si="145"/>
        <v>25.386070259841176</v>
      </c>
      <c r="R223" s="146">
        <f t="shared" si="145"/>
        <v>16.709051230340719</v>
      </c>
      <c r="S223" s="146">
        <f>+S225+S224</f>
        <v>8.584006282354153</v>
      </c>
      <c r="T223" s="146">
        <f>+T225+T224</f>
        <v>0.15292912455049645</v>
      </c>
      <c r="U223" s="146">
        <f>+U225+U224</f>
        <v>-6.2086745367486174</v>
      </c>
      <c r="V223" s="146"/>
    </row>
    <row r="224" spans="2:50" x14ac:dyDescent="0.25">
      <c r="B224" s="145" t="s">
        <v>228</v>
      </c>
      <c r="D224" s="149"/>
      <c r="E224" s="150">
        <f t="shared" ref="E224:U224" si="146">+D49-E49</f>
        <v>361.71000000000004</v>
      </c>
      <c r="F224" s="150">
        <f t="shared" si="146"/>
        <v>271.88</v>
      </c>
      <c r="G224" s="150">
        <f t="shared" si="146"/>
        <v>654.75</v>
      </c>
      <c r="H224" s="150">
        <f t="shared" si="146"/>
        <v>67.319999999999993</v>
      </c>
      <c r="I224" s="150">
        <f t="shared" si="146"/>
        <v>0</v>
      </c>
      <c r="J224" s="150">
        <f t="shared" si="146"/>
        <v>0</v>
      </c>
      <c r="K224" s="150">
        <f t="shared" si="146"/>
        <v>-449.11</v>
      </c>
      <c r="L224" s="150">
        <f t="shared" si="146"/>
        <v>-78.42999999999995</v>
      </c>
      <c r="M224" s="146">
        <f t="shared" si="146"/>
        <v>436.94999999999993</v>
      </c>
      <c r="N224" s="146">
        <f t="shared" si="146"/>
        <v>-273.41168351036629</v>
      </c>
      <c r="O224" s="146">
        <f t="shared" si="146"/>
        <v>-27.708835578599292</v>
      </c>
      <c r="P224" s="146">
        <f t="shared" si="146"/>
        <v>-38.561900837585313</v>
      </c>
      <c r="Q224" s="146">
        <f t="shared" si="146"/>
        <v>-67.430830278086319</v>
      </c>
      <c r="R224" s="146">
        <f t="shared" si="146"/>
        <v>-78.985173224262667</v>
      </c>
      <c r="S224" s="146">
        <f t="shared" si="146"/>
        <v>-90.038461440560013</v>
      </c>
      <c r="T224" s="146">
        <f t="shared" si="146"/>
        <v>-101.4873861106845</v>
      </c>
      <c r="U224" s="146">
        <f t="shared" si="146"/>
        <v>-110.95918341818231</v>
      </c>
      <c r="V224" s="146"/>
    </row>
    <row r="225" spans="2:22" x14ac:dyDescent="0.25">
      <c r="B225" s="145" t="s">
        <v>229</v>
      </c>
      <c r="D225" s="149"/>
      <c r="E225" s="150">
        <f t="shared" ref="E225:U225" si="147">+(E95-D95)+(E107-D107)</f>
        <v>265.01</v>
      </c>
      <c r="F225" s="150">
        <f t="shared" si="147"/>
        <v>-274.19000000000005</v>
      </c>
      <c r="G225" s="150">
        <f t="shared" si="147"/>
        <v>-1112.81</v>
      </c>
      <c r="H225" s="150">
        <f t="shared" si="147"/>
        <v>284.17</v>
      </c>
      <c r="I225" s="150">
        <f t="shared" si="147"/>
        <v>1713.9299999999998</v>
      </c>
      <c r="J225" s="150">
        <f t="shared" si="147"/>
        <v>-1439.29</v>
      </c>
      <c r="K225" s="150">
        <f t="shared" si="147"/>
        <v>-558.80999999999995</v>
      </c>
      <c r="L225" s="150">
        <f t="shared" si="147"/>
        <v>812.18</v>
      </c>
      <c r="M225" s="146">
        <f t="shared" si="147"/>
        <v>327.5100000000001</v>
      </c>
      <c r="N225" s="146">
        <f t="shared" si="147"/>
        <v>-501.13634771603529</v>
      </c>
      <c r="O225" s="146">
        <f t="shared" si="147"/>
        <v>87.319209744291015</v>
      </c>
      <c r="P225" s="146">
        <f t="shared" si="147"/>
        <v>89.991177562466078</v>
      </c>
      <c r="Q225" s="146">
        <f t="shared" si="147"/>
        <v>92.816900537927495</v>
      </c>
      <c r="R225" s="146">
        <f t="shared" si="147"/>
        <v>95.694224454603386</v>
      </c>
      <c r="S225" s="146">
        <f t="shared" si="147"/>
        <v>98.622467722914166</v>
      </c>
      <c r="T225" s="146">
        <f t="shared" si="147"/>
        <v>101.64031523523499</v>
      </c>
      <c r="U225" s="146">
        <f t="shared" si="147"/>
        <v>104.75050888143369</v>
      </c>
      <c r="V225" s="146"/>
    </row>
    <row r="226" spans="2:22" x14ac:dyDescent="0.25">
      <c r="B226" s="145"/>
      <c r="D226" s="149"/>
      <c r="E226" s="150"/>
      <c r="F226" s="150"/>
      <c r="G226" s="150"/>
      <c r="H226" s="150"/>
      <c r="I226" s="150"/>
      <c r="J226" s="150"/>
      <c r="K226" s="150"/>
      <c r="L226" s="150"/>
      <c r="M226" s="146"/>
    </row>
    <row r="227" spans="2:22" x14ac:dyDescent="0.25">
      <c r="B227" s="156" t="s">
        <v>237</v>
      </c>
      <c r="D227" s="149"/>
      <c r="E227" s="150">
        <f>+E220-E222+E223</f>
        <v>2718.8577259462299</v>
      </c>
      <c r="F227" s="150">
        <f t="shared" ref="F227:L227" si="148">+F220-F222+F223</f>
        <v>804.14690730574932</v>
      </c>
      <c r="G227" s="150">
        <f t="shared" si="148"/>
        <v>-2337.8996355367058</v>
      </c>
      <c r="H227" s="150">
        <f t="shared" si="148"/>
        <v>2433.8878328776127</v>
      </c>
      <c r="I227" s="150">
        <f t="shared" si="148"/>
        <v>4815.2294786965595</v>
      </c>
      <c r="J227" s="150">
        <f t="shared" si="148"/>
        <v>-526.87364102735148</v>
      </c>
      <c r="K227" s="150">
        <f t="shared" si="148"/>
        <v>-1863.1403266469015</v>
      </c>
      <c r="L227" s="150">
        <f t="shared" si="148"/>
        <v>1801.4966760536215</v>
      </c>
      <c r="M227" s="155">
        <f t="shared" ref="M227:R227" si="149">+M220-M222+M223</f>
        <v>2360.3171790874103</v>
      </c>
      <c r="N227" s="155">
        <f t="shared" si="149"/>
        <v>495.98598726750367</v>
      </c>
      <c r="O227" s="155">
        <f t="shared" si="149"/>
        <v>3234.8119790478831</v>
      </c>
      <c r="P227" s="155">
        <f t="shared" si="149"/>
        <v>4873.6234742753895</v>
      </c>
      <c r="Q227" s="155">
        <f t="shared" si="149"/>
        <v>6353.2594896130777</v>
      </c>
      <c r="R227" s="155">
        <f t="shared" si="149"/>
        <v>8018.2486963575811</v>
      </c>
      <c r="S227" s="155">
        <f>+S220-S222+S223</f>
        <v>9859.511170235839</v>
      </c>
      <c r="T227" s="155">
        <f>+T220-T222+T223</f>
        <v>12047.201080981833</v>
      </c>
      <c r="U227" s="155">
        <f>+U220-U222+U223</f>
        <v>14297.551078096572</v>
      </c>
      <c r="V227" s="155"/>
    </row>
    <row r="228" spans="2:22" x14ac:dyDescent="0.25">
      <c r="B228" s="145"/>
      <c r="D228" s="149"/>
      <c r="E228" s="150"/>
      <c r="F228" s="150"/>
      <c r="G228" s="150"/>
      <c r="H228" s="150"/>
      <c r="I228" s="150"/>
      <c r="J228" s="150"/>
      <c r="K228" s="150"/>
      <c r="L228" s="150"/>
      <c r="M228" s="146">
        <f t="shared" ref="M228:R228" si="150">+M220*(1-M231)</f>
        <v>1727.2470893381469</v>
      </c>
      <c r="N228" s="146">
        <f t="shared" si="150"/>
        <v>1270.5340184939055</v>
      </c>
      <c r="O228" s="146">
        <f t="shared" si="150"/>
        <v>3175.2016048821911</v>
      </c>
      <c r="P228" s="146">
        <f t="shared" si="150"/>
        <v>4822.1941975505079</v>
      </c>
      <c r="Q228" s="146">
        <f t="shared" si="150"/>
        <v>6327.8734193532364</v>
      </c>
      <c r="R228" s="146">
        <f t="shared" si="150"/>
        <v>8001.5396451272391</v>
      </c>
      <c r="S228" s="146">
        <f>+S220*(1-S231)</f>
        <v>9850.9271639534854</v>
      </c>
      <c r="T228" s="146">
        <f>+T220*(1-T231)</f>
        <v>12047.048151857281</v>
      </c>
      <c r="U228" s="146">
        <f>+U220*(1-U231)</f>
        <v>14303.759752633319</v>
      </c>
      <c r="V228" s="146"/>
    </row>
    <row r="229" spans="2:22" x14ac:dyDescent="0.25">
      <c r="B229" s="145" t="s">
        <v>233</v>
      </c>
      <c r="D229" s="149"/>
      <c r="E229" s="150">
        <f t="shared" ref="E229:U229" si="151">+(E153-E197)+(E160-E175)</f>
        <v>4739.07</v>
      </c>
      <c r="F229" s="150">
        <f t="shared" si="151"/>
        <v>1593.9499999999998</v>
      </c>
      <c r="G229" s="150">
        <f t="shared" si="151"/>
        <v>-2287.5389999999998</v>
      </c>
      <c r="H229" s="150">
        <f t="shared" si="151"/>
        <v>6019.7799999999988</v>
      </c>
      <c r="I229" s="150">
        <f t="shared" si="151"/>
        <v>8845.52</v>
      </c>
      <c r="J229" s="150">
        <f t="shared" si="151"/>
        <v>3302.09</v>
      </c>
      <c r="K229" s="150">
        <f t="shared" si="151"/>
        <v>-2944.769999999995</v>
      </c>
      <c r="L229" s="150">
        <f t="shared" si="151"/>
        <v>-10986.880000000001</v>
      </c>
      <c r="M229" s="146">
        <f t="shared" si="151"/>
        <v>4451.2900000000009</v>
      </c>
      <c r="N229" s="161">
        <f t="shared" si="151"/>
        <v>2816.8705705879202</v>
      </c>
      <c r="O229" s="146">
        <f t="shared" si="151"/>
        <v>5692.4296335424951</v>
      </c>
      <c r="P229" s="146">
        <f t="shared" si="151"/>
        <v>8179.7992095213158</v>
      </c>
      <c r="Q229" s="146">
        <f t="shared" si="151"/>
        <v>10457.931955446023</v>
      </c>
      <c r="R229" s="146">
        <f t="shared" si="151"/>
        <v>12987.354935279851</v>
      </c>
      <c r="S229" s="146">
        <f t="shared" si="151"/>
        <v>15779.604422695465</v>
      </c>
      <c r="T229" s="146">
        <f t="shared" si="151"/>
        <v>19090.344820547583</v>
      </c>
      <c r="U229" s="146">
        <f t="shared" si="151"/>
        <v>22492.527174040231</v>
      </c>
      <c r="V229" s="146"/>
    </row>
    <row r="230" spans="2:22" x14ac:dyDescent="0.25">
      <c r="B230" s="145" t="s">
        <v>403</v>
      </c>
      <c r="D230" s="149"/>
      <c r="E230" s="150">
        <f t="shared" ref="E230:U230" si="152">+E229-E209</f>
        <v>3377.1699999999996</v>
      </c>
      <c r="F230" s="150">
        <f t="shared" si="152"/>
        <v>496.76999999999975</v>
      </c>
      <c r="G230" s="150">
        <f t="shared" si="152"/>
        <v>-2730.6989999999996</v>
      </c>
      <c r="H230" s="150">
        <f t="shared" si="152"/>
        <v>5047.2599999999984</v>
      </c>
      <c r="I230" s="150">
        <f t="shared" si="152"/>
        <v>5803.68</v>
      </c>
      <c r="J230" s="150">
        <f t="shared" si="152"/>
        <v>1914.5500000000002</v>
      </c>
      <c r="K230" s="150">
        <f t="shared" si="152"/>
        <v>-3656.8999999999951</v>
      </c>
      <c r="L230" s="150">
        <f t="shared" si="152"/>
        <v>-12541.010000000002</v>
      </c>
      <c r="M230" s="146">
        <f t="shared" si="152"/>
        <v>2429.8100000000009</v>
      </c>
      <c r="N230" s="146">
        <f t="shared" si="152"/>
        <v>1887.3032822939065</v>
      </c>
      <c r="O230" s="146">
        <f t="shared" si="152"/>
        <v>3813.9278544734716</v>
      </c>
      <c r="P230" s="146">
        <f t="shared" si="152"/>
        <v>5480.4654703792821</v>
      </c>
      <c r="Q230" s="146">
        <f t="shared" si="152"/>
        <v>7006.814410148836</v>
      </c>
      <c r="R230" s="146">
        <f t="shared" si="152"/>
        <v>8701.5278066374995</v>
      </c>
      <c r="S230" s="146">
        <f t="shared" si="152"/>
        <v>10572.334963205962</v>
      </c>
      <c r="T230" s="146">
        <f t="shared" si="152"/>
        <v>12790.53102976688</v>
      </c>
      <c r="U230" s="146">
        <f t="shared" si="152"/>
        <v>15069.993206606956</v>
      </c>
      <c r="V230" s="146"/>
    </row>
    <row r="231" spans="2:22" x14ac:dyDescent="0.25">
      <c r="B231" s="145" t="s">
        <v>232</v>
      </c>
      <c r="D231" s="149"/>
      <c r="E231" s="151">
        <f t="shared" ref="E231:U231" si="153">+E209/E229</f>
        <v>0.28737705921203954</v>
      </c>
      <c r="F231" s="151">
        <f t="shared" si="153"/>
        <v>0.68834028670911895</v>
      </c>
      <c r="G231" s="151">
        <f t="shared" si="153"/>
        <v>-0.19372784464002585</v>
      </c>
      <c r="H231" s="151">
        <f t="shared" si="153"/>
        <v>0.16155407672705649</v>
      </c>
      <c r="I231" s="151">
        <f t="shared" si="153"/>
        <v>0.34388481400754278</v>
      </c>
      <c r="J231" s="151">
        <f t="shared" si="153"/>
        <v>0.42020053965821641</v>
      </c>
      <c r="K231" s="151">
        <f t="shared" si="153"/>
        <v>-0.24182873365322291</v>
      </c>
      <c r="L231" s="151">
        <f t="shared" si="153"/>
        <v>-0.1414532606162987</v>
      </c>
      <c r="M231" s="110">
        <f t="shared" si="153"/>
        <v>0.45413352084451913</v>
      </c>
      <c r="N231" s="110">
        <f t="shared" si="153"/>
        <v>0.33</v>
      </c>
      <c r="O231" s="110">
        <f t="shared" si="153"/>
        <v>0.33</v>
      </c>
      <c r="P231" s="110">
        <f t="shared" si="153"/>
        <v>0.33</v>
      </c>
      <c r="Q231" s="110">
        <f t="shared" si="153"/>
        <v>0.33</v>
      </c>
      <c r="R231" s="110">
        <f t="shared" si="153"/>
        <v>0.33000000000000007</v>
      </c>
      <c r="S231" s="110">
        <f t="shared" si="153"/>
        <v>0.33</v>
      </c>
      <c r="T231" s="110">
        <f t="shared" si="153"/>
        <v>0.33</v>
      </c>
      <c r="U231" s="110">
        <f t="shared" si="153"/>
        <v>0.33</v>
      </c>
      <c r="V231" s="110"/>
    </row>
    <row r="232" spans="2:22" x14ac:dyDescent="0.25">
      <c r="B232" s="145"/>
      <c r="D232" s="149"/>
      <c r="E232" s="151"/>
      <c r="F232" s="151"/>
      <c r="G232" s="151"/>
      <c r="H232" s="151"/>
      <c r="I232" s="151"/>
      <c r="J232" s="151"/>
      <c r="K232" s="151"/>
      <c r="L232" s="151"/>
      <c r="M232" s="110"/>
    </row>
    <row r="233" spans="2:22" x14ac:dyDescent="0.25">
      <c r="B233" s="145" t="s">
        <v>231</v>
      </c>
      <c r="D233" s="149"/>
      <c r="E233" s="152">
        <f t="shared" ref="E233:U233" si="154">+E209</f>
        <v>1361.9</v>
      </c>
      <c r="F233" s="152">
        <f t="shared" si="154"/>
        <v>1097.18</v>
      </c>
      <c r="G233" s="152">
        <f t="shared" si="154"/>
        <v>443.16</v>
      </c>
      <c r="H233" s="152">
        <f t="shared" si="154"/>
        <v>972.52</v>
      </c>
      <c r="I233" s="152">
        <f t="shared" si="154"/>
        <v>3041.84</v>
      </c>
      <c r="J233" s="152">
        <f t="shared" si="154"/>
        <v>1387.54</v>
      </c>
      <c r="K233" s="152">
        <f t="shared" si="154"/>
        <v>712.13</v>
      </c>
      <c r="L233" s="152">
        <f t="shared" si="154"/>
        <v>1554.13</v>
      </c>
      <c r="M233" s="148">
        <f t="shared" si="154"/>
        <v>2021.48</v>
      </c>
      <c r="N233" s="148">
        <f t="shared" si="154"/>
        <v>929.56728829401368</v>
      </c>
      <c r="O233" s="148">
        <f t="shared" si="154"/>
        <v>1878.5017790690235</v>
      </c>
      <c r="P233" s="148">
        <f t="shared" si="154"/>
        <v>2699.3337391420341</v>
      </c>
      <c r="Q233" s="148">
        <f t="shared" si="154"/>
        <v>3451.1175452971879</v>
      </c>
      <c r="R233" s="148">
        <f t="shared" si="154"/>
        <v>4285.8271286423515</v>
      </c>
      <c r="S233" s="148">
        <f t="shared" si="154"/>
        <v>5207.2694594895038</v>
      </c>
      <c r="T233" s="148">
        <f t="shared" si="154"/>
        <v>6299.8137907807031</v>
      </c>
      <c r="U233" s="148">
        <f t="shared" si="154"/>
        <v>7422.5339674332763</v>
      </c>
      <c r="V233" s="148"/>
    </row>
    <row r="234" spans="2:22" x14ac:dyDescent="0.25">
      <c r="B234" s="145" t="s">
        <v>234</v>
      </c>
      <c r="D234" s="149"/>
      <c r="E234" s="153">
        <f t="shared" ref="E234:U234" si="155">+E209</f>
        <v>1361.9</v>
      </c>
      <c r="F234" s="153">
        <f t="shared" si="155"/>
        <v>1097.18</v>
      </c>
      <c r="G234" s="153">
        <f t="shared" si="155"/>
        <v>443.16</v>
      </c>
      <c r="H234" s="153">
        <f t="shared" si="155"/>
        <v>972.52</v>
      </c>
      <c r="I234" s="153">
        <f t="shared" si="155"/>
        <v>3041.84</v>
      </c>
      <c r="J234" s="153">
        <f t="shared" si="155"/>
        <v>1387.54</v>
      </c>
      <c r="K234" s="153">
        <f t="shared" si="155"/>
        <v>712.13</v>
      </c>
      <c r="L234" s="153">
        <f t="shared" si="155"/>
        <v>1554.13</v>
      </c>
      <c r="M234" s="106">
        <f t="shared" si="155"/>
        <v>2021.48</v>
      </c>
      <c r="N234" s="106">
        <f t="shared" si="155"/>
        <v>929.56728829401368</v>
      </c>
      <c r="O234" s="106">
        <f t="shared" si="155"/>
        <v>1878.5017790690235</v>
      </c>
      <c r="P234" s="106">
        <f t="shared" si="155"/>
        <v>2699.3337391420341</v>
      </c>
      <c r="Q234" s="106">
        <f t="shared" si="155"/>
        <v>3451.1175452971879</v>
      </c>
      <c r="R234" s="106">
        <f t="shared" si="155"/>
        <v>4285.8271286423515</v>
      </c>
      <c r="S234" s="106">
        <f t="shared" si="155"/>
        <v>5207.2694594895038</v>
      </c>
      <c r="T234" s="106">
        <f t="shared" si="155"/>
        <v>6299.8137907807031</v>
      </c>
      <c r="U234" s="106">
        <f t="shared" si="155"/>
        <v>7422.5339674332763</v>
      </c>
      <c r="V234" s="106"/>
    </row>
    <row r="235" spans="2:22" x14ac:dyDescent="0.25">
      <c r="B235" s="145" t="s">
        <v>235</v>
      </c>
      <c r="D235" s="149"/>
      <c r="E235" s="150">
        <f t="shared" ref="E235:U235" si="156">+E231*E160</f>
        <v>578.75728085890273</v>
      </c>
      <c r="F235" s="150">
        <f t="shared" si="156"/>
        <v>690.21945569183481</v>
      </c>
      <c r="G235" s="150">
        <f t="shared" si="156"/>
        <v>-216.95290729469534</v>
      </c>
      <c r="H235" s="150">
        <f t="shared" si="156"/>
        <v>588.29755486080899</v>
      </c>
      <c r="I235" s="150">
        <f t="shared" si="156"/>
        <v>1453.6389361394245</v>
      </c>
      <c r="J235" s="150">
        <f t="shared" si="156"/>
        <v>1257.8030833805255</v>
      </c>
      <c r="K235" s="150">
        <f t="shared" si="156"/>
        <v>-467.31468148616096</v>
      </c>
      <c r="L235" s="150">
        <f t="shared" si="156"/>
        <v>-233.29179007143068</v>
      </c>
      <c r="M235" s="146">
        <f t="shared" si="156"/>
        <v>881.7501854069269</v>
      </c>
      <c r="N235" s="146">
        <f t="shared" si="156"/>
        <v>623.3573808000001</v>
      </c>
      <c r="O235" s="146">
        <f t="shared" si="156"/>
        <v>645.54890355648013</v>
      </c>
      <c r="P235" s="146">
        <f t="shared" si="156"/>
        <v>665.30270000530834</v>
      </c>
      <c r="Q235" s="146">
        <f t="shared" si="156"/>
        <v>686.19320478547513</v>
      </c>
      <c r="R235" s="146">
        <f t="shared" si="156"/>
        <v>707.46519413382498</v>
      </c>
      <c r="S235" s="146">
        <f t="shared" si="156"/>
        <v>729.11362907431987</v>
      </c>
      <c r="T235" s="146">
        <f t="shared" si="156"/>
        <v>751.42450612399409</v>
      </c>
      <c r="U235" s="146">
        <f t="shared" si="156"/>
        <v>774.41809601138834</v>
      </c>
      <c r="V235" s="146"/>
    </row>
    <row r="236" spans="2:22" x14ac:dyDescent="0.25">
      <c r="B236" s="145" t="s">
        <v>236</v>
      </c>
      <c r="D236" s="149"/>
      <c r="E236" s="150">
        <f t="shared" ref="E236:U236" si="157">+E231*E197</f>
        <v>70.289554912672756</v>
      </c>
      <c r="F236" s="150">
        <f t="shared" si="157"/>
        <v>1374.2025483860853</v>
      </c>
      <c r="G236" s="150">
        <f t="shared" si="157"/>
        <v>-355.03727175798974</v>
      </c>
      <c r="H236" s="150">
        <f t="shared" si="157"/>
        <v>17.019721983195403</v>
      </c>
      <c r="I236" s="150">
        <f t="shared" si="157"/>
        <v>44.849457442863013</v>
      </c>
      <c r="J236" s="150">
        <f t="shared" si="157"/>
        <v>637.24672440787492</v>
      </c>
      <c r="K236" s="150">
        <f t="shared" si="157"/>
        <v>-1108.2043548392592</v>
      </c>
      <c r="L236" s="150">
        <f t="shared" si="157"/>
        <v>-2012.448466125051</v>
      </c>
      <c r="M236" s="146">
        <f t="shared" si="157"/>
        <v>428.6430063195163</v>
      </c>
      <c r="N236" s="146">
        <f t="shared" si="157"/>
        <v>319.57550459999999</v>
      </c>
      <c r="O236" s="146">
        <f t="shared" si="157"/>
        <v>330.95239256376004</v>
      </c>
      <c r="P236" s="146">
        <f t="shared" si="157"/>
        <v>341.07953577621112</v>
      </c>
      <c r="Q236" s="146">
        <f t="shared" si="157"/>
        <v>351.78943319958421</v>
      </c>
      <c r="R236" s="146">
        <f t="shared" si="157"/>
        <v>362.69490562877132</v>
      </c>
      <c r="S236" s="146">
        <f t="shared" si="157"/>
        <v>373.79336974101159</v>
      </c>
      <c r="T236" s="146">
        <f t="shared" si="157"/>
        <v>385.23144685508652</v>
      </c>
      <c r="U236" s="146">
        <f t="shared" si="157"/>
        <v>397.01952912885218</v>
      </c>
      <c r="V236" s="146"/>
    </row>
    <row r="237" spans="2:22" x14ac:dyDescent="0.25">
      <c r="B237" s="145" t="s">
        <v>230</v>
      </c>
      <c r="D237" s="149"/>
      <c r="E237" s="150">
        <f>+E234-E235+E236</f>
        <v>853.43227405377013</v>
      </c>
      <c r="F237" s="150">
        <f t="shared" ref="F237:L237" si="158">+F234-F235+F236</f>
        <v>1781.1630926942505</v>
      </c>
      <c r="G237" s="150">
        <f t="shared" si="158"/>
        <v>305.07563553670559</v>
      </c>
      <c r="H237" s="150">
        <f t="shared" si="158"/>
        <v>401.24216712238638</v>
      </c>
      <c r="I237" s="150">
        <f t="shared" si="158"/>
        <v>1633.0505213034387</v>
      </c>
      <c r="J237" s="150">
        <f t="shared" si="158"/>
        <v>766.98364102734934</v>
      </c>
      <c r="K237" s="150">
        <f t="shared" si="158"/>
        <v>71.240326646901849</v>
      </c>
      <c r="L237" s="150">
        <f t="shared" si="158"/>
        <v>-225.02667605362035</v>
      </c>
      <c r="M237" s="146">
        <f t="shared" ref="M237:R237" si="159">+M234-M235+M236</f>
        <v>1568.3728209125893</v>
      </c>
      <c r="N237" s="146">
        <f t="shared" si="159"/>
        <v>625.78541209401351</v>
      </c>
      <c r="O237" s="146">
        <f t="shared" si="159"/>
        <v>1563.9052680763034</v>
      </c>
      <c r="P237" s="146">
        <f t="shared" si="159"/>
        <v>2375.110574912937</v>
      </c>
      <c r="Q237" s="146">
        <f t="shared" si="159"/>
        <v>3116.7137737112971</v>
      </c>
      <c r="R237" s="146">
        <f t="shared" si="159"/>
        <v>3941.0568401372975</v>
      </c>
      <c r="S237" s="146">
        <f>+S234-S235+S236</f>
        <v>4851.9492001561957</v>
      </c>
      <c r="T237" s="146">
        <f>+T234-T235+T236</f>
        <v>5933.6207315117954</v>
      </c>
      <c r="U237" s="146">
        <f>+U234-U235+U236</f>
        <v>7045.1354005507401</v>
      </c>
      <c r="V237" s="146"/>
    </row>
    <row r="239" spans="2:22" x14ac:dyDescent="0.25">
      <c r="B239" s="399" t="s">
        <v>246</v>
      </c>
      <c r="C239" s="399"/>
    </row>
    <row r="241" spans="2:31" x14ac:dyDescent="0.25">
      <c r="B241" s="197" t="s">
        <v>247</v>
      </c>
      <c r="H241" s="106"/>
      <c r="I241" s="106"/>
      <c r="J241" s="106"/>
      <c r="M241" s="106">
        <f t="shared" ref="M241:U241" si="160">+M227</f>
        <v>2360.3171790874103</v>
      </c>
      <c r="N241" s="106">
        <f t="shared" si="160"/>
        <v>495.98598726750367</v>
      </c>
      <c r="O241" s="106">
        <f t="shared" si="160"/>
        <v>3234.8119790478831</v>
      </c>
      <c r="P241" s="106">
        <f t="shared" si="160"/>
        <v>4873.6234742753895</v>
      </c>
      <c r="Q241" s="106">
        <f t="shared" si="160"/>
        <v>6353.2594896130777</v>
      </c>
      <c r="R241" s="106">
        <f t="shared" si="160"/>
        <v>8018.2486963575811</v>
      </c>
      <c r="S241" s="106">
        <f t="shared" si="160"/>
        <v>9859.511170235839</v>
      </c>
      <c r="T241" s="106">
        <f t="shared" si="160"/>
        <v>12047.201080981833</v>
      </c>
      <c r="U241" s="106">
        <f t="shared" si="160"/>
        <v>14297.551078096572</v>
      </c>
      <c r="V241" s="106"/>
    </row>
    <row r="242" spans="2:31" x14ac:dyDescent="0.25">
      <c r="B242" s="197" t="s">
        <v>248</v>
      </c>
      <c r="H242" s="106"/>
      <c r="I242" s="106"/>
      <c r="J242" s="106"/>
      <c r="M242" s="106">
        <f t="shared" ref="M242:U242" si="161">+M193</f>
        <v>430.83</v>
      </c>
      <c r="N242" s="106">
        <f t="shared" si="161"/>
        <v>444.13158000000004</v>
      </c>
      <c r="O242" s="106">
        <f t="shared" si="161"/>
        <v>459.94266424800009</v>
      </c>
      <c r="P242" s="106">
        <f t="shared" si="161"/>
        <v>474.01690977398886</v>
      </c>
      <c r="Q242" s="106">
        <f t="shared" si="161"/>
        <v>488.90104074089214</v>
      </c>
      <c r="R242" s="106">
        <f t="shared" si="161"/>
        <v>504.05697300385975</v>
      </c>
      <c r="S242" s="106">
        <f t="shared" si="161"/>
        <v>519.48111637777788</v>
      </c>
      <c r="T242" s="106">
        <f t="shared" si="161"/>
        <v>535.37723853893783</v>
      </c>
      <c r="U242" s="106">
        <f t="shared" si="161"/>
        <v>551.75978203822933</v>
      </c>
      <c r="V242" s="106"/>
    </row>
    <row r="243" spans="2:31" x14ac:dyDescent="0.25">
      <c r="B243" s="197" t="s">
        <v>249</v>
      </c>
      <c r="H243" s="106"/>
      <c r="I243" s="106"/>
      <c r="J243" s="106"/>
      <c r="M243" s="106">
        <f t="shared" ref="M243:U243" si="162">+M194</f>
        <v>680.29</v>
      </c>
      <c r="N243" s="106">
        <f t="shared" si="162"/>
        <v>717.97753999999998</v>
      </c>
      <c r="O243" s="106">
        <f t="shared" si="162"/>
        <v>743.53754042399999</v>
      </c>
      <c r="P243" s="106">
        <f t="shared" si="162"/>
        <v>766.28978916097435</v>
      </c>
      <c r="Q243" s="106">
        <f t="shared" si="162"/>
        <v>790.35128854062907</v>
      </c>
      <c r="R243" s="106">
        <f t="shared" si="162"/>
        <v>814.85217848538855</v>
      </c>
      <c r="S243" s="106">
        <f t="shared" si="162"/>
        <v>839.78665514704142</v>
      </c>
      <c r="T243" s="106">
        <f t="shared" si="162"/>
        <v>865.48412679454088</v>
      </c>
      <c r="U243" s="106">
        <f t="shared" si="162"/>
        <v>891.96794107445385</v>
      </c>
      <c r="V243" s="106"/>
    </row>
    <row r="244" spans="2:31" x14ac:dyDescent="0.25">
      <c r="B244" s="197" t="s">
        <v>250</v>
      </c>
      <c r="H244" s="106"/>
      <c r="I244" s="106"/>
      <c r="J244" s="106"/>
      <c r="M244" s="106">
        <f t="shared" ref="M244:U244" si="163">+M196</f>
        <v>598.75</v>
      </c>
      <c r="N244" s="106">
        <f t="shared" si="163"/>
        <v>718.36</v>
      </c>
      <c r="O244" s="106">
        <f t="shared" si="163"/>
        <v>743.93361600000003</v>
      </c>
      <c r="P244" s="106">
        <f t="shared" si="163"/>
        <v>766.69798464960002</v>
      </c>
      <c r="Q244" s="106">
        <f t="shared" si="163"/>
        <v>790.77230136759749</v>
      </c>
      <c r="R244" s="106">
        <f t="shared" si="163"/>
        <v>815.28624270999296</v>
      </c>
      <c r="S244" s="106">
        <f t="shared" si="163"/>
        <v>840.23400173691869</v>
      </c>
      <c r="T244" s="106">
        <f t="shared" si="163"/>
        <v>865.94516219006834</v>
      </c>
      <c r="U244" s="106">
        <f t="shared" si="163"/>
        <v>892.44308415308444</v>
      </c>
      <c r="V244" s="106"/>
    </row>
    <row r="245" spans="2:31" x14ac:dyDescent="0.25">
      <c r="B245" s="34" t="s">
        <v>254</v>
      </c>
      <c r="H245" s="198"/>
      <c r="I245" s="198"/>
      <c r="J245" s="198"/>
      <c r="M245" s="198">
        <f t="shared" ref="M245:R245" si="164">+M241+M242+M243+M244</f>
        <v>4070.1871790874102</v>
      </c>
      <c r="N245" s="198">
        <f>+N241+N242+N243+N244</f>
        <v>2376.455107267504</v>
      </c>
      <c r="O245" s="198">
        <f t="shared" si="164"/>
        <v>5182.225799719884</v>
      </c>
      <c r="P245" s="198">
        <f t="shared" si="164"/>
        <v>6880.6281578599528</v>
      </c>
      <c r="Q245" s="198">
        <f t="shared" si="164"/>
        <v>8423.2841202621967</v>
      </c>
      <c r="R245" s="198">
        <f t="shared" si="164"/>
        <v>10152.444090556824</v>
      </c>
      <c r="S245" s="198">
        <f>+S241+S242+S243+S244</f>
        <v>12059.012943497577</v>
      </c>
      <c r="T245" s="198">
        <f>+T241+T242+T243+T244</f>
        <v>14314.007608505381</v>
      </c>
      <c r="U245" s="198">
        <f>+U241+U242+U243+U244</f>
        <v>16633.721885362338</v>
      </c>
      <c r="V245" s="198"/>
    </row>
    <row r="246" spans="2:31" x14ac:dyDescent="0.25">
      <c r="B246" s="197" t="s">
        <v>251</v>
      </c>
      <c r="G246" s="106"/>
      <c r="H246" s="106"/>
      <c r="I246" s="106"/>
      <c r="J246" s="106"/>
      <c r="K246" s="106"/>
      <c r="L246" s="106"/>
      <c r="M246" s="106">
        <f t="shared" ref="M246:U246" si="165">+(L40-M40)+(L41-M41)+(L42-M42)+(L43-M43)+(L44-M44)+(L45-M45)+(L46-M46)+(L47-M47)+(L48-M48)+(L49-M49)+(L50-M50)+(L51-M51)+(L52-M52)+(L68-M68)+(M85-L85)+(M86-L86)+(M87-L87)+(M88-L88)+(M89-L89)+(M90-L90)+(M91-L91)+(M92-L92)+(M97-L97)+(M111-L111)+(M115-L115)</f>
        <v>2289.1699999999992</v>
      </c>
      <c r="N246" s="106">
        <f t="shared" si="165"/>
        <v>14.282959436279128</v>
      </c>
      <c r="O246" s="106">
        <f t="shared" si="165"/>
        <v>-223.20209199235478</v>
      </c>
      <c r="P246" s="106">
        <f t="shared" si="165"/>
        <v>-399.64501955550304</v>
      </c>
      <c r="Q246" s="106">
        <f t="shared" si="165"/>
        <v>-881.06816963337656</v>
      </c>
      <c r="R246" s="106">
        <f t="shared" si="165"/>
        <v>-1068.8197305532494</v>
      </c>
      <c r="S246" s="106">
        <f t="shared" si="165"/>
        <v>-1246.9333872719803</v>
      </c>
      <c r="T246" s="106">
        <f t="shared" si="165"/>
        <v>-1432.5010955347077</v>
      </c>
      <c r="U246" s="106">
        <f t="shared" si="165"/>
        <v>-1584.2907841553829</v>
      </c>
      <c r="V246" s="106"/>
    </row>
    <row r="247" spans="2:31" x14ac:dyDescent="0.25">
      <c r="B247" s="197" t="s">
        <v>252</v>
      </c>
      <c r="G247" s="106"/>
      <c r="H247" s="106"/>
      <c r="I247" s="106"/>
      <c r="J247" s="106"/>
      <c r="K247" s="106"/>
      <c r="L247" s="106"/>
      <c r="M247" s="106">
        <f t="shared" ref="M247:U247" si="166">+(-M63+L63)+(-M70+L70)+(M134-L134)-(M35-L35)</f>
        <v>70.930000000000007</v>
      </c>
      <c r="N247" s="106">
        <f t="shared" si="166"/>
        <v>34.626106403351301</v>
      </c>
      <c r="O247" s="106">
        <f t="shared" si="166"/>
        <v>18.878163612305343</v>
      </c>
      <c r="P247" s="106">
        <f t="shared" si="166"/>
        <v>26.272409432306759</v>
      </c>
      <c r="Q247" s="106">
        <f t="shared" si="166"/>
        <v>45.940950600120985</v>
      </c>
      <c r="R247" s="106">
        <f t="shared" si="166"/>
        <v>53.812980298080262</v>
      </c>
      <c r="S247" s="106">
        <f t="shared" si="166"/>
        <v>61.343638986689513</v>
      </c>
      <c r="T247" s="106">
        <f t="shared" si="166"/>
        <v>69.1438467036281</v>
      </c>
      <c r="U247" s="106">
        <f t="shared" si="166"/>
        <v>75.597027991824717</v>
      </c>
      <c r="V247" s="106"/>
    </row>
    <row r="248" spans="2:31" ht="30" x14ac:dyDescent="0.25">
      <c r="B248" s="362" t="s">
        <v>255</v>
      </c>
      <c r="H248" s="106"/>
      <c r="I248" s="106"/>
      <c r="J248" s="106"/>
      <c r="M248" s="106">
        <f t="shared" ref="M248:U248" si="167">+(L56-M56)+(L57-M57)+(L58-M58)+(L59-M59)+(L60-M60)</f>
        <v>136.98999999999955</v>
      </c>
      <c r="N248" s="106">
        <f t="shared" si="167"/>
        <v>-371.80712137160492</v>
      </c>
      <c r="O248" s="106">
        <f t="shared" si="167"/>
        <v>-648.67432379889863</v>
      </c>
      <c r="P248" s="106">
        <f t="shared" si="167"/>
        <v>-902.74868748148344</v>
      </c>
      <c r="Q248" s="106">
        <f t="shared" si="167"/>
        <v>-1578.5812474782792</v>
      </c>
      <c r="R248" s="106">
        <f t="shared" si="167"/>
        <v>-1849.0727871278261</v>
      </c>
      <c r="S248" s="106">
        <f t="shared" si="167"/>
        <v>-2107.8344459901223</v>
      </c>
      <c r="T248" s="106">
        <f t="shared" si="167"/>
        <v>-2375.8581039150872</v>
      </c>
      <c r="U248" s="106">
        <f t="shared" si="167"/>
        <v>-2597.5964622871929</v>
      </c>
      <c r="V248" s="106"/>
    </row>
    <row r="249" spans="2:31" x14ac:dyDescent="0.25">
      <c r="B249" s="34" t="s">
        <v>253</v>
      </c>
      <c r="H249" s="198"/>
      <c r="I249" s="198"/>
      <c r="J249" s="198"/>
      <c r="M249" s="198">
        <f t="shared" ref="M249:R249" si="168">+M245+M246+M247+M248</f>
        <v>6567.2771790874094</v>
      </c>
      <c r="N249" s="198">
        <f>+N245+N246+N247+N248</f>
        <v>2053.55705173553</v>
      </c>
      <c r="O249" s="198">
        <f t="shared" si="168"/>
        <v>4329.227547540936</v>
      </c>
      <c r="P249" s="198">
        <f t="shared" si="168"/>
        <v>5604.5068602552728</v>
      </c>
      <c r="Q249" s="198">
        <f t="shared" si="168"/>
        <v>6009.5756537506622</v>
      </c>
      <c r="R249" s="198">
        <f t="shared" si="168"/>
        <v>7288.3645531738284</v>
      </c>
      <c r="S249" s="198">
        <f>+S245+S246+S247+S248</f>
        <v>8765.5887492221646</v>
      </c>
      <c r="T249" s="198">
        <f>+T245+T246+T247+T248</f>
        <v>10574.792255759214</v>
      </c>
      <c r="U249" s="198">
        <f>+U245+U246+U247+U248</f>
        <v>12527.431666911589</v>
      </c>
      <c r="V249" s="198"/>
      <c r="W249" s="372">
        <f>+N249/M249-1</f>
        <v>-0.68730464761335186</v>
      </c>
      <c r="X249" s="372">
        <f>+O249/N249-1</f>
        <v>1.1081603473748931</v>
      </c>
      <c r="Y249" s="372">
        <f t="shared" ref="Y249" si="169">+P249/O249-1</f>
        <v>0.29457433195876104</v>
      </c>
      <c r="Z249" s="372">
        <f t="shared" ref="Z249" si="170">+Q249/P249-1</f>
        <v>7.2275546019572534E-2</v>
      </c>
      <c r="AA249" s="372">
        <f t="shared" ref="AA249" si="171">+R249/Q249-1</f>
        <v>0.21279187967707092</v>
      </c>
      <c r="AB249" s="372">
        <f t="shared" ref="AB249" si="172">+S249/R249-1</f>
        <v>0.20268253395819191</v>
      </c>
      <c r="AC249" s="372">
        <f t="shared" ref="AC249" si="173">+T249/S249-1</f>
        <v>0.2063984015560385</v>
      </c>
      <c r="AD249" s="372">
        <f t="shared" ref="AD249" si="174">+U249/T249-1</f>
        <v>0.1846503802558328</v>
      </c>
      <c r="AE249" s="149"/>
    </row>
    <row r="250" spans="2:31" x14ac:dyDescent="0.25">
      <c r="B250" s="34"/>
      <c r="H250" s="198"/>
      <c r="I250" s="198"/>
      <c r="J250" s="198"/>
      <c r="M250" s="198"/>
      <c r="N250" s="198"/>
    </row>
    <row r="251" spans="2:31" x14ac:dyDescent="0.25">
      <c r="N251" s="4">
        <v>1</v>
      </c>
      <c r="O251" s="4">
        <v>2</v>
      </c>
      <c r="P251" s="4">
        <v>3</v>
      </c>
      <c r="Q251" s="4">
        <v>4</v>
      </c>
      <c r="R251" s="4">
        <v>5</v>
      </c>
      <c r="S251" s="4">
        <v>6</v>
      </c>
      <c r="T251" s="4">
        <v>7</v>
      </c>
      <c r="U251" s="4" t="s">
        <v>256</v>
      </c>
      <c r="V251" s="4"/>
    </row>
    <row r="252" spans="2:31" x14ac:dyDescent="0.25">
      <c r="B252" s="34" t="s">
        <v>257</v>
      </c>
      <c r="N252" s="206">
        <f>1/(1+Supuestos!E10)^N251</f>
        <v>0.86880973066898348</v>
      </c>
      <c r="O252" s="206">
        <f>1/(1+Supuestos!F10)^O251</f>
        <v>0.75483034810511151</v>
      </c>
      <c r="P252" s="206">
        <f>1/(1+Supuestos!G10)^P251</f>
        <v>0.6558039514379771</v>
      </c>
      <c r="Q252" s="206">
        <f>1/(1+Supuestos!H10)^Q251</f>
        <v>0.56976885442048397</v>
      </c>
      <c r="R252" s="206">
        <f>1/(1+Supuestos!I10)^R251</f>
        <v>0.49502072495263588</v>
      </c>
      <c r="S252" s="206">
        <f>1/(1+Supuestos!J10)^S251</f>
        <v>0.43007882272166453</v>
      </c>
      <c r="T252" s="206">
        <f>1/(1+Supuestos!K10)^T251</f>
        <v>0.3736566661352429</v>
      </c>
      <c r="U252" s="206">
        <f>1/(Supuestos!E10-Supuestos!E11)*T252</f>
        <v>3.5242317013463134</v>
      </c>
      <c r="V252" s="206"/>
    </row>
    <row r="253" spans="2:31" x14ac:dyDescent="0.25">
      <c r="B253" s="34" t="s">
        <v>259</v>
      </c>
      <c r="N253" s="122">
        <f>+N249*N252</f>
        <v>1784.1503490317375</v>
      </c>
      <c r="O253" s="122">
        <f t="shared" ref="O253:T253" si="175">+O249*O252</f>
        <v>3267.8323367365629</v>
      </c>
      <c r="P253" s="122">
        <f t="shared" si="175"/>
        <v>3675.4577448166583</v>
      </c>
      <c r="Q253" s="122">
        <f t="shared" si="175"/>
        <v>3424.0690357907461</v>
      </c>
      <c r="R253" s="122">
        <f t="shared" si="175"/>
        <v>3607.8915048312028</v>
      </c>
      <c r="S253" s="122">
        <f t="shared" si="175"/>
        <v>3769.8940897277366</v>
      </c>
      <c r="T253" s="122">
        <f t="shared" si="175"/>
        <v>3951.3416193597727</v>
      </c>
      <c r="U253" s="122">
        <f>+U249*U252</f>
        <v>44149.571816979507</v>
      </c>
      <c r="V253" s="122"/>
    </row>
    <row r="254" spans="2:31" x14ac:dyDescent="0.25">
      <c r="B254" s="34"/>
      <c r="N254" s="122"/>
      <c r="O254" s="122"/>
      <c r="P254" s="122"/>
      <c r="Q254" s="122"/>
      <c r="R254" s="122"/>
      <c r="S254" s="122"/>
      <c r="T254" s="122"/>
      <c r="U254" s="122"/>
      <c r="V254" s="122"/>
    </row>
    <row r="255" spans="2:31" x14ac:dyDescent="0.25">
      <c r="B255" s="398" t="s">
        <v>262</v>
      </c>
      <c r="C255" s="398"/>
      <c r="N255" s="364">
        <f>+SUM(N253:U253)</f>
        <v>67630.208497273925</v>
      </c>
    </row>
    <row r="256" spans="2:31" x14ac:dyDescent="0.25">
      <c r="N256" s="289">
        <v>59199.031999999999</v>
      </c>
    </row>
    <row r="257" spans="14:14" x14ac:dyDescent="0.25">
      <c r="N257" s="225">
        <f>+N255/N256</f>
        <v>1.1424208506867803</v>
      </c>
    </row>
    <row r="259" spans="14:14" x14ac:dyDescent="0.25">
      <c r="N259" s="109"/>
    </row>
  </sheetData>
  <mergeCells count="11">
    <mergeCell ref="D4:M4"/>
    <mergeCell ref="N4:U4"/>
    <mergeCell ref="B150:C150"/>
    <mergeCell ref="D150:M150"/>
    <mergeCell ref="N150:U150"/>
    <mergeCell ref="W150:AD150"/>
    <mergeCell ref="AF150:AM150"/>
    <mergeCell ref="B255:C255"/>
    <mergeCell ref="B239:C239"/>
    <mergeCell ref="B218:C218"/>
    <mergeCell ref="N218:U2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6"/>
  <sheetViews>
    <sheetView showGridLines="0" zoomScale="80" zoomScaleNormal="80" workbookViewId="0">
      <selection activeCell="AA13" sqref="AA13"/>
    </sheetView>
  </sheetViews>
  <sheetFormatPr baseColWidth="10" defaultColWidth="19.42578125" defaultRowHeight="15" x14ac:dyDescent="0.25"/>
  <cols>
    <col min="1" max="1" width="5.140625" style="1" customWidth="1"/>
    <col min="2" max="2" width="8.85546875" style="1" customWidth="1"/>
    <col min="3" max="3" width="38.42578125" style="1" customWidth="1"/>
    <col min="4" max="4" width="11.28515625" style="1" bestFit="1" customWidth="1"/>
    <col min="5" max="10" width="10.140625" style="1" bestFit="1" customWidth="1"/>
    <col min="11" max="11" width="11.7109375" style="1" customWidth="1"/>
    <col min="12" max="12" width="13" style="1" bestFit="1" customWidth="1"/>
    <col min="13" max="13" width="6.140625" style="1" customWidth="1"/>
    <col min="14" max="14" width="8.5703125" style="1" bestFit="1" customWidth="1"/>
    <col min="15" max="15" width="8.85546875" style="1" bestFit="1" customWidth="1"/>
    <col min="16" max="17" width="8.140625" style="1" bestFit="1" customWidth="1"/>
    <col min="18" max="19" width="7.7109375" style="1" bestFit="1" customWidth="1"/>
    <col min="20" max="20" width="8.140625" style="1" bestFit="1" customWidth="1"/>
    <col min="21" max="21" width="7.7109375" style="1" bestFit="1" customWidth="1"/>
    <col min="22" max="22" width="4.85546875" style="1" customWidth="1"/>
    <col min="23" max="30" width="8.5703125" style="1" bestFit="1" customWidth="1"/>
    <col min="31" max="31" width="10.42578125" style="1" customWidth="1"/>
    <col min="32" max="32" width="49.140625" style="1" bestFit="1" customWidth="1"/>
    <col min="33" max="40" width="9.140625" style="1" bestFit="1" customWidth="1"/>
    <col min="41" max="41" width="9.7109375" style="1" bestFit="1" customWidth="1"/>
    <col min="42" max="4996" width="10.42578125" style="1" customWidth="1"/>
    <col min="4997" max="16384" width="19.42578125" style="1"/>
  </cols>
  <sheetData>
    <row r="1" spans="2:13" x14ac:dyDescent="0.25">
      <c r="B1" s="34"/>
      <c r="C1" s="34"/>
      <c r="E1" s="122"/>
      <c r="F1" s="122"/>
      <c r="G1" s="122"/>
      <c r="H1" s="122"/>
      <c r="I1" s="122"/>
      <c r="J1" s="122"/>
      <c r="K1" s="122"/>
      <c r="L1" s="122"/>
      <c r="M1" s="122"/>
    </row>
    <row r="2" spans="2:13" x14ac:dyDescent="0.25">
      <c r="B2" s="402" t="s">
        <v>448</v>
      </c>
      <c r="C2" s="402"/>
      <c r="D2" s="402"/>
      <c r="E2" s="402"/>
      <c r="M2" s="122"/>
    </row>
    <row r="3" spans="2:13" x14ac:dyDescent="0.25">
      <c r="B3" s="34"/>
      <c r="C3" s="34"/>
      <c r="M3" s="122"/>
    </row>
    <row r="4" spans="2:13" x14ac:dyDescent="0.25">
      <c r="B4" s="1" t="s">
        <v>450</v>
      </c>
      <c r="M4" s="122"/>
    </row>
    <row r="5" spans="2:13" x14ac:dyDescent="0.25">
      <c r="M5" s="122"/>
    </row>
    <row r="6" spans="2:13" x14ac:dyDescent="0.25">
      <c r="B6" s="4" t="s">
        <v>258</v>
      </c>
      <c r="C6" s="349"/>
      <c r="D6" s="378">
        <v>1</v>
      </c>
      <c r="E6" s="379">
        <v>2</v>
      </c>
      <c r="F6" s="379">
        <v>3</v>
      </c>
      <c r="G6" s="379">
        <v>4</v>
      </c>
      <c r="H6" s="379">
        <v>5</v>
      </c>
      <c r="I6" s="379">
        <v>6</v>
      </c>
      <c r="J6" s="379">
        <v>7</v>
      </c>
      <c r="K6" s="380" t="s">
        <v>256</v>
      </c>
      <c r="M6" s="122"/>
    </row>
    <row r="7" spans="2:13" x14ac:dyDescent="0.25">
      <c r="B7" s="360">
        <f>+B11-0.5%</f>
        <v>3.4974999999999999E-2</v>
      </c>
      <c r="C7" s="359" t="s">
        <v>257</v>
      </c>
      <c r="D7" s="350">
        <f>1/(1+Supuestos!E$10)^D$6</f>
        <v>0.86880973066898348</v>
      </c>
      <c r="E7" s="350">
        <f>1/(1+Supuestos!F$10)^E$6</f>
        <v>0.75483034810511151</v>
      </c>
      <c r="F7" s="350">
        <f>1/(1+Supuestos!G$10)^F$6</f>
        <v>0.6558039514379771</v>
      </c>
      <c r="G7" s="350">
        <f>1/(1+Supuestos!H$10)^G$6</f>
        <v>0.56976885442048397</v>
      </c>
      <c r="H7" s="350">
        <f>1/(1+Supuestos!I$10)^H$6</f>
        <v>0.49502072495263588</v>
      </c>
      <c r="I7" s="350">
        <f>1/(1+Supuestos!J$10)^I$6</f>
        <v>0.43007882272166453</v>
      </c>
      <c r="J7" s="350">
        <f>1/(1+Supuestos!K$10)^J$6</f>
        <v>0.3736566661352429</v>
      </c>
      <c r="K7" s="351">
        <f>1/(Supuestos!$E$10-B7)*J7</f>
        <v>3.2204840864920747</v>
      </c>
    </row>
    <row r="8" spans="2:13" x14ac:dyDescent="0.25">
      <c r="B8" s="358"/>
      <c r="C8" s="356" t="s">
        <v>259</v>
      </c>
      <c r="D8" s="352">
        <f>+'EEFFPry+Valor'!N$249*'A. Sensibilidad'!D7</f>
        <v>1784.1503490317375</v>
      </c>
      <c r="E8" s="352">
        <f>+'EEFFPry+Valor'!O$249*'A. Sensibilidad'!E7</f>
        <v>3267.8323367365629</v>
      </c>
      <c r="F8" s="352">
        <f>+'EEFFPry+Valor'!P$249*'A. Sensibilidad'!F7</f>
        <v>3675.4577448166583</v>
      </c>
      <c r="G8" s="352">
        <f>+'EEFFPry+Valor'!Q$249*'A. Sensibilidad'!G7</f>
        <v>3424.0690357907461</v>
      </c>
      <c r="H8" s="352">
        <f>+'EEFFPry+Valor'!R$249*'A. Sensibilidad'!H7</f>
        <v>3607.8915048312028</v>
      </c>
      <c r="I8" s="352">
        <f>+'EEFFPry+Valor'!S$249*'A. Sensibilidad'!I7</f>
        <v>3769.8940897277366</v>
      </c>
      <c r="J8" s="352">
        <f>+'EEFFPry+Valor'!T$249*'A. Sensibilidad'!J7</f>
        <v>3951.3416193597727</v>
      </c>
      <c r="K8" s="353">
        <f>+'EEFFPry+Valor'!U$249*'A. Sensibilidad'!K7</f>
        <v>40344.394327905655</v>
      </c>
    </row>
    <row r="9" spans="2:13" x14ac:dyDescent="0.25">
      <c r="B9" s="358"/>
      <c r="C9" s="356" t="s">
        <v>449</v>
      </c>
      <c r="D9" s="374">
        <f>+SUM(D8:K8)</f>
        <v>63825.031008200072</v>
      </c>
      <c r="E9" s="352"/>
      <c r="F9" s="352"/>
      <c r="G9" s="352"/>
      <c r="H9" s="352"/>
      <c r="I9" s="352"/>
      <c r="J9" s="352"/>
      <c r="K9" s="353"/>
    </row>
    <row r="10" spans="2:13" x14ac:dyDescent="0.25">
      <c r="B10" s="361"/>
      <c r="C10" s="356" t="s">
        <v>455</v>
      </c>
      <c r="D10" s="382">
        <f>+D9/'EEFFPry+Valor'!$N$256</f>
        <v>1.0781431528846632</v>
      </c>
      <c r="E10" s="352"/>
      <c r="F10" s="352"/>
      <c r="G10" s="352"/>
      <c r="H10" s="352"/>
      <c r="I10" s="352"/>
      <c r="J10" s="352"/>
      <c r="K10" s="353"/>
    </row>
    <row r="11" spans="2:13" x14ac:dyDescent="0.25">
      <c r="B11" s="375">
        <f>+B15-0.5%</f>
        <v>3.9974999999999997E-2</v>
      </c>
      <c r="C11" s="359" t="s">
        <v>257</v>
      </c>
      <c r="D11" s="350">
        <f>1/(1+Supuestos!E$10)^D$6</f>
        <v>0.86880973066898348</v>
      </c>
      <c r="E11" s="350">
        <f>1/(1+Supuestos!F$10)^E$6</f>
        <v>0.75483034810511151</v>
      </c>
      <c r="F11" s="350">
        <f>1/(1+Supuestos!G$10)^F$6</f>
        <v>0.6558039514379771</v>
      </c>
      <c r="G11" s="350">
        <f>1/(1+Supuestos!H$10)^G$6</f>
        <v>0.56976885442048397</v>
      </c>
      <c r="H11" s="350">
        <f>1/(1+Supuestos!I$10)^H$6</f>
        <v>0.49502072495263588</v>
      </c>
      <c r="I11" s="350">
        <f>1/(1+Supuestos!J$10)^I$6</f>
        <v>0.43007882272166453</v>
      </c>
      <c r="J11" s="350">
        <f>1/(1+Supuestos!K$10)^J$6</f>
        <v>0.3736566661352429</v>
      </c>
      <c r="K11" s="351">
        <f>1/(Supuestos!$E$10-B11)*J11</f>
        <v>3.365518271877892</v>
      </c>
    </row>
    <row r="12" spans="2:13" x14ac:dyDescent="0.25">
      <c r="B12" s="376"/>
      <c r="C12" s="356" t="s">
        <v>259</v>
      </c>
      <c r="D12" s="352">
        <f>+'EEFFPry+Valor'!N$249*'A. Sensibilidad'!D11</f>
        <v>1784.1503490317375</v>
      </c>
      <c r="E12" s="352">
        <f>+'EEFFPry+Valor'!O$249*'A. Sensibilidad'!E11</f>
        <v>3267.8323367365629</v>
      </c>
      <c r="F12" s="352">
        <f>+'EEFFPry+Valor'!P$249*'A. Sensibilidad'!F11</f>
        <v>3675.4577448166583</v>
      </c>
      <c r="G12" s="352">
        <f>+'EEFFPry+Valor'!Q$249*'A. Sensibilidad'!G11</f>
        <v>3424.0690357907461</v>
      </c>
      <c r="H12" s="352">
        <f>+'EEFFPry+Valor'!R$249*'A. Sensibilidad'!H11</f>
        <v>3607.8915048312028</v>
      </c>
      <c r="I12" s="352">
        <f>+'EEFFPry+Valor'!S$249*'A. Sensibilidad'!I11</f>
        <v>3769.8940897277366</v>
      </c>
      <c r="J12" s="352">
        <f>+'EEFFPry+Valor'!T$249*'A. Sensibilidad'!J11</f>
        <v>3951.3416193597727</v>
      </c>
      <c r="K12" s="353">
        <f>+'EEFFPry+Valor'!U$249*'A. Sensibilidad'!K11</f>
        <v>42161.300174692667</v>
      </c>
    </row>
    <row r="13" spans="2:13" x14ac:dyDescent="0.25">
      <c r="B13" s="376"/>
      <c r="C13" s="356" t="s">
        <v>449</v>
      </c>
      <c r="D13" s="374">
        <f>+SUM(D12:K12)</f>
        <v>65641.936854987085</v>
      </c>
      <c r="E13" s="352"/>
      <c r="F13" s="352"/>
      <c r="G13" s="352"/>
      <c r="H13" s="352"/>
      <c r="I13" s="352"/>
      <c r="J13" s="352"/>
      <c r="K13" s="353"/>
    </row>
    <row r="14" spans="2:13" x14ac:dyDescent="0.25">
      <c r="B14" s="377"/>
      <c r="C14" s="356" t="s">
        <v>455</v>
      </c>
      <c r="D14" s="382">
        <f>+D13/'EEFFPry+Valor'!$N$256</f>
        <v>1.1088346318734923</v>
      </c>
      <c r="E14" s="352"/>
      <c r="F14" s="352"/>
      <c r="G14" s="352"/>
      <c r="H14" s="352"/>
      <c r="I14" s="352"/>
      <c r="J14" s="352"/>
      <c r="K14" s="353"/>
    </row>
    <row r="15" spans="2:13" x14ac:dyDescent="0.25">
      <c r="B15" s="375">
        <f>+Supuestos!E11</f>
        <v>4.4974999999999994E-2</v>
      </c>
      <c r="C15" s="359" t="s">
        <v>257</v>
      </c>
      <c r="D15" s="350">
        <f>1/(1+Supuestos!E$10)^D$6</f>
        <v>0.86880973066898348</v>
      </c>
      <c r="E15" s="350">
        <f>1/(1+Supuestos!F$10)^E$6</f>
        <v>0.75483034810511151</v>
      </c>
      <c r="F15" s="350">
        <f>1/(1+Supuestos!G$10)^F$6</f>
        <v>0.6558039514379771</v>
      </c>
      <c r="G15" s="350">
        <f>1/(1+Supuestos!H$10)^G$6</f>
        <v>0.56976885442048397</v>
      </c>
      <c r="H15" s="350">
        <f>1/(1+Supuestos!I$10)^H$6</f>
        <v>0.49502072495263588</v>
      </c>
      <c r="I15" s="350">
        <f>1/(1+Supuestos!J$10)^I$6</f>
        <v>0.43007882272166453</v>
      </c>
      <c r="J15" s="350">
        <f>1/(1+Supuestos!K$10)^J$6</f>
        <v>0.3736566661352429</v>
      </c>
      <c r="K15" s="351">
        <f>1/(Supuestos!$E$10-B15)*J15</f>
        <v>3.5242317013463134</v>
      </c>
    </row>
    <row r="16" spans="2:13" x14ac:dyDescent="0.25">
      <c r="B16" s="376"/>
      <c r="C16" s="356" t="s">
        <v>259</v>
      </c>
      <c r="D16" s="352">
        <f>+'EEFFPry+Valor'!N$249*'A. Sensibilidad'!D15</f>
        <v>1784.1503490317375</v>
      </c>
      <c r="E16" s="352">
        <f>+'EEFFPry+Valor'!O$249*'A. Sensibilidad'!E15</f>
        <v>3267.8323367365629</v>
      </c>
      <c r="F16" s="352">
        <f>+'EEFFPry+Valor'!P$249*'A. Sensibilidad'!F15</f>
        <v>3675.4577448166583</v>
      </c>
      <c r="G16" s="352">
        <f>+'EEFFPry+Valor'!Q$249*'A. Sensibilidad'!G15</f>
        <v>3424.0690357907461</v>
      </c>
      <c r="H16" s="352">
        <f>+'EEFFPry+Valor'!R$249*'A. Sensibilidad'!H15</f>
        <v>3607.8915048312028</v>
      </c>
      <c r="I16" s="352">
        <f>+'EEFFPry+Valor'!S$249*'A. Sensibilidad'!I15</f>
        <v>3769.8940897277366</v>
      </c>
      <c r="J16" s="352">
        <f>+'EEFFPry+Valor'!T$249*'A. Sensibilidad'!J15</f>
        <v>3951.3416193597727</v>
      </c>
      <c r="K16" s="353">
        <f>+'EEFFPry+Valor'!U$249*'A. Sensibilidad'!K15</f>
        <v>44149.571816979507</v>
      </c>
    </row>
    <row r="17" spans="2:11" x14ac:dyDescent="0.25">
      <c r="B17" s="376"/>
      <c r="C17" s="356" t="s">
        <v>449</v>
      </c>
      <c r="D17" s="383">
        <f>+SUM(D16:K16)</f>
        <v>67630.208497273925</v>
      </c>
      <c r="E17" s="352"/>
      <c r="F17" s="352"/>
      <c r="G17" s="352"/>
      <c r="H17" s="352"/>
      <c r="I17" s="352"/>
      <c r="J17" s="352"/>
      <c r="K17" s="353"/>
    </row>
    <row r="18" spans="2:11" x14ac:dyDescent="0.25">
      <c r="B18" s="377"/>
      <c r="C18" s="356" t="s">
        <v>455</v>
      </c>
      <c r="D18" s="382">
        <f>+D17/'EEFFPry+Valor'!$N$256</f>
        <v>1.1424208506867803</v>
      </c>
      <c r="E18" s="352"/>
      <c r="F18" s="352"/>
      <c r="G18" s="352"/>
      <c r="H18" s="352"/>
      <c r="I18" s="352"/>
      <c r="J18" s="352"/>
      <c r="K18" s="353"/>
    </row>
    <row r="19" spans="2:11" x14ac:dyDescent="0.25">
      <c r="B19" s="375">
        <f>+B15+0.5%</f>
        <v>4.9974999999999992E-2</v>
      </c>
      <c r="C19" s="359" t="s">
        <v>257</v>
      </c>
      <c r="D19" s="350">
        <f>1/(1+Supuestos!E$10)^D$6</f>
        <v>0.86880973066898348</v>
      </c>
      <c r="E19" s="350">
        <f>1/(1+Supuestos!F$10)^E$6</f>
        <v>0.75483034810511151</v>
      </c>
      <c r="F19" s="350">
        <f>1/(1+Supuestos!G$10)^F$6</f>
        <v>0.6558039514379771</v>
      </c>
      <c r="G19" s="350">
        <f>1/(1+Supuestos!H$10)^G$6</f>
        <v>0.56976885442048397</v>
      </c>
      <c r="H19" s="350">
        <f>1/(1+Supuestos!I$10)^H$6</f>
        <v>0.49502072495263588</v>
      </c>
      <c r="I19" s="350">
        <f>1/(1+Supuestos!J$10)^I$6</f>
        <v>0.43007882272166453</v>
      </c>
      <c r="J19" s="350">
        <f>1/(1+Supuestos!K$10)^J$6</f>
        <v>0.3736566661352429</v>
      </c>
      <c r="K19" s="351">
        <f>1/(Supuestos!$E$10-B19)*J19</f>
        <v>3.6986554430610528</v>
      </c>
    </row>
    <row r="20" spans="2:11" x14ac:dyDescent="0.25">
      <c r="B20" s="376"/>
      <c r="C20" s="356" t="s">
        <v>259</v>
      </c>
      <c r="D20" s="352">
        <f>+'EEFFPry+Valor'!N$249*'A. Sensibilidad'!D19</f>
        <v>1784.1503490317375</v>
      </c>
      <c r="E20" s="352">
        <f>+'EEFFPry+Valor'!O$249*'A. Sensibilidad'!E19</f>
        <v>3267.8323367365629</v>
      </c>
      <c r="F20" s="352">
        <f>+'EEFFPry+Valor'!P$249*'A. Sensibilidad'!F19</f>
        <v>3675.4577448166583</v>
      </c>
      <c r="G20" s="352">
        <f>+'EEFFPry+Valor'!Q$249*'A. Sensibilidad'!G19</f>
        <v>3424.0690357907461</v>
      </c>
      <c r="H20" s="352">
        <f>+'EEFFPry+Valor'!R$249*'A. Sensibilidad'!H19</f>
        <v>3607.8915048312028</v>
      </c>
      <c r="I20" s="352">
        <f>+'EEFFPry+Valor'!S$249*'A. Sensibilidad'!I19</f>
        <v>3769.8940897277366</v>
      </c>
      <c r="J20" s="352">
        <f>+'EEFFPry+Valor'!T$249*'A. Sensibilidad'!J19</f>
        <v>3951.3416193597727</v>
      </c>
      <c r="K20" s="353">
        <f>+'EEFFPry+Valor'!U$249*'A. Sensibilidad'!K19</f>
        <v>46334.653322397942</v>
      </c>
    </row>
    <row r="21" spans="2:11" x14ac:dyDescent="0.25">
      <c r="B21" s="376"/>
      <c r="C21" s="356" t="s">
        <v>449</v>
      </c>
      <c r="D21" s="374">
        <f>+SUM(D20:K20)</f>
        <v>69815.29000269236</v>
      </c>
      <c r="E21" s="352"/>
      <c r="F21" s="352"/>
      <c r="G21" s="352"/>
      <c r="H21" s="352"/>
      <c r="I21" s="352"/>
      <c r="J21" s="352"/>
      <c r="K21" s="353"/>
    </row>
    <row r="22" spans="2:11" x14ac:dyDescent="0.25">
      <c r="B22" s="377"/>
      <c r="C22" s="356" t="s">
        <v>455</v>
      </c>
      <c r="D22" s="382">
        <f>+D21/'EEFFPry+Valor'!$N$256</f>
        <v>1.1793316147921533</v>
      </c>
      <c r="E22" s="352"/>
      <c r="F22" s="352"/>
      <c r="G22" s="352"/>
      <c r="H22" s="352"/>
      <c r="I22" s="352"/>
      <c r="J22" s="352"/>
      <c r="K22" s="353"/>
    </row>
    <row r="23" spans="2:11" x14ac:dyDescent="0.25">
      <c r="B23" s="375">
        <f>+B19+0.5%</f>
        <v>5.4974999999999989E-2</v>
      </c>
      <c r="C23" s="359" t="s">
        <v>257</v>
      </c>
      <c r="D23" s="350">
        <f>1/(1+Supuestos!E$10)^D$6</f>
        <v>0.86880973066898348</v>
      </c>
      <c r="E23" s="350">
        <f>1/(1+Supuestos!F$10)^E$6</f>
        <v>0.75483034810511151</v>
      </c>
      <c r="F23" s="350">
        <f>1/(1+Supuestos!G$10)^F$6</f>
        <v>0.6558039514379771</v>
      </c>
      <c r="G23" s="350">
        <f>1/(1+Supuestos!H$10)^G$6</f>
        <v>0.56976885442048397</v>
      </c>
      <c r="H23" s="350">
        <f>1/(1+Supuestos!I$10)^H$6</f>
        <v>0.49502072495263588</v>
      </c>
      <c r="I23" s="350">
        <f>1/(1+Supuestos!J$10)^I$6</f>
        <v>0.43007882272166453</v>
      </c>
      <c r="J23" s="350">
        <f>1/(1+Supuestos!K$10)^J$6</f>
        <v>0.3736566661352429</v>
      </c>
      <c r="K23" s="351">
        <f>1/(Supuestos!$E$10-B23)*J23</f>
        <v>3.8912435942227845</v>
      </c>
    </row>
    <row r="24" spans="2:11" x14ac:dyDescent="0.25">
      <c r="B24" s="376"/>
      <c r="C24" s="356" t="s">
        <v>259</v>
      </c>
      <c r="D24" s="352">
        <f>+'EEFFPry+Valor'!N$249*'A. Sensibilidad'!D23</f>
        <v>1784.1503490317375</v>
      </c>
      <c r="E24" s="352">
        <f>+'EEFFPry+Valor'!O$249*'A. Sensibilidad'!E23</f>
        <v>3267.8323367365629</v>
      </c>
      <c r="F24" s="352">
        <f>+'EEFFPry+Valor'!P$249*'A. Sensibilidad'!F23</f>
        <v>3675.4577448166583</v>
      </c>
      <c r="G24" s="352">
        <f>+'EEFFPry+Valor'!Q$249*'A. Sensibilidad'!G23</f>
        <v>3424.0690357907461</v>
      </c>
      <c r="H24" s="352">
        <f>+'EEFFPry+Valor'!R$249*'A. Sensibilidad'!H23</f>
        <v>3607.8915048312028</v>
      </c>
      <c r="I24" s="352">
        <f>+'EEFFPry+Valor'!S$249*'A. Sensibilidad'!I23</f>
        <v>3769.8940897277366</v>
      </c>
      <c r="J24" s="352">
        <f>+'EEFFPry+Valor'!T$249*'A. Sensibilidad'!J23</f>
        <v>3951.3416193597727</v>
      </c>
      <c r="K24" s="353">
        <f>+'EEFFPry+Valor'!U$249*'A. Sensibilidad'!K23</f>
        <v>48747.288225933378</v>
      </c>
    </row>
    <row r="25" spans="2:11" x14ac:dyDescent="0.25">
      <c r="B25" s="376"/>
      <c r="C25" s="356" t="s">
        <v>449</v>
      </c>
      <c r="D25" s="374">
        <f>+SUM(D24:K24)</f>
        <v>72227.924906227796</v>
      </c>
      <c r="E25" s="352"/>
      <c r="F25" s="352"/>
      <c r="G25" s="352"/>
      <c r="H25" s="352"/>
      <c r="I25" s="352"/>
      <c r="J25" s="352"/>
      <c r="K25" s="353"/>
    </row>
    <row r="26" spans="2:11" x14ac:dyDescent="0.25">
      <c r="B26" s="377"/>
      <c r="C26" s="357" t="s">
        <v>455</v>
      </c>
      <c r="D26" s="381">
        <f>+D25/'EEFFPry+Valor'!$N$256</f>
        <v>1.2200862491506246</v>
      </c>
      <c r="E26" s="354"/>
      <c r="F26" s="354"/>
      <c r="G26" s="354"/>
      <c r="H26" s="354"/>
      <c r="I26" s="354"/>
      <c r="J26" s="354"/>
      <c r="K26" s="355"/>
    </row>
    <row r="28" spans="2:11" x14ac:dyDescent="0.25">
      <c r="E28" s="363">
        <f>+D13/D9-1</f>
        <v>2.8466979460669339E-2</v>
      </c>
      <c r="F28" s="363">
        <f>+D17/D13-1</f>
        <v>3.0289655326277698E-2</v>
      </c>
      <c r="G28" s="363">
        <f>+D21/D17-1</f>
        <v>3.2309252831987267E-2</v>
      </c>
      <c r="H28" s="363">
        <f>+D25/D21-1</f>
        <v>3.455740001140728E-2</v>
      </c>
    </row>
    <row r="32" spans="2:11" x14ac:dyDescent="0.25">
      <c r="B32" s="1" t="s">
        <v>451</v>
      </c>
    </row>
    <row r="34" spans="2:11" x14ac:dyDescent="0.25">
      <c r="B34" s="4" t="s">
        <v>242</v>
      </c>
      <c r="C34" s="349"/>
      <c r="D34" s="378">
        <v>1</v>
      </c>
      <c r="E34" s="379">
        <v>2</v>
      </c>
      <c r="F34" s="379">
        <v>3</v>
      </c>
      <c r="G34" s="379">
        <v>4</v>
      </c>
      <c r="H34" s="379">
        <v>5</v>
      </c>
      <c r="I34" s="379">
        <v>6</v>
      </c>
      <c r="J34" s="379">
        <v>7</v>
      </c>
      <c r="K34" s="380" t="s">
        <v>256</v>
      </c>
    </row>
    <row r="35" spans="2:11" x14ac:dyDescent="0.25">
      <c r="B35" s="375">
        <f>+B39-0.5%</f>
        <v>0.14099999999999999</v>
      </c>
      <c r="C35" s="359" t="s">
        <v>257</v>
      </c>
      <c r="D35" s="350">
        <f t="shared" ref="D35:J35" si="0">1/(1+$B$35)^D$34</f>
        <v>0.87642418930762489</v>
      </c>
      <c r="E35" s="350">
        <f t="shared" si="0"/>
        <v>0.76811935960352751</v>
      </c>
      <c r="F35" s="350">
        <f t="shared" si="0"/>
        <v>0.67319838703201351</v>
      </c>
      <c r="G35" s="350">
        <f t="shared" si="0"/>
        <v>0.59000735059773313</v>
      </c>
      <c r="H35" s="350">
        <f t="shared" si="0"/>
        <v>0.51709671393315793</v>
      </c>
      <c r="I35" s="350">
        <f t="shared" si="0"/>
        <v>0.4531960683025047</v>
      </c>
      <c r="J35" s="350">
        <f t="shared" si="0"/>
        <v>0.39719199675942568</v>
      </c>
      <c r="K35" s="351">
        <f>1/(B35-Supuestos!$E$11)*J35</f>
        <v>4.1363394611760027</v>
      </c>
    </row>
    <row r="36" spans="2:11" x14ac:dyDescent="0.25">
      <c r="B36" s="376"/>
      <c r="C36" s="356" t="s">
        <v>259</v>
      </c>
      <c r="D36" s="352">
        <f>+'EEFFPry+Valor'!N$249*'A. Sensibilidad'!D35</f>
        <v>1799.7870742642681</v>
      </c>
      <c r="E36" s="352">
        <f>+'EEFFPry+Valor'!O$249*'A. Sensibilidad'!E35</f>
        <v>3325.3634913950937</v>
      </c>
      <c r="F36" s="352">
        <f>+'EEFFPry+Valor'!P$249*'A. Sensibilidad'!F35</f>
        <v>3772.9449784337039</v>
      </c>
      <c r="G36" s="352">
        <f>+'EEFFPry+Valor'!Q$249*'A. Sensibilidad'!G35</f>
        <v>3545.6938096860681</v>
      </c>
      <c r="H36" s="352">
        <f>+'EEFFPry+Valor'!R$249*'A. Sensibilidad'!H35</f>
        <v>3768.7893603930956</v>
      </c>
      <c r="I36" s="352">
        <f>+'EEFFPry+Valor'!S$249*'A. Sensibilidad'!I35</f>
        <v>3972.5303575041548</v>
      </c>
      <c r="J36" s="352">
        <f>+'EEFFPry+Valor'!T$249*'A. Sensibilidad'!J35</f>
        <v>4200.2228513811133</v>
      </c>
      <c r="K36" s="353">
        <f>+'EEFFPry+Valor'!U$249*'A. Sensibilidad'!K35</f>
        <v>51817.709951032273</v>
      </c>
    </row>
    <row r="37" spans="2:11" x14ac:dyDescent="0.25">
      <c r="B37" s="376"/>
      <c r="C37" s="356" t="s">
        <v>449</v>
      </c>
      <c r="D37" s="374">
        <f>+SUM(D36:K36)</f>
        <v>76203.041874089773</v>
      </c>
      <c r="E37" s="352"/>
      <c r="F37" s="352"/>
      <c r="G37" s="352"/>
      <c r="H37" s="352"/>
      <c r="I37" s="352"/>
      <c r="J37" s="352"/>
      <c r="K37" s="353"/>
    </row>
    <row r="38" spans="2:11" x14ac:dyDescent="0.25">
      <c r="B38" s="377"/>
      <c r="C38" s="356" t="s">
        <v>455</v>
      </c>
      <c r="D38" s="382">
        <f>+D37/'EEFFPry+Valor'!$N$256</f>
        <v>1.2872345931955402</v>
      </c>
      <c r="E38" s="352"/>
      <c r="F38" s="352"/>
      <c r="G38" s="352"/>
      <c r="H38" s="352"/>
      <c r="I38" s="352"/>
      <c r="J38" s="352"/>
      <c r="K38" s="353"/>
    </row>
    <row r="39" spans="2:11" x14ac:dyDescent="0.25">
      <c r="B39" s="375">
        <f>+B43-0.5%</f>
        <v>0.14599999999999999</v>
      </c>
      <c r="C39" s="359" t="s">
        <v>257</v>
      </c>
      <c r="D39" s="350">
        <f t="shared" ref="D39:J39" si="1">1/(1+$B$39)^D$34</f>
        <v>0.87260034904013972</v>
      </c>
      <c r="E39" s="350">
        <f t="shared" si="1"/>
        <v>0.76143136914497367</v>
      </c>
      <c r="F39" s="350">
        <f t="shared" si="1"/>
        <v>0.66442527848601551</v>
      </c>
      <c r="G39" s="350">
        <f t="shared" si="1"/>
        <v>0.57977772991798915</v>
      </c>
      <c r="H39" s="350">
        <f t="shared" si="1"/>
        <v>0.50591424949213715</v>
      </c>
      <c r="I39" s="350">
        <f t="shared" si="1"/>
        <v>0.44146095069121921</v>
      </c>
      <c r="J39" s="350">
        <f t="shared" si="1"/>
        <v>0.38521897966074981</v>
      </c>
      <c r="K39" s="351">
        <f>1/(B39-Supuestos!$E$11)*J39</f>
        <v>3.8131054655852488</v>
      </c>
    </row>
    <row r="40" spans="2:11" x14ac:dyDescent="0.25">
      <c r="B40" s="376"/>
      <c r="C40" s="356" t="s">
        <v>259</v>
      </c>
      <c r="D40" s="352">
        <f>+'EEFFPry+Valor'!N$249*'A. Sensibilidad'!D39</f>
        <v>1791.9346001182637</v>
      </c>
      <c r="E40" s="352">
        <f>+'EEFFPry+Valor'!O$249*'A. Sensibilidad'!E39</f>
        <v>3296.4096588642315</v>
      </c>
      <c r="F40" s="352">
        <f>+'EEFFPry+Valor'!P$249*'A. Sensibilidad'!F39</f>
        <v>3723.7760314018942</v>
      </c>
      <c r="G40" s="352">
        <f>+'EEFFPry+Valor'!Q$249*'A. Sensibilidad'!G39</f>
        <v>3484.2181303019747</v>
      </c>
      <c r="H40" s="352">
        <f>+'EEFFPry+Valor'!R$249*'A. Sensibilidad'!H39</f>
        <v>3687.2874829440329</v>
      </c>
      <c r="I40" s="352">
        <f>+'EEFFPry+Valor'!S$249*'A. Sensibilidad'!I39</f>
        <v>3869.6651425998721</v>
      </c>
      <c r="J40" s="352">
        <f>+'EEFFPry+Valor'!T$249*'A. Sensibilidad'!J39</f>
        <v>4073.6106828879633</v>
      </c>
      <c r="K40" s="353">
        <f>+'EEFFPry+Valor'!U$249*'A. Sensibilidad'!K39</f>
        <v>47768.418158846303</v>
      </c>
    </row>
    <row r="41" spans="2:11" x14ac:dyDescent="0.25">
      <c r="B41" s="376"/>
      <c r="C41" s="356" t="s">
        <v>449</v>
      </c>
      <c r="D41" s="374">
        <f>+SUM(D40:K40)</f>
        <v>71695.319887964535</v>
      </c>
      <c r="E41" s="352"/>
      <c r="F41" s="352"/>
      <c r="G41" s="352"/>
      <c r="H41" s="352"/>
      <c r="I41" s="352"/>
      <c r="J41" s="352"/>
      <c r="K41" s="353"/>
    </row>
    <row r="42" spans="2:11" x14ac:dyDescent="0.25">
      <c r="B42" s="377"/>
      <c r="C42" s="356" t="s">
        <v>455</v>
      </c>
      <c r="D42" s="382">
        <f>+D41/'EEFFPry+Valor'!$N$256</f>
        <v>1.2110893956503299</v>
      </c>
      <c r="E42" s="352"/>
      <c r="F42" s="352"/>
      <c r="G42" s="352"/>
      <c r="H42" s="352"/>
      <c r="I42" s="352"/>
      <c r="J42" s="352"/>
      <c r="K42" s="353"/>
    </row>
    <row r="43" spans="2:11" x14ac:dyDescent="0.25">
      <c r="B43" s="375">
        <v>0.151</v>
      </c>
      <c r="C43" s="359" t="s">
        <v>257</v>
      </c>
      <c r="D43" s="350">
        <f t="shared" ref="D43:J43" si="2">1/(1+$B$43)^D$34</f>
        <v>0.86880973066898348</v>
      </c>
      <c r="E43" s="350">
        <f t="shared" si="2"/>
        <v>0.75483034810511151</v>
      </c>
      <c r="F43" s="350">
        <f t="shared" si="2"/>
        <v>0.6558039514379771</v>
      </c>
      <c r="G43" s="350">
        <f t="shared" si="2"/>
        <v>0.56976885442048397</v>
      </c>
      <c r="H43" s="350">
        <f t="shared" si="2"/>
        <v>0.49502072495263588</v>
      </c>
      <c r="I43" s="350">
        <f t="shared" si="2"/>
        <v>0.43007882272166453</v>
      </c>
      <c r="J43" s="350">
        <f t="shared" si="2"/>
        <v>0.3736566661352429</v>
      </c>
      <c r="K43" s="351">
        <f>1/(B43-Supuestos!$E$11)*J43</f>
        <v>3.5242317013463134</v>
      </c>
    </row>
    <row r="44" spans="2:11" x14ac:dyDescent="0.25">
      <c r="B44" s="376"/>
      <c r="C44" s="356" t="s">
        <v>259</v>
      </c>
      <c r="D44" s="352">
        <f>+'EEFFPry+Valor'!N$249*'A. Sensibilidad'!D43</f>
        <v>1784.1503490317375</v>
      </c>
      <c r="E44" s="352">
        <f>+'EEFFPry+Valor'!O$249*'A. Sensibilidad'!E43</f>
        <v>3267.8323367365629</v>
      </c>
      <c r="F44" s="352">
        <f>+'EEFFPry+Valor'!P$249*'A. Sensibilidad'!F43</f>
        <v>3675.4577448166583</v>
      </c>
      <c r="G44" s="352">
        <f>+'EEFFPry+Valor'!Q$249*'A. Sensibilidad'!G43</f>
        <v>3424.0690357907461</v>
      </c>
      <c r="H44" s="352">
        <f>+'EEFFPry+Valor'!R$249*'A. Sensibilidad'!H43</f>
        <v>3607.8915048312028</v>
      </c>
      <c r="I44" s="352">
        <f>+'EEFFPry+Valor'!S$249*'A. Sensibilidad'!I43</f>
        <v>3769.8940897277366</v>
      </c>
      <c r="J44" s="352">
        <f>+'EEFFPry+Valor'!T$249*'A. Sensibilidad'!J43</f>
        <v>3951.3416193597727</v>
      </c>
      <c r="K44" s="353">
        <f>+'EEFFPry+Valor'!U$249*'A. Sensibilidad'!K43</f>
        <v>44149.571816979507</v>
      </c>
    </row>
    <row r="45" spans="2:11" x14ac:dyDescent="0.25">
      <c r="B45" s="376"/>
      <c r="C45" s="356" t="s">
        <v>449</v>
      </c>
      <c r="D45" s="383">
        <f>+SUM(D44:K44)</f>
        <v>67630.208497273925</v>
      </c>
      <c r="E45" s="352"/>
      <c r="F45" s="352"/>
      <c r="G45" s="352"/>
      <c r="H45" s="352"/>
      <c r="I45" s="352"/>
      <c r="J45" s="352"/>
      <c r="K45" s="353"/>
    </row>
    <row r="46" spans="2:11" x14ac:dyDescent="0.25">
      <c r="B46" s="377"/>
      <c r="C46" s="356"/>
      <c r="D46" s="382">
        <f>+D45/'EEFFPry+Valor'!$N$256</f>
        <v>1.1424208506867803</v>
      </c>
      <c r="E46" s="352"/>
      <c r="F46" s="352"/>
      <c r="G46" s="352"/>
      <c r="H46" s="352"/>
      <c r="I46" s="352"/>
      <c r="J46" s="352"/>
      <c r="K46" s="353"/>
    </row>
    <row r="47" spans="2:11" x14ac:dyDescent="0.25">
      <c r="B47" s="375">
        <f>+B43+0.5%</f>
        <v>0.156</v>
      </c>
      <c r="C47" s="359" t="s">
        <v>257</v>
      </c>
      <c r="D47" s="350">
        <f t="shared" ref="D47:J47" si="3">1/(1+$B$47)^D$34</f>
        <v>0.86505190311418689</v>
      </c>
      <c r="E47" s="350">
        <f t="shared" si="3"/>
        <v>0.74831479508147669</v>
      </c>
      <c r="F47" s="350">
        <f t="shared" si="3"/>
        <v>0.64733113761373418</v>
      </c>
      <c r="G47" s="350">
        <f t="shared" si="3"/>
        <v>0.55997503253783232</v>
      </c>
      <c r="H47" s="350">
        <f t="shared" si="3"/>
        <v>0.48440746759328068</v>
      </c>
      <c r="I47" s="350">
        <f t="shared" si="3"/>
        <v>0.41903760172429128</v>
      </c>
      <c r="J47" s="350">
        <f t="shared" si="3"/>
        <v>0.36248927484800286</v>
      </c>
      <c r="K47" s="351">
        <f>1/(B47-Supuestos!$E$11)*J47</f>
        <v>3.2649337973249524</v>
      </c>
    </row>
    <row r="48" spans="2:11" x14ac:dyDescent="0.25">
      <c r="B48" s="376"/>
      <c r="C48" s="356" t="s">
        <v>259</v>
      </c>
      <c r="D48" s="352">
        <f>+'EEFFPry+Valor'!N$249*'A. Sensibilidad'!D47</f>
        <v>1776.4334357573789</v>
      </c>
      <c r="E48" s="352">
        <f>+'EEFFPry+Valor'!O$249*'A. Sensibilidad'!E47</f>
        <v>3239.6250250991793</v>
      </c>
      <c r="F48" s="352">
        <f>+'EEFFPry+Valor'!P$249*'A. Sensibilidad'!F47</f>
        <v>3627.9718016130232</v>
      </c>
      <c r="G48" s="352">
        <f>+'EEFFPry+Valor'!Q$249*'A. Sensibilidad'!G47</f>
        <v>3365.2123222475921</v>
      </c>
      <c r="H48" s="352">
        <f>+'EEFFPry+Valor'!R$249*'A. Sensibilidad'!H47</f>
        <v>3530.5382160995669</v>
      </c>
      <c r="I48" s="352">
        <f>+'EEFFPry+Valor'!S$249*'A. Sensibilidad'!I47</f>
        <v>3673.1112871754858</v>
      </c>
      <c r="J48" s="352">
        <f>+'EEFFPry+Valor'!T$249*'A. Sensibilidad'!J47</f>
        <v>3833.2487764584339</v>
      </c>
      <c r="K48" s="353">
        <f>+'EEFFPry+Valor'!U$249*'A. Sensibilidad'!K47</f>
        <v>40901.235042978515</v>
      </c>
    </row>
    <row r="49" spans="2:11" x14ac:dyDescent="0.25">
      <c r="B49" s="376"/>
      <c r="C49" s="356" t="s">
        <v>449</v>
      </c>
      <c r="D49" s="374">
        <f>+SUM(D48:K48)</f>
        <v>63947.375907429174</v>
      </c>
      <c r="E49" s="352"/>
      <c r="F49" s="352"/>
      <c r="G49" s="352"/>
      <c r="H49" s="352"/>
      <c r="I49" s="352"/>
      <c r="J49" s="352"/>
      <c r="K49" s="353"/>
    </row>
    <row r="50" spans="2:11" x14ac:dyDescent="0.25">
      <c r="B50" s="377"/>
      <c r="C50" s="356" t="s">
        <v>455</v>
      </c>
      <c r="D50" s="382">
        <f>+D49/'EEFFPry+Valor'!$N$256</f>
        <v>1.0802098234888229</v>
      </c>
      <c r="E50" s="352"/>
      <c r="F50" s="352"/>
      <c r="G50" s="352"/>
      <c r="H50" s="352"/>
      <c r="I50" s="352"/>
      <c r="J50" s="352"/>
      <c r="K50" s="353"/>
    </row>
    <row r="51" spans="2:11" x14ac:dyDescent="0.25">
      <c r="B51" s="375">
        <f>+B47+0.5%</f>
        <v>0.161</v>
      </c>
      <c r="C51" s="359" t="s">
        <v>257</v>
      </c>
      <c r="D51" s="350">
        <f t="shared" ref="D51:J51" si="4">1/(1+$B$51)^D$34</f>
        <v>0.86132644272179149</v>
      </c>
      <c r="E51" s="350">
        <f t="shared" si="4"/>
        <v>0.7418832409317756</v>
      </c>
      <c r="F51" s="350">
        <f t="shared" si="4"/>
        <v>0.63900365282668004</v>
      </c>
      <c r="G51" s="350">
        <f t="shared" si="4"/>
        <v>0.55039074317543502</v>
      </c>
      <c r="H51" s="350">
        <f t="shared" si="4"/>
        <v>0.47406610092630058</v>
      </c>
      <c r="I51" s="350">
        <f t="shared" si="4"/>
        <v>0.40832566832584027</v>
      </c>
      <c r="J51" s="350">
        <f t="shared" si="4"/>
        <v>0.35170169537109408</v>
      </c>
      <c r="K51" s="351">
        <f>1/(B51-Supuestos!$E$11)*J51</f>
        <v>3.0312578786562727</v>
      </c>
    </row>
    <row r="52" spans="2:11" x14ac:dyDescent="0.25">
      <c r="B52" s="376"/>
      <c r="C52" s="356" t="s">
        <v>259</v>
      </c>
      <c r="D52" s="352">
        <f>+'EEFFPry+Valor'!N$249*'A. Sensibilidad'!D51</f>
        <v>1768.7829902976139</v>
      </c>
      <c r="E52" s="352">
        <f>+'EEFFPry+Valor'!O$249*'A. Sensibilidad'!E51</f>
        <v>3211.7813637007921</v>
      </c>
      <c r="F52" s="352">
        <f>+'EEFFPry+Valor'!P$249*'A. Sensibilidad'!F51</f>
        <v>3581.3003559953067</v>
      </c>
      <c r="G52" s="352">
        <f>+'EEFFPry+Valor'!Q$249*'A. Sensibilidad'!G51</f>
        <v>3307.6148102368279</v>
      </c>
      <c r="H52" s="352">
        <f>+'EEFFPry+Valor'!R$249*'A. Sensibilidad'!H51</f>
        <v>3455.1665658525758</v>
      </c>
      <c r="I52" s="352">
        <f>+'EEFFPry+Valor'!S$249*'A. Sensibilidad'!I51</f>
        <v>3579.2148842956067</v>
      </c>
      <c r="J52" s="352">
        <f>+'EEFFPry+Valor'!T$249*'A. Sensibilidad'!J51</f>
        <v>3719.1723645476318</v>
      </c>
      <c r="K52" s="353">
        <f>+'EEFFPry+Valor'!U$249*'A. Sensibilidad'!K51</f>
        <v>37973.875939653837</v>
      </c>
    </row>
    <row r="53" spans="2:11" x14ac:dyDescent="0.25">
      <c r="B53" s="376"/>
      <c r="C53" s="356" t="s">
        <v>449</v>
      </c>
      <c r="D53" s="374">
        <f>+SUM(D52:K52)</f>
        <v>60596.90927458019</v>
      </c>
      <c r="E53" s="352"/>
      <c r="F53" s="352"/>
      <c r="G53" s="352"/>
      <c r="H53" s="352"/>
      <c r="I53" s="352"/>
      <c r="J53" s="352"/>
      <c r="K53" s="353"/>
    </row>
    <row r="54" spans="2:11" x14ac:dyDescent="0.25">
      <c r="B54" s="377"/>
      <c r="C54" s="357" t="s">
        <v>455</v>
      </c>
      <c r="D54" s="381">
        <f>+D53/'EEFFPry+Valor'!$N$256</f>
        <v>1.0236131779077096</v>
      </c>
      <c r="E54" s="354"/>
      <c r="F54" s="354"/>
      <c r="G54" s="354"/>
      <c r="H54" s="354"/>
      <c r="I54" s="354"/>
      <c r="J54" s="354"/>
      <c r="K54" s="355"/>
    </row>
    <row r="56" spans="2:11" x14ac:dyDescent="0.25">
      <c r="E56" s="363">
        <f>+D41/D37-1</f>
        <v>-5.9154095102572746E-2</v>
      </c>
      <c r="F56" s="363">
        <f>+D45/D41-1</f>
        <v>-5.6699815232612139E-2</v>
      </c>
      <c r="G56" s="363">
        <f>+D49/D45-1</f>
        <v>-5.4455437469088985E-2</v>
      </c>
      <c r="H56" s="363">
        <f>+D53/D49-1</f>
        <v>-5.2394122281094857E-2</v>
      </c>
    </row>
  </sheetData>
  <mergeCells count="1">
    <mergeCell ref="B2:E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topLeftCell="A13" zoomScale="90" zoomScaleNormal="90" workbookViewId="0">
      <selection activeCell="G26" sqref="G26"/>
    </sheetView>
  </sheetViews>
  <sheetFormatPr baseColWidth="10" defaultRowHeight="15" x14ac:dyDescent="0.25"/>
  <cols>
    <col min="1" max="1" width="31.5703125" style="73" bestFit="1" customWidth="1"/>
    <col min="2" max="2" width="12.140625" style="73" customWidth="1"/>
    <col min="3" max="3" width="13.85546875" style="73" bestFit="1" customWidth="1"/>
    <col min="4" max="12" width="14.85546875" style="73" bestFit="1" customWidth="1"/>
    <col min="13" max="16384" width="11.42578125" style="73"/>
  </cols>
  <sheetData>
    <row r="1" spans="1:13" x14ac:dyDescent="0.25">
      <c r="A1" s="74" t="s">
        <v>280</v>
      </c>
      <c r="M1" s="237"/>
    </row>
    <row r="2" spans="1:13" x14ac:dyDescent="0.25">
      <c r="A2" s="238"/>
      <c r="M2" s="237"/>
    </row>
    <row r="3" spans="1:13" x14ac:dyDescent="0.25">
      <c r="A3" s="290" t="s">
        <v>281</v>
      </c>
      <c r="B3" s="291" t="s">
        <v>282</v>
      </c>
      <c r="C3" s="291" t="s">
        <v>283</v>
      </c>
      <c r="D3" s="291" t="s">
        <v>284</v>
      </c>
      <c r="E3" s="291" t="s">
        <v>285</v>
      </c>
      <c r="F3" s="291" t="s">
        <v>286</v>
      </c>
      <c r="G3" s="239"/>
      <c r="H3" s="240"/>
      <c r="I3" s="239"/>
      <c r="J3" s="239"/>
      <c r="K3" s="239"/>
      <c r="L3" s="239"/>
      <c r="M3" s="237"/>
    </row>
    <row r="4" spans="1:13" ht="15.75" x14ac:dyDescent="0.25">
      <c r="A4" s="241" t="s">
        <v>287</v>
      </c>
      <c r="B4" s="242">
        <v>750000</v>
      </c>
      <c r="C4" s="243"/>
      <c r="D4" s="243"/>
      <c r="E4" s="243"/>
      <c r="F4" s="243"/>
      <c r="G4" s="237"/>
      <c r="H4" s="244"/>
      <c r="I4" s="245"/>
      <c r="J4" s="237"/>
      <c r="K4" s="237"/>
      <c r="L4" s="237"/>
      <c r="M4" s="237"/>
    </row>
    <row r="5" spans="1:13" ht="15.75" x14ac:dyDescent="0.25">
      <c r="A5" s="246" t="s">
        <v>288</v>
      </c>
      <c r="B5" s="245">
        <v>15000000</v>
      </c>
      <c r="C5" s="237"/>
      <c r="D5" s="237"/>
      <c r="E5" s="237"/>
      <c r="F5" s="237"/>
      <c r="G5" s="237"/>
      <c r="H5" s="244"/>
      <c r="I5" s="245"/>
      <c r="J5" s="237"/>
      <c r="K5" s="237"/>
      <c r="L5" s="237"/>
      <c r="M5" s="237"/>
    </row>
    <row r="6" spans="1:13" ht="15.75" x14ac:dyDescent="0.25">
      <c r="A6" s="241" t="s">
        <v>289</v>
      </c>
      <c r="B6" s="242">
        <v>500000</v>
      </c>
      <c r="C6" s="243"/>
      <c r="D6" s="243"/>
      <c r="E6" s="243"/>
      <c r="F6" s="243"/>
      <c r="G6" s="237"/>
      <c r="H6" s="244"/>
      <c r="I6" s="245"/>
      <c r="J6" s="237"/>
      <c r="K6" s="237"/>
      <c r="L6" s="237"/>
      <c r="M6" s="237"/>
    </row>
    <row r="7" spans="1:13" ht="15.75" x14ac:dyDescent="0.25">
      <c r="A7" s="246" t="s">
        <v>290</v>
      </c>
      <c r="B7" s="245"/>
      <c r="C7" s="245"/>
      <c r="D7" s="245"/>
      <c r="E7" s="245">
        <v>3000000</v>
      </c>
      <c r="F7" s="245">
        <v>1500000</v>
      </c>
      <c r="G7" s="237"/>
      <c r="H7" s="244"/>
      <c r="I7" s="245"/>
      <c r="J7" s="237"/>
      <c r="K7" s="237"/>
      <c r="L7" s="237"/>
      <c r="M7" s="237"/>
    </row>
    <row r="8" spans="1:13" ht="15.75" x14ac:dyDescent="0.25">
      <c r="A8" s="241" t="s">
        <v>291</v>
      </c>
      <c r="B8" s="247">
        <v>0.54</v>
      </c>
      <c r="C8" s="243"/>
      <c r="D8" s="243"/>
      <c r="E8" s="243"/>
      <c r="F8" s="243"/>
      <c r="G8" s="237"/>
      <c r="H8" s="248"/>
      <c r="I8" s="249"/>
      <c r="J8" s="237"/>
      <c r="K8" s="237"/>
      <c r="L8" s="237"/>
      <c r="M8" s="237"/>
    </row>
    <row r="9" spans="1:13" ht="15.75" x14ac:dyDescent="0.25">
      <c r="A9" s="246" t="s">
        <v>292</v>
      </c>
      <c r="B9" s="245"/>
      <c r="C9" s="245">
        <v>20000000</v>
      </c>
      <c r="D9" s="245">
        <v>10000000</v>
      </c>
      <c r="E9" s="237"/>
      <c r="F9" s="237"/>
      <c r="G9" s="237"/>
      <c r="H9" s="244"/>
      <c r="I9" s="245"/>
      <c r="J9" s="237"/>
      <c r="K9" s="237"/>
      <c r="L9" s="237"/>
      <c r="M9" s="237"/>
    </row>
    <row r="10" spans="1:13" ht="15.75" x14ac:dyDescent="0.25">
      <c r="A10" s="241" t="s">
        <v>293</v>
      </c>
      <c r="B10" s="242">
        <v>0</v>
      </c>
      <c r="C10" s="243"/>
      <c r="D10" s="243"/>
      <c r="E10" s="243"/>
      <c r="F10" s="243"/>
      <c r="G10" s="237"/>
      <c r="H10" s="244"/>
      <c r="I10" s="245"/>
      <c r="J10" s="237"/>
      <c r="K10" s="237"/>
      <c r="L10" s="237"/>
      <c r="M10" s="237"/>
    </row>
    <row r="11" spans="1:13" ht="15.75" x14ac:dyDescent="0.25">
      <c r="A11" s="246" t="s">
        <v>294</v>
      </c>
      <c r="B11" s="245">
        <v>0</v>
      </c>
      <c r="C11" s="237"/>
      <c r="D11" s="237"/>
      <c r="E11" s="237"/>
      <c r="F11" s="237"/>
      <c r="G11" s="237"/>
      <c r="H11" s="246"/>
      <c r="I11" s="245"/>
      <c r="J11" s="237"/>
      <c r="K11" s="237"/>
      <c r="L11" s="237"/>
      <c r="M11" s="237"/>
    </row>
    <row r="12" spans="1:13" ht="15.75" x14ac:dyDescent="0.25">
      <c r="A12" s="241" t="s">
        <v>295</v>
      </c>
      <c r="B12" s="242">
        <v>0</v>
      </c>
      <c r="C12" s="243"/>
      <c r="D12" s="243"/>
      <c r="E12" s="243"/>
      <c r="F12" s="243"/>
      <c r="G12" s="237"/>
      <c r="H12" s="246"/>
      <c r="I12" s="245"/>
      <c r="J12" s="237"/>
      <c r="K12" s="237"/>
      <c r="L12" s="237"/>
    </row>
    <row r="13" spans="1:13" ht="15.75" x14ac:dyDescent="0.25">
      <c r="A13" s="246" t="s">
        <v>296</v>
      </c>
      <c r="B13" s="245">
        <v>0</v>
      </c>
      <c r="C13" s="237"/>
      <c r="D13" s="237"/>
      <c r="E13" s="237"/>
      <c r="F13" s="237"/>
      <c r="G13" s="237"/>
      <c r="H13" s="246"/>
      <c r="I13" s="245"/>
      <c r="J13" s="237"/>
      <c r="K13" s="237"/>
      <c r="L13" s="237"/>
    </row>
    <row r="14" spans="1:13" ht="15.75" x14ac:dyDescent="0.25">
      <c r="A14" s="241" t="s">
        <v>297</v>
      </c>
      <c r="B14" s="242"/>
      <c r="C14" s="242"/>
      <c r="D14" s="242"/>
      <c r="E14" s="243"/>
      <c r="F14" s="243"/>
      <c r="G14" s="237"/>
      <c r="H14" s="246"/>
      <c r="I14" s="245"/>
      <c r="J14" s="237"/>
      <c r="K14" s="237"/>
      <c r="L14" s="237"/>
      <c r="M14" s="250"/>
    </row>
    <row r="15" spans="1:13" ht="15.75" x14ac:dyDescent="0.25">
      <c r="A15" s="246" t="s">
        <v>298</v>
      </c>
      <c r="B15" s="251">
        <v>0.01</v>
      </c>
      <c r="C15" s="245"/>
      <c r="D15" s="245"/>
      <c r="E15" s="237"/>
      <c r="F15" s="237"/>
      <c r="G15" s="237"/>
      <c r="H15" s="246"/>
      <c r="I15" s="245"/>
      <c r="J15" s="237"/>
      <c r="K15" s="237"/>
      <c r="L15" s="237"/>
    </row>
    <row r="17" spans="1:12" x14ac:dyDescent="0.25">
      <c r="B17" s="257">
        <v>1000000</v>
      </c>
    </row>
    <row r="18" spans="1:12" x14ac:dyDescent="0.25">
      <c r="A18" s="292"/>
      <c r="B18" s="292">
        <v>2010</v>
      </c>
      <c r="C18" s="292">
        <v>2011</v>
      </c>
      <c r="D18" s="292">
        <v>2012</v>
      </c>
      <c r="E18" s="292">
        <v>2013</v>
      </c>
      <c r="F18" s="292">
        <v>2014</v>
      </c>
      <c r="G18" s="292">
        <v>2015</v>
      </c>
      <c r="H18" s="292">
        <v>2016</v>
      </c>
      <c r="I18" s="292">
        <v>2017</v>
      </c>
      <c r="J18" s="292">
        <v>2018</v>
      </c>
      <c r="K18" s="292">
        <v>2019</v>
      </c>
      <c r="L18" s="292">
        <v>2020</v>
      </c>
    </row>
    <row r="20" spans="1:12" x14ac:dyDescent="0.25">
      <c r="A20" s="252" t="s">
        <v>299</v>
      </c>
      <c r="B20" s="252">
        <v>0</v>
      </c>
      <c r="C20" s="252">
        <v>0</v>
      </c>
      <c r="D20" s="252">
        <v>0</v>
      </c>
      <c r="E20" s="252">
        <v>0</v>
      </c>
      <c r="F20" s="252">
        <v>0</v>
      </c>
      <c r="G20" s="252">
        <v>0</v>
      </c>
      <c r="H20" s="252">
        <v>0</v>
      </c>
      <c r="I20" s="252">
        <v>0</v>
      </c>
      <c r="J20" s="252">
        <v>0</v>
      </c>
      <c r="K20" s="252">
        <v>0</v>
      </c>
      <c r="L20" s="252">
        <v>0</v>
      </c>
    </row>
    <row r="21" spans="1:12" x14ac:dyDescent="0.25">
      <c r="A21" s="252" t="s">
        <v>300</v>
      </c>
      <c r="B21" s="252">
        <v>0</v>
      </c>
      <c r="C21" s="252">
        <v>0</v>
      </c>
      <c r="D21" s="252">
        <v>0</v>
      </c>
      <c r="E21" s="252">
        <v>0</v>
      </c>
      <c r="F21" s="252">
        <v>0</v>
      </c>
      <c r="G21" s="252">
        <v>0</v>
      </c>
      <c r="H21" s="252">
        <v>0</v>
      </c>
      <c r="I21" s="252">
        <v>0</v>
      </c>
      <c r="J21" s="252">
        <v>0</v>
      </c>
      <c r="K21" s="252">
        <v>0</v>
      </c>
      <c r="L21" s="252">
        <v>0</v>
      </c>
    </row>
    <row r="22" spans="1:12" x14ac:dyDescent="0.25">
      <c r="A22" s="252" t="s">
        <v>301</v>
      </c>
      <c r="B22" s="252">
        <v>0</v>
      </c>
      <c r="C22" s="252">
        <v>0</v>
      </c>
      <c r="D22" s="252">
        <v>0</v>
      </c>
      <c r="E22" s="252">
        <v>0</v>
      </c>
      <c r="F22" s="252">
        <v>0</v>
      </c>
      <c r="G22" s="252">
        <v>0</v>
      </c>
      <c r="H22" s="252">
        <v>0</v>
      </c>
      <c r="I22" s="252">
        <v>0</v>
      </c>
      <c r="J22" s="252">
        <v>0</v>
      </c>
      <c r="K22" s="252">
        <v>0</v>
      </c>
      <c r="L22" s="252">
        <v>0</v>
      </c>
    </row>
    <row r="24" spans="1:12" x14ac:dyDescent="0.25">
      <c r="A24" s="252" t="s">
        <v>283</v>
      </c>
      <c r="B24" s="252">
        <v>0</v>
      </c>
      <c r="C24" s="252">
        <v>0</v>
      </c>
      <c r="D24" s="252">
        <v>0</v>
      </c>
      <c r="E24" s="252">
        <v>0</v>
      </c>
      <c r="F24" s="252">
        <v>0</v>
      </c>
      <c r="G24" s="252">
        <v>0</v>
      </c>
      <c r="H24" s="252">
        <v>0</v>
      </c>
      <c r="I24" s="252">
        <v>0</v>
      </c>
      <c r="J24" s="252">
        <v>0</v>
      </c>
      <c r="K24" s="252">
        <v>0</v>
      </c>
      <c r="L24" s="252">
        <v>0</v>
      </c>
    </row>
    <row r="25" spans="1:12" x14ac:dyDescent="0.25">
      <c r="A25" s="252" t="s">
        <v>284</v>
      </c>
      <c r="B25" s="252">
        <v>0</v>
      </c>
      <c r="C25" s="252">
        <v>0</v>
      </c>
      <c r="D25" s="252">
        <v>0</v>
      </c>
      <c r="E25" s="252">
        <v>0</v>
      </c>
      <c r="F25" s="252">
        <v>0</v>
      </c>
      <c r="G25" s="252">
        <v>1</v>
      </c>
      <c r="H25" s="252">
        <v>1</v>
      </c>
      <c r="I25" s="252">
        <v>1</v>
      </c>
      <c r="J25" s="252">
        <v>1</v>
      </c>
      <c r="K25" s="252">
        <v>1</v>
      </c>
      <c r="L25" s="252">
        <v>1</v>
      </c>
    </row>
    <row r="26" spans="1:12" x14ac:dyDescent="0.25">
      <c r="A26" s="252" t="s">
        <v>285</v>
      </c>
      <c r="B26" s="252">
        <v>0</v>
      </c>
      <c r="C26" s="252">
        <v>0</v>
      </c>
      <c r="D26" s="252">
        <v>0</v>
      </c>
      <c r="E26" s="252">
        <v>5</v>
      </c>
      <c r="F26" s="252">
        <v>5</v>
      </c>
      <c r="G26" s="252">
        <v>8</v>
      </c>
      <c r="H26" s="252">
        <v>3</v>
      </c>
      <c r="I26" s="252">
        <v>3</v>
      </c>
      <c r="J26" s="252">
        <v>3</v>
      </c>
      <c r="K26" s="252">
        <v>3</v>
      </c>
      <c r="L26" s="252">
        <v>3</v>
      </c>
    </row>
    <row r="27" spans="1:12" x14ac:dyDescent="0.25">
      <c r="A27" s="252" t="s">
        <v>302</v>
      </c>
      <c r="B27" s="252">
        <v>0</v>
      </c>
      <c r="C27" s="252">
        <v>0</v>
      </c>
      <c r="D27" s="252">
        <v>0</v>
      </c>
      <c r="E27" s="252">
        <v>0</v>
      </c>
      <c r="F27" s="252">
        <v>0</v>
      </c>
      <c r="G27" s="252">
        <v>0</v>
      </c>
      <c r="H27" s="252">
        <v>0</v>
      </c>
      <c r="I27" s="252">
        <v>0</v>
      </c>
      <c r="J27" s="252">
        <v>0</v>
      </c>
      <c r="K27" s="252">
        <v>0</v>
      </c>
      <c r="L27" s="252">
        <v>0</v>
      </c>
    </row>
    <row r="28" spans="1:12" x14ac:dyDescent="0.25">
      <c r="A28" s="253" t="s">
        <v>303</v>
      </c>
      <c r="B28" s="253">
        <f>+SUM(B24:B27)</f>
        <v>0</v>
      </c>
      <c r="C28" s="253">
        <f t="shared" ref="C28:L28" si="0">+SUM(C24:C27)</f>
        <v>0</v>
      </c>
      <c r="D28" s="253">
        <f t="shared" si="0"/>
        <v>0</v>
      </c>
      <c r="E28" s="253">
        <f t="shared" si="0"/>
        <v>5</v>
      </c>
      <c r="F28" s="253">
        <f t="shared" si="0"/>
        <v>5</v>
      </c>
      <c r="G28" s="253">
        <f t="shared" si="0"/>
        <v>9</v>
      </c>
      <c r="H28" s="253">
        <f t="shared" si="0"/>
        <v>4</v>
      </c>
      <c r="I28" s="253">
        <f t="shared" si="0"/>
        <v>4</v>
      </c>
      <c r="J28" s="253">
        <f t="shared" si="0"/>
        <v>4</v>
      </c>
      <c r="K28" s="253">
        <f t="shared" si="0"/>
        <v>4</v>
      </c>
      <c r="L28" s="253">
        <f t="shared" si="0"/>
        <v>4</v>
      </c>
    </row>
    <row r="30" spans="1:12" x14ac:dyDescent="0.25">
      <c r="A30" s="73" t="s">
        <v>292</v>
      </c>
      <c r="B30" s="254">
        <v>0</v>
      </c>
      <c r="C30" s="254">
        <v>0</v>
      </c>
      <c r="D30" s="254">
        <v>0</v>
      </c>
      <c r="E30" s="254">
        <f>+$C$9*Supuestos!E8*E24*12+$D$9*Supuestos!E8*Opex!E25*12</f>
        <v>0</v>
      </c>
      <c r="F30" s="254">
        <f>+$C$9*Supuestos!F8*F24*12+$D$9*Supuestos!F8*Opex!F25*12</f>
        <v>0</v>
      </c>
      <c r="G30" s="254">
        <f>+$C$9*Supuestos!G8*G24*12+$D$9*Supuestos!G8*Opex!G25*12</f>
        <v>127503072</v>
      </c>
      <c r="H30" s="254">
        <f>+$C$9*Supuestos!H8*H24*12+$D$9*Supuestos!H8*Opex!H25*12</f>
        <v>131404666.00319999</v>
      </c>
      <c r="I30" s="254">
        <f>+$C$9*Supuestos!I8*I24*12+$D$9*Supuestos!I8*Opex!I25*12</f>
        <v>135530772.51570049</v>
      </c>
      <c r="J30" s="254">
        <f>+$C$9*Supuestos!J8*J24*12+$D$9*Supuestos!J8*Opex!J25*12</f>
        <v>139732226.46368718</v>
      </c>
      <c r="K30" s="254">
        <f>+$C$9*Supuestos!K8*K24*12+$D$9*Supuestos!K8*Opex!K25*12</f>
        <v>144008032.593476</v>
      </c>
      <c r="L30" s="254">
        <f>+$C$9*Supuestos!L8*L24*12+$D$9*Supuestos!L8*Opex!L25*12</f>
        <v>148414678.39083636</v>
      </c>
    </row>
    <row r="31" spans="1:12" x14ac:dyDescent="0.25">
      <c r="A31" s="73" t="s">
        <v>304</v>
      </c>
      <c r="B31" s="254">
        <v>0</v>
      </c>
      <c r="C31" s="254">
        <v>0</v>
      </c>
      <c r="D31" s="254">
        <v>0</v>
      </c>
      <c r="E31" s="254">
        <f>+$E$7*Supuestos!E8*E26*12+$F$7*Supuestos!E8*E27*12</f>
        <v>180000000</v>
      </c>
      <c r="F31" s="254">
        <f>+$E$7*Supuestos!F8*F26*12+$F$7*Supuestos!F8*F27*12</f>
        <v>184680000</v>
      </c>
      <c r="G31" s="254">
        <f>+$E$7*Supuestos!G8*G26*12+$F$7*Supuestos!G8*G27*12</f>
        <v>306007372.80000001</v>
      </c>
      <c r="H31" s="254">
        <f>+$E$7*Supuestos!H8*H26*12+$F$7*Supuestos!H8*H27*12</f>
        <v>118264199.40288001</v>
      </c>
      <c r="I31" s="254">
        <f>+$E$7*Supuestos!I8*I26*12+$F$7*Supuestos!I8*I27*12</f>
        <v>121977695.26413044</v>
      </c>
      <c r="J31" s="254">
        <f>+$E$7*Supuestos!J8*J26*12+$F$7*Supuestos!J8*J27*12</f>
        <v>125759003.81731845</v>
      </c>
      <c r="K31" s="254">
        <f>+$E$7*Supuestos!K8*K26*12+$F$7*Supuestos!K8*K27*12</f>
        <v>129607229.33412838</v>
      </c>
      <c r="L31" s="254">
        <f>+$E$7*Supuestos!L8*L26*12+$F$7*Supuestos!L8*L27*12</f>
        <v>133573210.55175273</v>
      </c>
    </row>
    <row r="32" spans="1:12" x14ac:dyDescent="0.25">
      <c r="A32" s="73" t="s">
        <v>305</v>
      </c>
      <c r="B32" s="255">
        <v>0</v>
      </c>
      <c r="C32" s="254">
        <v>0</v>
      </c>
      <c r="D32" s="255">
        <v>0</v>
      </c>
      <c r="E32" s="255">
        <f t="shared" ref="E32:L32" si="1">+E31*$B$8</f>
        <v>97200000</v>
      </c>
      <c r="F32" s="255">
        <f t="shared" si="1"/>
        <v>99727200</v>
      </c>
      <c r="G32" s="255">
        <f t="shared" si="1"/>
        <v>165243981.31200001</v>
      </c>
      <c r="H32" s="255">
        <f t="shared" si="1"/>
        <v>63862667.677555211</v>
      </c>
      <c r="I32" s="255">
        <f>+I31*$B$8</f>
        <v>65867955.442630447</v>
      </c>
      <c r="J32" s="255">
        <f t="shared" si="1"/>
        <v>67909862.06135197</v>
      </c>
      <c r="K32" s="255">
        <f t="shared" si="1"/>
        <v>69987903.840429336</v>
      </c>
      <c r="L32" s="255">
        <f t="shared" si="1"/>
        <v>72129533.697946474</v>
      </c>
    </row>
    <row r="33" spans="1:12" x14ac:dyDescent="0.25">
      <c r="A33" s="73" t="s">
        <v>306</v>
      </c>
      <c r="B33" s="255">
        <v>0</v>
      </c>
      <c r="C33" s="254">
        <v>0</v>
      </c>
      <c r="D33" s="310">
        <v>0</v>
      </c>
      <c r="E33" s="310">
        <v>0</v>
      </c>
      <c r="F33" s="310">
        <v>0</v>
      </c>
      <c r="G33" s="310">
        <v>0</v>
      </c>
      <c r="H33" s="310">
        <v>0</v>
      </c>
      <c r="I33" s="310">
        <v>0</v>
      </c>
      <c r="J33" s="310">
        <v>0</v>
      </c>
      <c r="K33" s="310">
        <v>0</v>
      </c>
      <c r="L33" s="310">
        <v>0</v>
      </c>
    </row>
    <row r="34" spans="1:12" x14ac:dyDescent="0.25">
      <c r="A34" s="74" t="s">
        <v>307</v>
      </c>
      <c r="B34" s="256">
        <f>+SUM(B30:B33)</f>
        <v>0</v>
      </c>
      <c r="C34" s="256">
        <f>+SUM(C30:C33)</f>
        <v>0</v>
      </c>
      <c r="D34" s="256">
        <v>0</v>
      </c>
      <c r="E34" s="256">
        <f>+SUM(E30:E33)</f>
        <v>277200000</v>
      </c>
      <c r="F34" s="256">
        <f>+SUM(F30:F33)</f>
        <v>284407200</v>
      </c>
      <c r="G34" s="256">
        <f t="shared" ref="G34:L34" si="2">+SUM(G30:G33)</f>
        <v>598754426.11199999</v>
      </c>
      <c r="H34" s="256">
        <f t="shared" si="2"/>
        <v>313531533.08363521</v>
      </c>
      <c r="I34" s="256">
        <f t="shared" si="2"/>
        <v>323376423.2224614</v>
      </c>
      <c r="J34" s="256">
        <f t="shared" si="2"/>
        <v>333401092.34235758</v>
      </c>
      <c r="K34" s="256">
        <f t="shared" si="2"/>
        <v>343603165.76803374</v>
      </c>
      <c r="L34" s="256">
        <f t="shared" si="2"/>
        <v>354117422.64053559</v>
      </c>
    </row>
    <row r="35" spans="1:12" x14ac:dyDescent="0.25">
      <c r="D35" s="257">
        <v>6501580000</v>
      </c>
      <c r="E35" s="257">
        <f>D35*(1+Supuestos!E5)</f>
        <v>6670621080</v>
      </c>
      <c r="F35" s="257">
        <f>E35*(1+Supuestos!F5)</f>
        <v>6908095190.4480009</v>
      </c>
      <c r="G35" s="257">
        <f>F35*(1+Supuestos!G5)</f>
        <v>7119482903.2757092</v>
      </c>
      <c r="H35" s="257">
        <f>G35*(1+Supuestos!H5)</f>
        <v>7343034666.4385672</v>
      </c>
      <c r="I35" s="257">
        <f>H35*(1+Supuestos!I5)</f>
        <v>7570668741.0981617</v>
      </c>
      <c r="J35" s="257">
        <f>I35*(1+Supuestos!J5)</f>
        <v>7802331204.5757656</v>
      </c>
      <c r="K35" s="257">
        <f>J35*(1+Supuestos!K5)</f>
        <v>8041082539.4357834</v>
      </c>
      <c r="L35" s="257">
        <f>K35*(1+Supuestos!L5)</f>
        <v>8287139665.142518</v>
      </c>
    </row>
    <row r="36" spans="1:12" x14ac:dyDescent="0.25">
      <c r="D36" s="257"/>
      <c r="E36" s="257">
        <f>E35+E34</f>
        <v>6947821080</v>
      </c>
      <c r="F36" s="257">
        <f>F35+F34</f>
        <v>7192502390.4480009</v>
      </c>
      <c r="G36" s="257">
        <f t="shared" ref="G36:L36" si="3">G35+G34</f>
        <v>7718237329.3877087</v>
      </c>
      <c r="H36" s="257">
        <f t="shared" si="3"/>
        <v>7656566199.5222025</v>
      </c>
      <c r="I36" s="257">
        <f t="shared" si="3"/>
        <v>7894045164.3206234</v>
      </c>
      <c r="J36" s="257">
        <f t="shared" si="3"/>
        <v>8135732296.9181232</v>
      </c>
      <c r="K36" s="257">
        <f t="shared" si="3"/>
        <v>8384685705.2038174</v>
      </c>
      <c r="L36" s="257">
        <f t="shared" si="3"/>
        <v>8641257087.7830544</v>
      </c>
    </row>
    <row r="37" spans="1:12" x14ac:dyDescent="0.25">
      <c r="D37" s="257"/>
      <c r="E37" s="257"/>
      <c r="F37" s="257"/>
      <c r="G37" s="257"/>
      <c r="H37" s="257"/>
      <c r="I37" s="257"/>
      <c r="J37" s="257"/>
      <c r="K37" s="257"/>
      <c r="L37" s="257"/>
    </row>
    <row r="38" spans="1:12" hidden="1" x14ac:dyDescent="0.25">
      <c r="A38" s="258" t="s">
        <v>299</v>
      </c>
      <c r="B38" s="254">
        <f>+$B$4*[1]Supuestos!B11*[1]OPEX!B24*12</f>
        <v>0</v>
      </c>
      <c r="C38" s="254">
        <f>+$B$4*[1]Supuestos!C11*[1]OPEX!C24*12</f>
        <v>0</v>
      </c>
      <c r="D38" s="254">
        <f>+$B$4*[1]Supuestos!D11*[1]OPEX!D24*12</f>
        <v>0</v>
      </c>
      <c r="E38" s="254">
        <f>+$B$4*[1]Supuestos!E11*[1]OPEX!E24*12</f>
        <v>0</v>
      </c>
      <c r="F38" s="254">
        <f>+$B$4*[1]Supuestos!F11*[1]OPEX!F24*12</f>
        <v>0</v>
      </c>
      <c r="G38" s="254">
        <f>+$B$4*[1]Supuestos!G11*[1]OPEX!G24*12</f>
        <v>0</v>
      </c>
      <c r="H38" s="254">
        <f>+$B$4*[1]Supuestos!H11*[1]OPEX!H24*12</f>
        <v>0</v>
      </c>
      <c r="I38" s="254">
        <f>+$B$4*[1]Supuestos!I11*[1]OPEX!I24*12</f>
        <v>0</v>
      </c>
      <c r="J38" s="254">
        <f>+$B$4*[1]Supuestos!J11*[1]OPEX!J24*12</f>
        <v>0</v>
      </c>
      <c r="K38" s="254">
        <f>+$B$4*[1]Supuestos!K11*[1]OPEX!K24*12</f>
        <v>0</v>
      </c>
      <c r="L38" s="254">
        <f>+$B$4*[1]Supuestos!L11*[1]OPEX!L24*12</f>
        <v>0</v>
      </c>
    </row>
    <row r="39" spans="1:12" hidden="1" x14ac:dyDescent="0.25">
      <c r="A39" s="157" t="s">
        <v>300</v>
      </c>
      <c r="B39" s="254">
        <f>+$B$5*[1]Supuestos!B11*[1]OPEX!B25</f>
        <v>0</v>
      </c>
      <c r="C39" s="254">
        <f>+$B$5*[1]Supuestos!C11*[1]OPEX!C25</f>
        <v>0</v>
      </c>
      <c r="D39" s="254">
        <f>+$B$5*[1]Supuestos!D11*[1]OPEX!D25</f>
        <v>0</v>
      </c>
      <c r="E39" s="254">
        <f>+$B$5*[1]Supuestos!E11*[1]OPEX!E25</f>
        <v>0</v>
      </c>
      <c r="F39" s="254">
        <f>+$B$5*[1]Supuestos!F11*[1]OPEX!F25</f>
        <v>0</v>
      </c>
      <c r="G39" s="254">
        <f>+$B$5*[1]Supuestos!G11*[1]OPEX!G25</f>
        <v>0</v>
      </c>
      <c r="H39" s="254">
        <f>+$B$5*[1]Supuestos!H11*[1]OPEX!H25</f>
        <v>0</v>
      </c>
      <c r="I39" s="254">
        <f>+$B$5*[1]Supuestos!I11*[1]OPEX!I25</f>
        <v>0</v>
      </c>
      <c r="J39" s="254">
        <f>+$B$5*[1]Supuestos!J11*[1]OPEX!J25</f>
        <v>0</v>
      </c>
      <c r="K39" s="254">
        <f>+$B$5*[1]Supuestos!K11*[1]OPEX!K25</f>
        <v>0</v>
      </c>
      <c r="L39" s="254">
        <f>+$B$5*[1]Supuestos!L11*[1]OPEX!L25</f>
        <v>0</v>
      </c>
    </row>
    <row r="40" spans="1:12" hidden="1" x14ac:dyDescent="0.25">
      <c r="A40" s="258" t="s">
        <v>301</v>
      </c>
      <c r="B40" s="254">
        <f>+$B$6*[1]Supuestos!B11*[1]OPEX!B26*12</f>
        <v>0</v>
      </c>
      <c r="C40" s="254">
        <f>+$B$6*[1]Supuestos!C11*[1]OPEX!C26*12</f>
        <v>0</v>
      </c>
      <c r="D40" s="254">
        <f>+$B$6*[1]Supuestos!D11*[1]OPEX!D26*12</f>
        <v>0</v>
      </c>
      <c r="E40" s="254">
        <f>+$B$6*[1]Supuestos!E11*[1]OPEX!E26*12</f>
        <v>0</v>
      </c>
      <c r="F40" s="254">
        <f>+$B$6*[1]Supuestos!F11*[1]OPEX!F26*12</f>
        <v>0</v>
      </c>
      <c r="G40" s="254">
        <f>+$B$6*[1]Supuestos!G11*[1]OPEX!G26*12</f>
        <v>0</v>
      </c>
      <c r="H40" s="254">
        <f>+$B$6*[1]Supuestos!H11*[1]OPEX!H26*12</f>
        <v>0</v>
      </c>
      <c r="I40" s="254">
        <f>+$B$6*[1]Supuestos!I11*[1]OPEX!I26*12</f>
        <v>0</v>
      </c>
      <c r="J40" s="254">
        <f>+$B$6*[1]Supuestos!J11*[1]OPEX!J26*12</f>
        <v>0</v>
      </c>
      <c r="K40" s="254">
        <f>+$B$6*[1]Supuestos!K11*[1]OPEX!K26*12</f>
        <v>0</v>
      </c>
      <c r="L40" s="254">
        <f>+$B$6*[1]Supuestos!L11*[1]OPEX!L26*12</f>
        <v>0</v>
      </c>
    </row>
    <row r="41" spans="1:12" hidden="1" x14ac:dyDescent="0.25">
      <c r="A41" s="258" t="s">
        <v>308</v>
      </c>
    </row>
    <row r="42" spans="1:12" hidden="1" x14ac:dyDescent="0.25">
      <c r="A42" s="258" t="s">
        <v>309</v>
      </c>
    </row>
    <row r="43" spans="1:12" hidden="1" x14ac:dyDescent="0.25">
      <c r="A43" s="259" t="s">
        <v>310</v>
      </c>
      <c r="B43" s="256">
        <f>+SUM(B38:B42)</f>
        <v>0</v>
      </c>
      <c r="C43" s="256">
        <f t="shared" ref="C43:L43" si="4">+SUM(C38:C42)</f>
        <v>0</v>
      </c>
      <c r="D43" s="256">
        <f t="shared" si="4"/>
        <v>0</v>
      </c>
      <c r="E43" s="256">
        <f t="shared" si="4"/>
        <v>0</v>
      </c>
      <c r="F43" s="256">
        <f t="shared" si="4"/>
        <v>0</v>
      </c>
      <c r="G43" s="256">
        <f t="shared" si="4"/>
        <v>0</v>
      </c>
      <c r="H43" s="256">
        <f t="shared" si="4"/>
        <v>0</v>
      </c>
      <c r="I43" s="256">
        <f t="shared" si="4"/>
        <v>0</v>
      </c>
      <c r="J43" s="256">
        <f t="shared" si="4"/>
        <v>0</v>
      </c>
      <c r="K43" s="256">
        <f t="shared" si="4"/>
        <v>0</v>
      </c>
      <c r="L43" s="256">
        <f t="shared" si="4"/>
        <v>0</v>
      </c>
    </row>
    <row r="44" spans="1:12" hidden="1" x14ac:dyDescent="0.25">
      <c r="A44" s="258"/>
    </row>
    <row r="45" spans="1:12" hidden="1" x14ac:dyDescent="0.25">
      <c r="A45" s="258" t="s">
        <v>311</v>
      </c>
    </row>
    <row r="46" spans="1:12" hidden="1" x14ac:dyDescent="0.25">
      <c r="A46" s="258" t="s">
        <v>312</v>
      </c>
    </row>
    <row r="47" spans="1:12" hidden="1" x14ac:dyDescent="0.25">
      <c r="A47" s="258" t="s">
        <v>313</v>
      </c>
    </row>
    <row r="48" spans="1:12" hidden="1" x14ac:dyDescent="0.25">
      <c r="A48" s="259" t="s">
        <v>314</v>
      </c>
      <c r="B48" s="260">
        <f t="shared" ref="B48:L48" si="5">+SUM(B45:B47)</f>
        <v>0</v>
      </c>
      <c r="C48" s="260">
        <f t="shared" si="5"/>
        <v>0</v>
      </c>
      <c r="D48" s="260">
        <f t="shared" si="5"/>
        <v>0</v>
      </c>
      <c r="E48" s="260">
        <f t="shared" si="5"/>
        <v>0</v>
      </c>
      <c r="F48" s="260">
        <f t="shared" si="5"/>
        <v>0</v>
      </c>
      <c r="G48" s="260">
        <f t="shared" si="5"/>
        <v>0</v>
      </c>
      <c r="H48" s="260">
        <f t="shared" si="5"/>
        <v>0</v>
      </c>
      <c r="I48" s="260">
        <f t="shared" si="5"/>
        <v>0</v>
      </c>
      <c r="J48" s="260">
        <f t="shared" si="5"/>
        <v>0</v>
      </c>
      <c r="K48" s="260">
        <f t="shared" si="5"/>
        <v>0</v>
      </c>
      <c r="L48" s="260">
        <f t="shared" si="5"/>
        <v>0</v>
      </c>
    </row>
    <row r="49" spans="1:12" hidden="1" x14ac:dyDescent="0.25">
      <c r="A49" s="258"/>
    </row>
    <row r="50" spans="1:12" hidden="1" x14ac:dyDescent="0.25">
      <c r="A50" s="261" t="s">
        <v>315</v>
      </c>
      <c r="B50" s="254">
        <f>+[1]CAPEX!B47</f>
        <v>0</v>
      </c>
      <c r="C50" s="254">
        <f>+[1]CAPEX!C47</f>
        <v>0</v>
      </c>
      <c r="D50" s="254">
        <f>+[1]CAPEX!D47</f>
        <v>0</v>
      </c>
      <c r="E50" s="254">
        <f>+[1]CAPEX!E47</f>
        <v>0</v>
      </c>
      <c r="F50" s="254">
        <f>+[1]CAPEX!F47</f>
        <v>0</v>
      </c>
      <c r="G50" s="254">
        <f>+[1]CAPEX!G47</f>
        <v>0</v>
      </c>
      <c r="H50" s="254">
        <f>+[1]CAPEX!H47</f>
        <v>0</v>
      </c>
      <c r="I50" s="254">
        <f>+[1]CAPEX!I47</f>
        <v>0</v>
      </c>
      <c r="J50" s="254">
        <f>+[1]CAPEX!J47</f>
        <v>0</v>
      </c>
      <c r="K50" s="254">
        <f>+[1]CAPEX!K47</f>
        <v>0</v>
      </c>
      <c r="L50" s="254">
        <f>+[1]CAPEX!L47</f>
        <v>0</v>
      </c>
    </row>
    <row r="51" spans="1:12" hidden="1" x14ac:dyDescent="0.25">
      <c r="A51" s="261" t="s">
        <v>316</v>
      </c>
      <c r="B51" s="254">
        <f>+[1]CAPEX!B50</f>
        <v>0</v>
      </c>
      <c r="C51" s="254">
        <f>+[1]CAPEX!C50</f>
        <v>0</v>
      </c>
      <c r="D51" s="254">
        <f>+[1]CAPEX!D50</f>
        <v>0</v>
      </c>
      <c r="E51" s="254">
        <f>+[1]CAPEX!E50</f>
        <v>0</v>
      </c>
      <c r="F51" s="254">
        <f>+[1]CAPEX!F50</f>
        <v>0</v>
      </c>
      <c r="G51" s="254">
        <f>+[1]CAPEX!G50</f>
        <v>0</v>
      </c>
      <c r="H51" s="254">
        <f>+[1]CAPEX!H50</f>
        <v>0</v>
      </c>
      <c r="I51" s="254">
        <f>+[1]CAPEX!I50</f>
        <v>0</v>
      </c>
      <c r="J51" s="254">
        <f>+[1]CAPEX!J50</f>
        <v>0</v>
      </c>
      <c r="K51" s="254">
        <f>+[1]CAPEX!K50</f>
        <v>0</v>
      </c>
      <c r="L51" s="254">
        <f>+[1]CAPEX!L50</f>
        <v>0</v>
      </c>
    </row>
    <row r="52" spans="1:12" hidden="1" x14ac:dyDescent="0.25">
      <c r="A52" s="259" t="s">
        <v>317</v>
      </c>
      <c r="B52" s="260">
        <f t="shared" ref="B52:L52" si="6">+SUM(B50:B51)</f>
        <v>0</v>
      </c>
      <c r="C52" s="260">
        <f t="shared" si="6"/>
        <v>0</v>
      </c>
      <c r="D52" s="260">
        <f t="shared" si="6"/>
        <v>0</v>
      </c>
      <c r="E52" s="260">
        <f t="shared" si="6"/>
        <v>0</v>
      </c>
      <c r="F52" s="260">
        <f t="shared" si="6"/>
        <v>0</v>
      </c>
      <c r="G52" s="260">
        <f t="shared" si="6"/>
        <v>0</v>
      </c>
      <c r="H52" s="260">
        <f t="shared" si="6"/>
        <v>0</v>
      </c>
      <c r="I52" s="260">
        <f t="shared" si="6"/>
        <v>0</v>
      </c>
      <c r="J52" s="260">
        <f t="shared" si="6"/>
        <v>0</v>
      </c>
      <c r="K52" s="260">
        <f t="shared" si="6"/>
        <v>0</v>
      </c>
      <c r="L52" s="260">
        <f t="shared" si="6"/>
        <v>0</v>
      </c>
    </row>
    <row r="53" spans="1:12" hidden="1" x14ac:dyDescent="0.25">
      <c r="A53" s="258"/>
    </row>
    <row r="54" spans="1:12" hidden="1" x14ac:dyDescent="0.25">
      <c r="A54" s="262" t="s">
        <v>318</v>
      </c>
      <c r="B54" s="254">
        <v>0</v>
      </c>
      <c r="C54" s="254">
        <f>+B54*(1+[1]Supuestos!B10)</f>
        <v>0</v>
      </c>
      <c r="D54" s="254">
        <f>+C54*(1+[1]Supuestos!C10)</f>
        <v>0</v>
      </c>
      <c r="E54" s="254">
        <f>+D54*(1+[1]Supuestos!D10)</f>
        <v>0</v>
      </c>
      <c r="F54" s="254">
        <f>+E54*(1+[1]Supuestos!E10)</f>
        <v>0</v>
      </c>
      <c r="G54" s="254">
        <f>+F54*(1+[1]Supuestos!F10)</f>
        <v>0</v>
      </c>
      <c r="H54" s="254">
        <f>+G54*(1+[1]Supuestos!G10)</f>
        <v>0</v>
      </c>
      <c r="I54" s="254">
        <f>+H54*(1+[1]Supuestos!H10)</f>
        <v>0</v>
      </c>
      <c r="J54" s="254">
        <f>+I54*(1+[1]Supuestos!I10)</f>
        <v>0</v>
      </c>
      <c r="K54" s="254">
        <f>+J54*(1+[1]Supuestos!J10)</f>
        <v>0</v>
      </c>
      <c r="L54" s="254">
        <f>+K54*(1+[1]Supuestos!K10)</f>
        <v>0</v>
      </c>
    </row>
    <row r="55" spans="1:12" hidden="1" x14ac:dyDescent="0.25">
      <c r="A55" s="262" t="s">
        <v>319</v>
      </c>
      <c r="B55" s="254">
        <v>0</v>
      </c>
      <c r="C55" s="254">
        <f>+B55*(1+[1]Supuestos!B10)</f>
        <v>0</v>
      </c>
      <c r="D55" s="254">
        <f>+C55*(1+[1]Supuestos!C10)</f>
        <v>0</v>
      </c>
      <c r="E55" s="254">
        <f>+D55*(1+[1]Supuestos!D10)</f>
        <v>0</v>
      </c>
      <c r="F55" s="254">
        <f>+E55*(1+[1]Supuestos!E10)</f>
        <v>0</v>
      </c>
      <c r="G55" s="254">
        <f>+F55*(1+[1]Supuestos!F10)</f>
        <v>0</v>
      </c>
      <c r="H55" s="254">
        <f>+G55*(1+[1]Supuestos!G10)</f>
        <v>0</v>
      </c>
      <c r="I55" s="254">
        <f>+H55*(1+[1]Supuestos!H10)</f>
        <v>0</v>
      </c>
      <c r="J55" s="254">
        <f>+I55*(1+[1]Supuestos!I10)</f>
        <v>0</v>
      </c>
      <c r="K55" s="254">
        <f>+J55*(1+[1]Supuestos!J10)</f>
        <v>0</v>
      </c>
      <c r="L55" s="254">
        <f>+K55*(1+[1]Supuestos!K10)</f>
        <v>0</v>
      </c>
    </row>
    <row r="56" spans="1:12" hidden="1" x14ac:dyDescent="0.25">
      <c r="A56" s="259" t="s">
        <v>320</v>
      </c>
      <c r="B56" s="256">
        <f>+SUM(B54:B55)</f>
        <v>0</v>
      </c>
      <c r="C56" s="256">
        <f t="shared" ref="C56:L56" si="7">+SUM(C54:C55)</f>
        <v>0</v>
      </c>
      <c r="D56" s="256">
        <f t="shared" si="7"/>
        <v>0</v>
      </c>
      <c r="E56" s="256">
        <f t="shared" si="7"/>
        <v>0</v>
      </c>
      <c r="F56" s="256">
        <f t="shared" si="7"/>
        <v>0</v>
      </c>
      <c r="G56" s="256">
        <f t="shared" si="7"/>
        <v>0</v>
      </c>
      <c r="H56" s="256">
        <f t="shared" si="7"/>
        <v>0</v>
      </c>
      <c r="I56" s="256">
        <f t="shared" si="7"/>
        <v>0</v>
      </c>
      <c r="J56" s="256">
        <f t="shared" si="7"/>
        <v>0</v>
      </c>
      <c r="K56" s="256">
        <f t="shared" si="7"/>
        <v>0</v>
      </c>
      <c r="L56" s="256">
        <f t="shared" si="7"/>
        <v>0</v>
      </c>
    </row>
    <row r="57" spans="1:12" hidden="1" x14ac:dyDescent="0.25">
      <c r="A57" s="258"/>
    </row>
    <row r="58" spans="1:12" hidden="1" x14ac:dyDescent="0.25">
      <c r="A58" s="259" t="s">
        <v>321</v>
      </c>
      <c r="B58" s="260">
        <f>+$B$10*[1]Supuestos!B11*[1]OPEX!B32</f>
        <v>0</v>
      </c>
      <c r="C58" s="260">
        <f>+$B$10*[1]Supuestos!C11*[1]OPEX!C32</f>
        <v>0</v>
      </c>
      <c r="D58" s="260">
        <f>+$B$10*[1]Supuestos!D11*[1]OPEX!D32</f>
        <v>0</v>
      </c>
      <c r="E58" s="260">
        <f>+$B$10*[1]Supuestos!E11*[1]OPEX!E32</f>
        <v>0</v>
      </c>
      <c r="F58" s="260">
        <f>+$B$10*[1]Supuestos!F11*[1]OPEX!F32</f>
        <v>0</v>
      </c>
      <c r="G58" s="260">
        <f>+$B$10*[1]Supuestos!G11*[1]OPEX!G32</f>
        <v>0</v>
      </c>
      <c r="H58" s="260">
        <f>+$B$10*[1]Supuestos!H11*[1]OPEX!H32</f>
        <v>0</v>
      </c>
      <c r="I58" s="260">
        <f>+$B$10*[1]Supuestos!I11*[1]OPEX!I32</f>
        <v>0</v>
      </c>
      <c r="J58" s="260">
        <f>+$B$10*[1]Supuestos!J11*[1]OPEX!J32</f>
        <v>0</v>
      </c>
      <c r="K58" s="260">
        <f>+$B$10*[1]Supuestos!K11*[1]OPEX!K32</f>
        <v>0</v>
      </c>
      <c r="L58" s="260">
        <f>+$B$10*[1]Supuestos!L11*[1]OPEX!L32</f>
        <v>0</v>
      </c>
    </row>
    <row r="59" spans="1:12" hidden="1" x14ac:dyDescent="0.25">
      <c r="A59" s="258"/>
    </row>
    <row r="60" spans="1:12" hidden="1" x14ac:dyDescent="0.25">
      <c r="A60" s="259" t="s">
        <v>322</v>
      </c>
      <c r="B60" s="260">
        <f>+$B$11*[1]Supuestos!B11*[1]OPEX!B32</f>
        <v>0</v>
      </c>
      <c r="C60" s="260">
        <f>+$B$11*[1]Supuestos!C11*[1]OPEX!C32</f>
        <v>0</v>
      </c>
      <c r="D60" s="260">
        <f>+$B$11*[1]Supuestos!D11*[1]OPEX!D32</f>
        <v>0</v>
      </c>
      <c r="E60" s="260">
        <f>+$B$11*[1]Supuestos!E11*[1]OPEX!E32</f>
        <v>0</v>
      </c>
      <c r="F60" s="260">
        <f>+$B$11*[1]Supuestos!F11*[1]OPEX!F32</f>
        <v>0</v>
      </c>
      <c r="G60" s="260">
        <f>+$B$11*[1]Supuestos!G11*[1]OPEX!G32</f>
        <v>0</v>
      </c>
      <c r="H60" s="260">
        <f>+$B$11*[1]Supuestos!H11*[1]OPEX!H32</f>
        <v>0</v>
      </c>
      <c r="I60" s="260">
        <f>+$B$11*[1]Supuestos!I11*[1]OPEX!I32</f>
        <v>0</v>
      </c>
      <c r="J60" s="260">
        <f>+$B$11*[1]Supuestos!J11*[1]OPEX!J32</f>
        <v>0</v>
      </c>
      <c r="K60" s="260">
        <f>+$B$11*[1]Supuestos!K11*[1]OPEX!K32</f>
        <v>0</v>
      </c>
      <c r="L60" s="260">
        <f>+$B$11*[1]Supuestos!L11*[1]OPEX!L32</f>
        <v>0</v>
      </c>
    </row>
    <row r="61" spans="1:12" hidden="1" x14ac:dyDescent="0.25">
      <c r="A61" s="258"/>
    </row>
    <row r="62" spans="1:12" hidden="1" x14ac:dyDescent="0.25">
      <c r="A62" s="258" t="s">
        <v>323</v>
      </c>
      <c r="B62" s="263"/>
      <c r="C62" s="263"/>
      <c r="D62" s="263"/>
      <c r="E62" s="263"/>
      <c r="F62" s="263"/>
      <c r="G62" s="263"/>
      <c r="H62" s="263"/>
      <c r="I62" s="263"/>
      <c r="J62" s="263"/>
      <c r="K62" s="263"/>
      <c r="L62" s="263"/>
    </row>
    <row r="63" spans="1:12" hidden="1" x14ac:dyDescent="0.25">
      <c r="A63" s="258" t="s">
        <v>324</v>
      </c>
      <c r="B63" s="263"/>
      <c r="C63" s="263"/>
      <c r="D63" s="263"/>
      <c r="E63" s="263"/>
      <c r="F63" s="263"/>
      <c r="G63" s="263"/>
      <c r="H63" s="263"/>
      <c r="I63" s="263"/>
      <c r="J63" s="263"/>
      <c r="K63" s="263"/>
      <c r="L63" s="263"/>
    </row>
    <row r="64" spans="1:12" hidden="1" x14ac:dyDescent="0.25">
      <c r="A64" s="258" t="s">
        <v>325</v>
      </c>
      <c r="B64" s="263"/>
      <c r="C64" s="263"/>
      <c r="D64" s="263"/>
      <c r="E64" s="263"/>
      <c r="F64" s="263"/>
      <c r="G64" s="263"/>
      <c r="H64" s="263"/>
      <c r="I64" s="263"/>
      <c r="J64" s="263"/>
      <c r="K64" s="263"/>
      <c r="L64" s="263"/>
    </row>
    <row r="65" spans="1:12" hidden="1" x14ac:dyDescent="0.25">
      <c r="A65" s="258" t="s">
        <v>326</v>
      </c>
      <c r="B65" s="263"/>
      <c r="C65" s="263"/>
      <c r="D65" s="263"/>
      <c r="E65" s="263"/>
      <c r="F65" s="263"/>
      <c r="G65" s="263"/>
      <c r="H65" s="263"/>
      <c r="I65" s="263"/>
      <c r="J65" s="263"/>
      <c r="K65" s="263"/>
      <c r="L65" s="263"/>
    </row>
    <row r="66" spans="1:12" hidden="1" x14ac:dyDescent="0.25">
      <c r="A66" s="258" t="s">
        <v>327</v>
      </c>
      <c r="B66" s="263"/>
      <c r="C66" s="263"/>
      <c r="D66" s="263"/>
      <c r="E66" s="263"/>
      <c r="F66" s="263"/>
      <c r="G66" s="263"/>
      <c r="H66" s="263"/>
      <c r="I66" s="263"/>
      <c r="J66" s="263"/>
      <c r="K66" s="263"/>
      <c r="L66" s="263"/>
    </row>
    <row r="67" spans="1:12" hidden="1" x14ac:dyDescent="0.25">
      <c r="A67" s="259" t="s">
        <v>328</v>
      </c>
      <c r="B67" s="260">
        <f>+SUM(B62:B66)</f>
        <v>0</v>
      </c>
      <c r="C67" s="260">
        <f t="shared" ref="C67:L67" si="8">+SUM(C62:C66)</f>
        <v>0</v>
      </c>
      <c r="D67" s="260">
        <f t="shared" si="8"/>
        <v>0</v>
      </c>
      <c r="E67" s="260">
        <f t="shared" si="8"/>
        <v>0</v>
      </c>
      <c r="F67" s="260">
        <f t="shared" si="8"/>
        <v>0</v>
      </c>
      <c r="G67" s="260">
        <f t="shared" si="8"/>
        <v>0</v>
      </c>
      <c r="H67" s="260">
        <f t="shared" si="8"/>
        <v>0</v>
      </c>
      <c r="I67" s="260">
        <f t="shared" si="8"/>
        <v>0</v>
      </c>
      <c r="J67" s="260">
        <f t="shared" si="8"/>
        <v>0</v>
      </c>
      <c r="K67" s="260">
        <f t="shared" si="8"/>
        <v>0</v>
      </c>
      <c r="L67" s="260">
        <f t="shared" si="8"/>
        <v>0</v>
      </c>
    </row>
    <row r="68" spans="1:12" hidden="1" x14ac:dyDescent="0.25">
      <c r="A68" s="258"/>
    </row>
    <row r="69" spans="1:12" hidden="1" x14ac:dyDescent="0.25">
      <c r="A69" s="259" t="s">
        <v>329</v>
      </c>
      <c r="B69" s="260">
        <f>+$B$12*[1]Supuestos!B11*[1]OPEX!B32</f>
        <v>0</v>
      </c>
      <c r="C69" s="260">
        <f>+$B$12*[1]Supuestos!C11*[1]OPEX!C32</f>
        <v>0</v>
      </c>
      <c r="D69" s="260">
        <f>+$B$12*[1]Supuestos!D11*[1]OPEX!D32</f>
        <v>0</v>
      </c>
      <c r="E69" s="260">
        <f>+$B$12*[1]Supuestos!E11*[1]OPEX!E32</f>
        <v>0</v>
      </c>
      <c r="F69" s="260">
        <f>+$B$12*[1]Supuestos!F11*[1]OPEX!F32</f>
        <v>0</v>
      </c>
      <c r="G69" s="260">
        <f>+$B$12*[1]Supuestos!G11*[1]OPEX!G32</f>
        <v>0</v>
      </c>
      <c r="H69" s="260">
        <f>+$B$12*[1]Supuestos!H11*[1]OPEX!H32</f>
        <v>0</v>
      </c>
      <c r="I69" s="260">
        <f>+$B$12*[1]Supuestos!I11*[1]OPEX!I32</f>
        <v>0</v>
      </c>
      <c r="J69" s="260">
        <f>+$B$12*[1]Supuestos!J11*[1]OPEX!J32</f>
        <v>0</v>
      </c>
      <c r="K69" s="260">
        <f>+$B$12*[1]Supuestos!K11*[1]OPEX!K32</f>
        <v>0</v>
      </c>
      <c r="L69" s="260">
        <f>+$B$12*[1]Supuestos!L11*[1]OPEX!L32</f>
        <v>0</v>
      </c>
    </row>
    <row r="70" spans="1:12" hidden="1" x14ac:dyDescent="0.25">
      <c r="A70" s="258"/>
    </row>
    <row r="71" spans="1:12" hidden="1" x14ac:dyDescent="0.25">
      <c r="A71" s="258" t="s">
        <v>330</v>
      </c>
      <c r="B71" s="263"/>
      <c r="C71" s="263"/>
      <c r="D71" s="263"/>
      <c r="E71" s="263"/>
      <c r="F71" s="263"/>
      <c r="G71" s="263"/>
      <c r="H71" s="263"/>
      <c r="I71" s="263"/>
      <c r="J71" s="263"/>
      <c r="K71" s="263"/>
      <c r="L71" s="263"/>
    </row>
    <row r="72" spans="1:12" hidden="1" x14ac:dyDescent="0.25">
      <c r="A72" s="258" t="s">
        <v>331</v>
      </c>
      <c r="B72" s="263"/>
      <c r="C72" s="263"/>
      <c r="D72" s="263"/>
      <c r="E72" s="263"/>
      <c r="F72" s="263"/>
      <c r="G72" s="263"/>
      <c r="H72" s="263"/>
      <c r="I72" s="263"/>
      <c r="J72" s="263"/>
      <c r="K72" s="263"/>
      <c r="L72" s="263"/>
    </row>
    <row r="73" spans="1:12" hidden="1" x14ac:dyDescent="0.25">
      <c r="A73" s="258" t="s">
        <v>332</v>
      </c>
      <c r="B73" s="263"/>
      <c r="C73" s="263"/>
      <c r="D73" s="263"/>
      <c r="E73" s="263"/>
      <c r="F73" s="263"/>
      <c r="G73" s="263"/>
      <c r="H73" s="263"/>
      <c r="I73" s="263"/>
      <c r="J73" s="263"/>
      <c r="K73" s="263"/>
      <c r="L73" s="263"/>
    </row>
    <row r="74" spans="1:12" hidden="1" x14ac:dyDescent="0.25">
      <c r="A74" s="259" t="s">
        <v>333</v>
      </c>
      <c r="B74" s="260">
        <f>+SUM(B71:B73)</f>
        <v>0</v>
      </c>
      <c r="C74" s="260">
        <f t="shared" ref="C74:L74" si="9">+SUM(C71:C73)</f>
        <v>0</v>
      </c>
      <c r="D74" s="260">
        <f t="shared" si="9"/>
        <v>0</v>
      </c>
      <c r="E74" s="260">
        <f t="shared" si="9"/>
        <v>0</v>
      </c>
      <c r="F74" s="260">
        <f t="shared" si="9"/>
        <v>0</v>
      </c>
      <c r="G74" s="260">
        <f t="shared" si="9"/>
        <v>0</v>
      </c>
      <c r="H74" s="260">
        <f t="shared" si="9"/>
        <v>0</v>
      </c>
      <c r="I74" s="260">
        <f t="shared" si="9"/>
        <v>0</v>
      </c>
      <c r="J74" s="260">
        <f t="shared" si="9"/>
        <v>0</v>
      </c>
      <c r="K74" s="260">
        <f t="shared" si="9"/>
        <v>0</v>
      </c>
      <c r="L74" s="260">
        <f t="shared" si="9"/>
        <v>0</v>
      </c>
    </row>
    <row r="75" spans="1:12" x14ac:dyDescent="0.25">
      <c r="A75" s="258"/>
    </row>
    <row r="76" spans="1:12" x14ac:dyDescent="0.25">
      <c r="A76" s="258" t="s">
        <v>334</v>
      </c>
      <c r="B76" s="254">
        <v>0</v>
      </c>
      <c r="C76" s="254">
        <f t="shared" ref="C76:L76" si="10">+$B$15*C100</f>
        <v>0</v>
      </c>
      <c r="D76" s="254">
        <f t="shared" si="10"/>
        <v>0</v>
      </c>
      <c r="E76" s="254">
        <f t="shared" si="10"/>
        <v>-20000</v>
      </c>
      <c r="F76" s="254">
        <f t="shared" si="10"/>
        <v>-40000</v>
      </c>
      <c r="G76" s="254">
        <f t="shared" si="10"/>
        <v>46252.56</v>
      </c>
      <c r="H76" s="254">
        <f t="shared" si="10"/>
        <v>26252.560000000001</v>
      </c>
      <c r="I76" s="254">
        <f t="shared" si="10"/>
        <v>6252.56</v>
      </c>
      <c r="J76" s="254">
        <f t="shared" si="10"/>
        <v>-13747.44</v>
      </c>
      <c r="K76" s="254">
        <f t="shared" si="10"/>
        <v>-33747.440000000002</v>
      </c>
      <c r="L76" s="254">
        <f t="shared" si="10"/>
        <v>-53747.44</v>
      </c>
    </row>
    <row r="77" spans="1:12" x14ac:dyDescent="0.25">
      <c r="A77" s="258" t="s">
        <v>335</v>
      </c>
      <c r="B77" s="254">
        <v>0</v>
      </c>
      <c r="C77" s="254">
        <f>+$B$15*C101</f>
        <v>0</v>
      </c>
      <c r="D77" s="254">
        <f>+$B$15*D101</f>
        <v>0</v>
      </c>
      <c r="E77" s="254">
        <f t="shared" ref="E77:L77" si="11">+$B$15*E101</f>
        <v>-1000</v>
      </c>
      <c r="F77" s="254">
        <f t="shared" si="11"/>
        <v>-2000</v>
      </c>
      <c r="G77" s="254">
        <f t="shared" si="11"/>
        <v>2312.6280000000006</v>
      </c>
      <c r="H77" s="254">
        <f t="shared" si="11"/>
        <v>1312.6280000000004</v>
      </c>
      <c r="I77" s="254">
        <f t="shared" si="11"/>
        <v>312.6280000000005</v>
      </c>
      <c r="J77" s="254">
        <f t="shared" si="11"/>
        <v>-687.3719999999995</v>
      </c>
      <c r="K77" s="254">
        <f t="shared" si="11"/>
        <v>-1687.3719999999996</v>
      </c>
      <c r="L77" s="254">
        <f t="shared" si="11"/>
        <v>-2687.3719999999994</v>
      </c>
    </row>
    <row r="78" spans="1:12" x14ac:dyDescent="0.25">
      <c r="A78" s="258" t="s">
        <v>336</v>
      </c>
      <c r="B78" s="254">
        <v>0</v>
      </c>
      <c r="C78" s="254">
        <v>0</v>
      </c>
      <c r="D78" s="254">
        <v>0</v>
      </c>
      <c r="E78" s="254">
        <v>0</v>
      </c>
      <c r="F78" s="254">
        <v>0</v>
      </c>
      <c r="G78" s="254">
        <v>0</v>
      </c>
      <c r="H78" s="254">
        <v>0</v>
      </c>
      <c r="I78" s="254">
        <v>0</v>
      </c>
      <c r="J78" s="254">
        <v>0</v>
      </c>
      <c r="K78" s="254">
        <v>0</v>
      </c>
      <c r="L78" s="254">
        <v>0</v>
      </c>
    </row>
    <row r="79" spans="1:12" x14ac:dyDescent="0.25">
      <c r="A79" s="258" t="s">
        <v>337</v>
      </c>
      <c r="B79" s="254">
        <v>0</v>
      </c>
      <c r="C79" s="254">
        <v>0</v>
      </c>
      <c r="D79" s="254">
        <v>0</v>
      </c>
      <c r="E79" s="254">
        <v>0</v>
      </c>
      <c r="F79" s="254">
        <v>0</v>
      </c>
      <c r="G79" s="254">
        <v>0</v>
      </c>
      <c r="H79" s="254">
        <v>0</v>
      </c>
      <c r="I79" s="254">
        <v>0</v>
      </c>
      <c r="J79" s="254">
        <v>0</v>
      </c>
      <c r="K79" s="254">
        <v>0</v>
      </c>
      <c r="L79" s="254">
        <v>0</v>
      </c>
    </row>
    <row r="80" spans="1:12" x14ac:dyDescent="0.25">
      <c r="A80" s="259" t="s">
        <v>338</v>
      </c>
      <c r="B80" s="260">
        <f>SUM(B76:B79)</f>
        <v>0</v>
      </c>
      <c r="C80" s="260">
        <f>SUM(C76:C79)</f>
        <v>0</v>
      </c>
      <c r="D80" s="260">
        <f t="shared" ref="D80:L80" si="12">SUM(D76:D79)</f>
        <v>0</v>
      </c>
      <c r="E80" s="260">
        <f t="shared" si="12"/>
        <v>-21000</v>
      </c>
      <c r="F80" s="260">
        <f t="shared" si="12"/>
        <v>-42000</v>
      </c>
      <c r="G80" s="260">
        <f t="shared" si="12"/>
        <v>48565.187999999995</v>
      </c>
      <c r="H80" s="260">
        <f t="shared" si="12"/>
        <v>27565.188000000002</v>
      </c>
      <c r="I80" s="260">
        <f t="shared" si="12"/>
        <v>6565.188000000001</v>
      </c>
      <c r="J80" s="260">
        <f t="shared" si="12"/>
        <v>-14434.812</v>
      </c>
      <c r="K80" s="260">
        <f t="shared" si="12"/>
        <v>-35434.812000000005</v>
      </c>
      <c r="L80" s="260">
        <f t="shared" si="12"/>
        <v>-56434.812000000005</v>
      </c>
    </row>
    <row r="81" spans="1:12" x14ac:dyDescent="0.25">
      <c r="A81" s="258"/>
    </row>
    <row r="82" spans="1:12" x14ac:dyDescent="0.25">
      <c r="A82" s="259" t="s">
        <v>339</v>
      </c>
      <c r="B82" s="260">
        <v>0</v>
      </c>
      <c r="C82" s="260">
        <v>0</v>
      </c>
      <c r="D82" s="260">
        <v>0</v>
      </c>
      <c r="E82" s="260">
        <v>0</v>
      </c>
      <c r="F82" s="260">
        <v>0</v>
      </c>
      <c r="G82" s="260">
        <v>0</v>
      </c>
      <c r="H82" s="260">
        <v>0</v>
      </c>
      <c r="I82" s="260">
        <v>0</v>
      </c>
      <c r="J82" s="260">
        <v>0</v>
      </c>
      <c r="K82" s="260">
        <v>0</v>
      </c>
      <c r="L82" s="260">
        <v>0</v>
      </c>
    </row>
    <row r="83" spans="1:12" x14ac:dyDescent="0.25">
      <c r="A83" s="259"/>
    </row>
    <row r="84" spans="1:12" x14ac:dyDescent="0.25">
      <c r="A84" s="259" t="s">
        <v>340</v>
      </c>
      <c r="B84" s="260">
        <v>0</v>
      </c>
      <c r="C84" s="260">
        <v>0</v>
      </c>
      <c r="D84" s="260">
        <v>0</v>
      </c>
      <c r="E84" s="260">
        <v>0</v>
      </c>
      <c r="F84" s="260">
        <v>0</v>
      </c>
      <c r="G84" s="260">
        <v>0</v>
      </c>
      <c r="H84" s="260">
        <v>0</v>
      </c>
      <c r="I84" s="260">
        <v>0</v>
      </c>
      <c r="J84" s="260">
        <v>0</v>
      </c>
      <c r="K84" s="260">
        <v>0</v>
      </c>
      <c r="L84" s="260">
        <v>0</v>
      </c>
    </row>
    <row r="85" spans="1:12" x14ac:dyDescent="0.25">
      <c r="A85" s="259"/>
    </row>
    <row r="86" spans="1:12" x14ac:dyDescent="0.25">
      <c r="A86" s="264" t="s">
        <v>341</v>
      </c>
      <c r="B86" s="254">
        <f>+Capex!B34</f>
        <v>0</v>
      </c>
      <c r="C86" s="254">
        <f>+Capex!C34</f>
        <v>0</v>
      </c>
      <c r="D86" s="254">
        <f>+Capex!D34</f>
        <v>0</v>
      </c>
      <c r="E86" s="254">
        <f>+Capex!E34</f>
        <v>2000000</v>
      </c>
      <c r="F86" s="254">
        <f>+Capex!F34</f>
        <v>2000000</v>
      </c>
      <c r="G86" s="254">
        <f>+Capex!G34</f>
        <v>2000000</v>
      </c>
      <c r="H86" s="254">
        <f>+Capex!H34</f>
        <v>2000000</v>
      </c>
      <c r="I86" s="254">
        <f>+Capex!I34</f>
        <v>2000000</v>
      </c>
      <c r="J86" s="254">
        <f>+Capex!J34</f>
        <v>2000000</v>
      </c>
      <c r="K86" s="254">
        <f>+Capex!K34</f>
        <v>2000000</v>
      </c>
      <c r="L86" s="254">
        <f>+Capex!L34</f>
        <v>2000000</v>
      </c>
    </row>
    <row r="87" spans="1:12" x14ac:dyDescent="0.25">
      <c r="A87" s="264" t="s">
        <v>342</v>
      </c>
      <c r="B87" s="254">
        <f>+Capex!B35</f>
        <v>0</v>
      </c>
      <c r="C87" s="254">
        <f>+Capex!C35</f>
        <v>0</v>
      </c>
      <c r="D87" s="254">
        <f>+Capex!D35</f>
        <v>0</v>
      </c>
      <c r="E87" s="254">
        <f>+Capex!E35</f>
        <v>100000</v>
      </c>
      <c r="F87" s="254">
        <f>+Capex!F35</f>
        <v>100000</v>
      </c>
      <c r="G87" s="254">
        <f>+Capex!G35</f>
        <v>100000</v>
      </c>
      <c r="H87" s="254">
        <f>+Capex!H35</f>
        <v>100000</v>
      </c>
      <c r="I87" s="254">
        <f>+Capex!I35</f>
        <v>100000</v>
      </c>
      <c r="J87" s="254">
        <f>+Capex!J35</f>
        <v>100000</v>
      </c>
      <c r="K87" s="254">
        <f>+Capex!K35</f>
        <v>100000</v>
      </c>
      <c r="L87" s="254">
        <f>+Capex!L35</f>
        <v>100000</v>
      </c>
    </row>
    <row r="88" spans="1:12" x14ac:dyDescent="0.25">
      <c r="A88" s="264" t="s">
        <v>343</v>
      </c>
      <c r="B88" s="254">
        <f>+Capex!B36</f>
        <v>0</v>
      </c>
      <c r="C88" s="254">
        <f>+Capex!C36</f>
        <v>0</v>
      </c>
      <c r="D88" s="254">
        <f>+Capex!D36</f>
        <v>0</v>
      </c>
      <c r="E88" s="254">
        <f>+Capex!E36</f>
        <v>0</v>
      </c>
      <c r="F88" s="254">
        <f>+Capex!F36</f>
        <v>0</v>
      </c>
      <c r="G88" s="254">
        <f>+Capex!G36</f>
        <v>0</v>
      </c>
      <c r="H88" s="254">
        <f>+Capex!H36</f>
        <v>0</v>
      </c>
      <c r="I88" s="254">
        <f>+Capex!I36</f>
        <v>0</v>
      </c>
      <c r="J88" s="254">
        <f>+Capex!J36</f>
        <v>0</v>
      </c>
      <c r="K88" s="254">
        <f>+Capex!K36</f>
        <v>0</v>
      </c>
      <c r="L88" s="254">
        <f>+Capex!L36</f>
        <v>0</v>
      </c>
    </row>
    <row r="89" spans="1:12" x14ac:dyDescent="0.25">
      <c r="A89" s="264" t="s">
        <v>344</v>
      </c>
      <c r="B89" s="254">
        <f>+Capex!B37</f>
        <v>0</v>
      </c>
      <c r="C89" s="254">
        <f>+Capex!C37</f>
        <v>0</v>
      </c>
      <c r="D89" s="254">
        <f>+Capex!D37</f>
        <v>0</v>
      </c>
      <c r="E89" s="254">
        <f>+Capex!E37</f>
        <v>0</v>
      </c>
      <c r="F89" s="254">
        <f>+Capex!F37</f>
        <v>0</v>
      </c>
      <c r="G89" s="254">
        <f>+Capex!G37</f>
        <v>0</v>
      </c>
      <c r="H89" s="254">
        <f>+Capex!H37</f>
        <v>0</v>
      </c>
      <c r="I89" s="254">
        <f>+Capex!I37</f>
        <v>0</v>
      </c>
      <c r="J89" s="254">
        <f>+Capex!J37</f>
        <v>0</v>
      </c>
      <c r="K89" s="254">
        <f>+Capex!K37</f>
        <v>0</v>
      </c>
      <c r="L89" s="254">
        <f>+Capex!L37</f>
        <v>0</v>
      </c>
    </row>
    <row r="90" spans="1:12" x14ac:dyDescent="0.25">
      <c r="A90" s="259" t="s">
        <v>345</v>
      </c>
      <c r="B90" s="260">
        <f t="shared" ref="B90:L90" si="13">+SUM(B86:B89)</f>
        <v>0</v>
      </c>
      <c r="C90" s="260">
        <f>+SUM(C86:C89)</f>
        <v>0</v>
      </c>
      <c r="D90" s="260">
        <f t="shared" si="13"/>
        <v>0</v>
      </c>
      <c r="E90" s="260">
        <f t="shared" si="13"/>
        <v>2100000</v>
      </c>
      <c r="F90" s="260">
        <f t="shared" si="13"/>
        <v>2100000</v>
      </c>
      <c r="G90" s="260">
        <f t="shared" si="13"/>
        <v>2100000</v>
      </c>
      <c r="H90" s="260">
        <f t="shared" si="13"/>
        <v>2100000</v>
      </c>
      <c r="I90" s="260">
        <f t="shared" si="13"/>
        <v>2100000</v>
      </c>
      <c r="J90" s="260">
        <f t="shared" si="13"/>
        <v>2100000</v>
      </c>
      <c r="K90" s="260">
        <f t="shared" si="13"/>
        <v>2100000</v>
      </c>
      <c r="L90" s="260">
        <f t="shared" si="13"/>
        <v>2100000</v>
      </c>
    </row>
    <row r="91" spans="1:12" x14ac:dyDescent="0.25">
      <c r="A91" s="258"/>
    </row>
    <row r="92" spans="1:12" x14ac:dyDescent="0.25">
      <c r="A92" s="261" t="s">
        <v>346</v>
      </c>
      <c r="B92" s="254">
        <f>+Capex!B41</f>
        <v>0</v>
      </c>
      <c r="C92" s="254">
        <f>+Capex!C41</f>
        <v>0</v>
      </c>
      <c r="D92" s="254">
        <f>+Capex!D41</f>
        <v>0</v>
      </c>
      <c r="E92" s="254">
        <f>+Capex!E41</f>
        <v>20000000</v>
      </c>
      <c r="F92" s="254">
        <f>+Capex!F41</f>
        <v>20000000</v>
      </c>
      <c r="G92" s="254">
        <f>+Capex!G41</f>
        <v>20000000</v>
      </c>
      <c r="H92" s="254">
        <f>+Capex!H41</f>
        <v>20000000</v>
      </c>
      <c r="I92" s="254">
        <f>+Capex!I41</f>
        <v>20000000</v>
      </c>
      <c r="J92" s="254">
        <f>+Capex!J41</f>
        <v>20000000</v>
      </c>
      <c r="K92" s="254">
        <f>+Capex!K41</f>
        <v>20000000</v>
      </c>
      <c r="L92" s="254">
        <f>+Capex!L41</f>
        <v>20000000</v>
      </c>
    </row>
    <row r="93" spans="1:12" x14ac:dyDescent="0.25">
      <c r="A93" s="259" t="s">
        <v>347</v>
      </c>
      <c r="B93" s="260">
        <f>SUM(B92)</f>
        <v>0</v>
      </c>
      <c r="C93" s="260">
        <f>+SUM(C92:C92)</f>
        <v>0</v>
      </c>
      <c r="D93" s="260">
        <f t="shared" ref="D93:L93" si="14">+SUM(D92:D92)</f>
        <v>0</v>
      </c>
      <c r="E93" s="260">
        <f t="shared" si="14"/>
        <v>20000000</v>
      </c>
      <c r="F93" s="260">
        <f t="shared" si="14"/>
        <v>20000000</v>
      </c>
      <c r="G93" s="260">
        <f t="shared" si="14"/>
        <v>20000000</v>
      </c>
      <c r="H93" s="260">
        <f t="shared" si="14"/>
        <v>20000000</v>
      </c>
      <c r="I93" s="260">
        <f t="shared" si="14"/>
        <v>20000000</v>
      </c>
      <c r="J93" s="260">
        <f t="shared" si="14"/>
        <v>20000000</v>
      </c>
      <c r="K93" s="260">
        <f t="shared" si="14"/>
        <v>20000000</v>
      </c>
      <c r="L93" s="260">
        <f t="shared" si="14"/>
        <v>20000000</v>
      </c>
    </row>
    <row r="94" spans="1:12" x14ac:dyDescent="0.25">
      <c r="A94" s="258"/>
    </row>
    <row r="95" spans="1:12" x14ac:dyDescent="0.25">
      <c r="A95" s="265" t="s">
        <v>348</v>
      </c>
      <c r="B95" s="311">
        <f>+B34+B43+B48+B52+B56+B58+B60+B69+B74+B80+B82+B84+B90+B93</f>
        <v>0</v>
      </c>
      <c r="C95" s="309">
        <f>+C34+C43+C48+C52+C56+C58+C60+C69+C74+C80+C82+C84+C90+C93</f>
        <v>0</v>
      </c>
      <c r="D95" s="309">
        <f t="shared" ref="D95:L95" si="15">+D34+D43+D48+D52+D56+D58+D60+D69+D74+D80+D82+D84+D90+D93</f>
        <v>0</v>
      </c>
      <c r="E95" s="309">
        <f t="shared" si="15"/>
        <v>299279000</v>
      </c>
      <c r="F95" s="309">
        <f t="shared" si="15"/>
        <v>306465200</v>
      </c>
      <c r="G95" s="309">
        <f t="shared" si="15"/>
        <v>620902991.29999995</v>
      </c>
      <c r="H95" s="309">
        <f t="shared" si="15"/>
        <v>335659098.27163523</v>
      </c>
      <c r="I95" s="309">
        <f t="shared" si="15"/>
        <v>345482988.41046143</v>
      </c>
      <c r="J95" s="309">
        <f t="shared" si="15"/>
        <v>355486657.5303576</v>
      </c>
      <c r="K95" s="309">
        <f t="shared" si="15"/>
        <v>365667730.95603377</v>
      </c>
      <c r="L95" s="309">
        <f t="shared" si="15"/>
        <v>376160987.82853562</v>
      </c>
    </row>
    <row r="96" spans="1:12" x14ac:dyDescent="0.25">
      <c r="A96" s="157"/>
    </row>
    <row r="97" spans="1:12" x14ac:dyDescent="0.25">
      <c r="A97" s="157"/>
    </row>
    <row r="100" spans="1:12" x14ac:dyDescent="0.25">
      <c r="A100" s="312" t="s">
        <v>341</v>
      </c>
      <c r="B100" s="313">
        <v>0</v>
      </c>
      <c r="C100" s="313">
        <f>+B100+Capex!C24-Capex!C34</f>
        <v>0</v>
      </c>
      <c r="D100" s="313">
        <f>+C100+Capex!D24-Capex!D34</f>
        <v>0</v>
      </c>
      <c r="E100" s="313">
        <f>+D100+Capex!E24-Capex!E34</f>
        <v>-2000000</v>
      </c>
      <c r="F100" s="313">
        <f>+E100+Capex!F24-Capex!F34</f>
        <v>-4000000</v>
      </c>
      <c r="G100" s="313">
        <f>+F100+Capex!G24-Capex!G34</f>
        <v>4625256</v>
      </c>
      <c r="H100" s="313">
        <f>+G100+Capex!H24-Capex!H34</f>
        <v>2625256</v>
      </c>
      <c r="I100" s="313">
        <f>+H100+Capex!I24-Capex!I34</f>
        <v>625256</v>
      </c>
      <c r="J100" s="313">
        <f>+I100+Capex!J24-Capex!J34</f>
        <v>-1374744</v>
      </c>
      <c r="K100" s="313">
        <f>+J100+Capex!K24-Capex!K34</f>
        <v>-3374744</v>
      </c>
      <c r="L100" s="313">
        <f>+K100+Capex!L24-Capex!L34</f>
        <v>-5374744</v>
      </c>
    </row>
    <row r="101" spans="1:12" x14ac:dyDescent="0.25">
      <c r="A101" s="312" t="s">
        <v>342</v>
      </c>
      <c r="B101" s="313">
        <v>0</v>
      </c>
      <c r="C101" s="313">
        <f>+B101+Capex!C25-Capex!C35</f>
        <v>0</v>
      </c>
      <c r="D101" s="313">
        <f>+C101+Capex!D25-Capex!D35</f>
        <v>0</v>
      </c>
      <c r="E101" s="313">
        <f>+D101+Capex!E25-Capex!E35</f>
        <v>-100000</v>
      </c>
      <c r="F101" s="313">
        <f>+E101+Capex!F25-Capex!F35</f>
        <v>-200000</v>
      </c>
      <c r="G101" s="313">
        <f>+F101+Capex!G25-Capex!G35</f>
        <v>231262.80000000005</v>
      </c>
      <c r="H101" s="313">
        <f>+G101+Capex!H25-Capex!H35</f>
        <v>131262.80000000005</v>
      </c>
      <c r="I101" s="313">
        <f>+H101+Capex!I25-Capex!I35</f>
        <v>31262.800000000047</v>
      </c>
      <c r="J101" s="313">
        <f>+I101+Capex!J25-Capex!J35</f>
        <v>-68737.199999999953</v>
      </c>
      <c r="K101" s="313">
        <f>+J101+Capex!K25-Capex!K35</f>
        <v>-168737.19999999995</v>
      </c>
      <c r="L101" s="313">
        <f>+K101+Capex!L25-Capex!L35</f>
        <v>-268737.19999999995</v>
      </c>
    </row>
    <row r="102" spans="1:12" x14ac:dyDescent="0.25">
      <c r="A102" s="312" t="s">
        <v>343</v>
      </c>
      <c r="B102" s="313">
        <v>0</v>
      </c>
      <c r="C102" s="313">
        <v>0</v>
      </c>
      <c r="D102" s="313">
        <v>0</v>
      </c>
      <c r="E102" s="313">
        <v>0</v>
      </c>
      <c r="F102" s="313">
        <v>0</v>
      </c>
      <c r="G102" s="313">
        <v>0</v>
      </c>
      <c r="H102" s="313">
        <v>0</v>
      </c>
      <c r="I102" s="313">
        <v>0</v>
      </c>
      <c r="J102" s="313">
        <v>0</v>
      </c>
      <c r="K102" s="313">
        <v>0</v>
      </c>
      <c r="L102" s="313">
        <v>0</v>
      </c>
    </row>
    <row r="103" spans="1:12" x14ac:dyDescent="0.25">
      <c r="A103" s="312" t="s">
        <v>344</v>
      </c>
      <c r="B103" s="313">
        <v>0</v>
      </c>
      <c r="C103" s="313">
        <v>0</v>
      </c>
      <c r="D103" s="313">
        <v>0</v>
      </c>
      <c r="E103" s="313">
        <v>0</v>
      </c>
      <c r="F103" s="313">
        <v>0</v>
      </c>
      <c r="G103" s="313">
        <v>0</v>
      </c>
      <c r="H103" s="313">
        <v>0</v>
      </c>
      <c r="I103" s="313">
        <v>0</v>
      </c>
      <c r="J103" s="313">
        <v>0</v>
      </c>
      <c r="K103" s="313">
        <v>0</v>
      </c>
      <c r="L103" s="313">
        <v>0</v>
      </c>
    </row>
    <row r="104" spans="1:12" x14ac:dyDescent="0.25">
      <c r="A104" s="314" t="s">
        <v>346</v>
      </c>
      <c r="B104" s="310">
        <v>0</v>
      </c>
      <c r="C104" s="313">
        <f>+B104+Capex!C28-Capex!C41</f>
        <v>0</v>
      </c>
      <c r="D104" s="313">
        <f>+C104+Capex!D28-Capex!D41</f>
        <v>0</v>
      </c>
      <c r="E104" s="313">
        <f>+D104+Capex!E28-Capex!E41</f>
        <v>-20000000</v>
      </c>
      <c r="F104" s="313">
        <f>+E104+Capex!F28-Capex!F41</f>
        <v>-40000000</v>
      </c>
      <c r="G104" s="313">
        <f>+F104+Capex!G28-Capex!G41</f>
        <v>-60000000</v>
      </c>
      <c r="H104" s="313">
        <f>+G104+Capex!H28-Capex!H41</f>
        <v>-80000000</v>
      </c>
      <c r="I104" s="313">
        <f>+H104+Capex!I28-Capex!I41</f>
        <v>-100000000</v>
      </c>
      <c r="J104" s="313">
        <f>+I104+Capex!J28-Capex!J41</f>
        <v>-120000000</v>
      </c>
      <c r="K104" s="313">
        <f>+J104+Capex!K28-Capex!K41</f>
        <v>-140000000</v>
      </c>
      <c r="L104" s="313">
        <f>+K104+Capex!L28-Capex!L41</f>
        <v>-160000000</v>
      </c>
    </row>
    <row r="105" spans="1:12" x14ac:dyDescent="0.25">
      <c r="A105" s="315" t="s">
        <v>392</v>
      </c>
      <c r="B105" s="316">
        <v>0</v>
      </c>
      <c r="C105" s="316">
        <f>SUM(C100:C104)</f>
        <v>0</v>
      </c>
      <c r="D105" s="316">
        <f t="shared" ref="D105:L105" si="16">SUM(D100:D104)</f>
        <v>0</v>
      </c>
      <c r="E105" s="316">
        <f t="shared" si="16"/>
        <v>-22100000</v>
      </c>
      <c r="F105" s="316">
        <f t="shared" si="16"/>
        <v>-44200000</v>
      </c>
      <c r="G105" s="316">
        <f t="shared" si="16"/>
        <v>-55143481.200000003</v>
      </c>
      <c r="H105" s="316">
        <f t="shared" si="16"/>
        <v>-77243481.200000003</v>
      </c>
      <c r="I105" s="316">
        <f t="shared" si="16"/>
        <v>-99343481.200000003</v>
      </c>
      <c r="J105" s="316">
        <f t="shared" si="16"/>
        <v>-121443481.2</v>
      </c>
      <c r="K105" s="316">
        <f t="shared" si="16"/>
        <v>-143543481.19999999</v>
      </c>
      <c r="L105" s="316">
        <f t="shared" si="16"/>
        <v>-165643481.19999999</v>
      </c>
    </row>
    <row r="107" spans="1:12" x14ac:dyDescent="0.25">
      <c r="A107" s="157"/>
    </row>
    <row r="108" spans="1:12" x14ac:dyDescent="0.25">
      <c r="A108" s="157"/>
    </row>
    <row r="109" spans="1:12" x14ac:dyDescent="0.25">
      <c r="A109" s="157"/>
    </row>
    <row r="110" spans="1:12" x14ac:dyDescent="0.25">
      <c r="A110" s="157"/>
    </row>
    <row r="111" spans="1:12" x14ac:dyDescent="0.25">
      <c r="A111" s="157"/>
    </row>
    <row r="112" spans="1:12" x14ac:dyDescent="0.25">
      <c r="A112" s="15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16" workbookViewId="0">
      <selection activeCell="E42" sqref="E42"/>
    </sheetView>
  </sheetViews>
  <sheetFormatPr baseColWidth="10" defaultRowHeight="15" x14ac:dyDescent="0.25"/>
  <cols>
    <col min="1" max="1" width="35.28515625" style="73" bestFit="1" customWidth="1"/>
    <col min="2" max="2" width="11.5703125" style="73" bestFit="1" customWidth="1"/>
    <col min="3" max="6" width="15.5703125" style="73" bestFit="1" customWidth="1"/>
    <col min="7" max="7" width="19" style="73" bestFit="1" customWidth="1"/>
    <col min="8" max="12" width="15.5703125" style="73" bestFit="1" customWidth="1"/>
    <col min="13" max="16384" width="11.42578125" style="73"/>
  </cols>
  <sheetData>
    <row r="1" spans="1:13" ht="15.75" x14ac:dyDescent="0.25">
      <c r="A1" s="266" t="s">
        <v>349</v>
      </c>
    </row>
    <row r="2" spans="1:13" x14ac:dyDescent="0.25">
      <c r="A2" s="238"/>
    </row>
    <row r="3" spans="1:13" x14ac:dyDescent="0.25">
      <c r="A3" s="293"/>
      <c r="B3" s="293" t="s">
        <v>350</v>
      </c>
      <c r="C3" s="293" t="s">
        <v>351</v>
      </c>
      <c r="D3" s="293" t="s">
        <v>352</v>
      </c>
      <c r="E3" s="293" t="s">
        <v>353</v>
      </c>
      <c r="F3" s="267"/>
      <c r="J3" s="267"/>
      <c r="K3" s="267"/>
      <c r="L3" s="267"/>
      <c r="M3" s="268"/>
    </row>
    <row r="4" spans="1:13" x14ac:dyDescent="0.25">
      <c r="A4" s="74" t="s">
        <v>354</v>
      </c>
      <c r="B4" s="250"/>
      <c r="C4" s="250"/>
      <c r="D4" s="250"/>
      <c r="E4" s="250"/>
      <c r="F4" s="267"/>
      <c r="G4" s="253" t="s">
        <v>355</v>
      </c>
      <c r="H4" s="269">
        <f>+I6*I4</f>
        <v>0</v>
      </c>
      <c r="I4" s="296">
        <v>0</v>
      </c>
      <c r="J4" s="267"/>
      <c r="K4" s="267"/>
      <c r="L4" s="267"/>
      <c r="M4" s="268"/>
    </row>
    <row r="5" spans="1:13" x14ac:dyDescent="0.25">
      <c r="A5" s="270" t="s">
        <v>341</v>
      </c>
      <c r="B5" s="271">
        <v>5</v>
      </c>
      <c r="C5" s="272">
        <v>2000000</v>
      </c>
      <c r="D5" s="272">
        <f>+B5*C5</f>
        <v>10000000</v>
      </c>
      <c r="E5" s="271">
        <v>5</v>
      </c>
      <c r="F5" s="268"/>
      <c r="G5" s="253" t="s">
        <v>356</v>
      </c>
      <c r="H5" s="269">
        <f>+I6*I5</f>
        <v>11156518.800000001</v>
      </c>
      <c r="I5" s="296">
        <v>1</v>
      </c>
      <c r="J5" s="268"/>
      <c r="K5" s="268"/>
      <c r="L5" s="268"/>
      <c r="M5" s="268"/>
    </row>
    <row r="6" spans="1:13" x14ac:dyDescent="0.25">
      <c r="A6" s="264" t="s">
        <v>342</v>
      </c>
      <c r="B6" s="268">
        <v>5</v>
      </c>
      <c r="C6" s="273">
        <v>100000</v>
      </c>
      <c r="D6" s="273">
        <f>+B6*C6</f>
        <v>500000</v>
      </c>
      <c r="E6" s="268">
        <v>5</v>
      </c>
      <c r="F6" s="268"/>
      <c r="G6" s="74" t="s">
        <v>357</v>
      </c>
      <c r="I6" s="256">
        <f>+SUM(B29:L29,B31:L31)</f>
        <v>11156518.800000001</v>
      </c>
      <c r="J6" s="268"/>
      <c r="K6" s="268"/>
      <c r="L6" s="268"/>
      <c r="M6" s="268"/>
    </row>
    <row r="7" spans="1:13" x14ac:dyDescent="0.25">
      <c r="A7" s="270" t="s">
        <v>343</v>
      </c>
      <c r="B7" s="271">
        <v>0</v>
      </c>
      <c r="C7" s="272">
        <v>200000</v>
      </c>
      <c r="D7" s="272">
        <f>+B7*C7</f>
        <v>0</v>
      </c>
      <c r="E7" s="271">
        <v>3</v>
      </c>
      <c r="F7" s="268"/>
      <c r="J7" s="268"/>
      <c r="K7" s="268"/>
      <c r="L7" s="268"/>
      <c r="M7" s="268"/>
    </row>
    <row r="8" spans="1:13" x14ac:dyDescent="0.25">
      <c r="A8" s="264" t="s">
        <v>344</v>
      </c>
      <c r="B8" s="73">
        <v>0</v>
      </c>
      <c r="C8" s="273">
        <v>57940080</v>
      </c>
      <c r="D8" s="273">
        <f>+B8*C8</f>
        <v>0</v>
      </c>
      <c r="E8" s="73">
        <v>5</v>
      </c>
      <c r="G8" s="293" t="s">
        <v>358</v>
      </c>
      <c r="H8" s="293"/>
      <c r="I8" s="293"/>
    </row>
    <row r="9" spans="1:13" x14ac:dyDescent="0.25">
      <c r="A9" s="274" t="s">
        <v>204</v>
      </c>
      <c r="B9" s="252"/>
      <c r="C9" s="272"/>
      <c r="D9" s="275">
        <f>+SUM(D5:D8)</f>
        <v>10500000</v>
      </c>
      <c r="E9" s="252"/>
      <c r="G9" s="73" t="s">
        <v>359</v>
      </c>
      <c r="H9" s="297">
        <v>0.12</v>
      </c>
      <c r="I9" s="273" t="s">
        <v>360</v>
      </c>
    </row>
    <row r="10" spans="1:13" x14ac:dyDescent="0.25">
      <c r="A10" s="258"/>
      <c r="C10" s="273"/>
      <c r="D10" s="273"/>
      <c r="G10" s="276" t="s">
        <v>361</v>
      </c>
      <c r="H10" s="269">
        <v>10</v>
      </c>
      <c r="I10" s="272" t="s">
        <v>362</v>
      </c>
    </row>
    <row r="11" spans="1:13" x14ac:dyDescent="0.25">
      <c r="A11" s="253" t="s">
        <v>363</v>
      </c>
      <c r="B11" s="252"/>
      <c r="C11" s="272"/>
      <c r="D11" s="272"/>
      <c r="E11" s="252"/>
    </row>
    <row r="12" spans="1:13" s="261" customFormat="1" x14ac:dyDescent="0.25">
      <c r="A12" s="261" t="s">
        <v>346</v>
      </c>
      <c r="B12" s="261">
        <v>1</v>
      </c>
      <c r="C12" s="277">
        <v>200000000</v>
      </c>
      <c r="D12" s="277">
        <f>+B12*C12</f>
        <v>200000000</v>
      </c>
      <c r="E12" s="261">
        <v>10</v>
      </c>
      <c r="G12" s="253" t="s">
        <v>364</v>
      </c>
      <c r="H12" s="298">
        <v>0.151</v>
      </c>
      <c r="I12" s="73"/>
    </row>
    <row r="13" spans="1:13" x14ac:dyDescent="0.25">
      <c r="A13" s="274" t="s">
        <v>204</v>
      </c>
      <c r="B13" s="252"/>
      <c r="C13" s="272"/>
      <c r="D13" s="275">
        <f>+SUM(D12)</f>
        <v>200000000</v>
      </c>
      <c r="E13" s="252"/>
      <c r="G13" s="253" t="s">
        <v>242</v>
      </c>
      <c r="H13" s="280">
        <f>+H12*I5+H9*I4</f>
        <v>0.151</v>
      </c>
      <c r="I13" s="261"/>
    </row>
    <row r="14" spans="1:13" x14ac:dyDescent="0.25">
      <c r="C14" s="273"/>
      <c r="D14" s="273"/>
    </row>
    <row r="15" spans="1:13" x14ac:dyDescent="0.25">
      <c r="A15" s="293" t="s">
        <v>365</v>
      </c>
      <c r="B15" s="293"/>
      <c r="C15" s="293"/>
      <c r="D15" s="293"/>
    </row>
    <row r="16" spans="1:13" x14ac:dyDescent="0.25">
      <c r="A16" s="252" t="s">
        <v>366</v>
      </c>
      <c r="B16" s="252">
        <v>0</v>
      </c>
      <c r="C16" s="272">
        <v>750000</v>
      </c>
      <c r="D16" s="272">
        <f>+B16*C16</f>
        <v>0</v>
      </c>
    </row>
    <row r="17" spans="1:13" x14ac:dyDescent="0.25">
      <c r="A17" s="73" t="s">
        <v>367</v>
      </c>
      <c r="B17" s="73">
        <v>0</v>
      </c>
      <c r="C17" s="273">
        <v>150000</v>
      </c>
      <c r="D17" s="273">
        <f>+B17*C17</f>
        <v>0</v>
      </c>
    </row>
    <row r="18" spans="1:13" x14ac:dyDescent="0.25">
      <c r="A18" s="274" t="s">
        <v>204</v>
      </c>
      <c r="B18" s="252"/>
      <c r="C18" s="272"/>
      <c r="D18" s="275">
        <f>+SUM(D16:D17)</f>
        <v>0</v>
      </c>
    </row>
    <row r="19" spans="1:13" x14ac:dyDescent="0.25">
      <c r="C19" s="273"/>
      <c r="D19" s="273"/>
    </row>
    <row r="20" spans="1:13" x14ac:dyDescent="0.25">
      <c r="B20" s="257">
        <v>1000000</v>
      </c>
      <c r="C20" s="273"/>
      <c r="D20" s="273"/>
    </row>
    <row r="21" spans="1:13" x14ac:dyDescent="0.25">
      <c r="A21" s="293"/>
      <c r="B21" s="293">
        <v>2010</v>
      </c>
      <c r="C21" s="293">
        <v>2011</v>
      </c>
      <c r="D21" s="293">
        <v>2012</v>
      </c>
      <c r="E21" s="293">
        <v>2013</v>
      </c>
      <c r="F21" s="293">
        <v>2014</v>
      </c>
      <c r="G21" s="293">
        <v>2015</v>
      </c>
      <c r="H21" s="293">
        <v>2016</v>
      </c>
      <c r="I21" s="293">
        <v>2017</v>
      </c>
      <c r="J21" s="293">
        <v>2018</v>
      </c>
      <c r="K21" s="293">
        <v>2019</v>
      </c>
      <c r="L21" s="293">
        <v>2020</v>
      </c>
      <c r="M21" s="250"/>
    </row>
    <row r="23" spans="1:13" x14ac:dyDescent="0.25">
      <c r="A23" s="74" t="s">
        <v>368</v>
      </c>
    </row>
    <row r="24" spans="1:13" x14ac:dyDescent="0.25">
      <c r="A24" s="264" t="s">
        <v>341</v>
      </c>
      <c r="B24" s="255">
        <v>0</v>
      </c>
      <c r="C24" s="255">
        <v>0</v>
      </c>
      <c r="D24" s="255">
        <v>0</v>
      </c>
      <c r="E24" s="255">
        <v>0</v>
      </c>
      <c r="F24" s="255">
        <v>0</v>
      </c>
      <c r="G24" s="254">
        <f>+D5*Supuestos!G8</f>
        <v>10625256</v>
      </c>
      <c r="H24" s="310">
        <v>0</v>
      </c>
      <c r="I24" s="310">
        <v>0</v>
      </c>
      <c r="J24" s="310">
        <v>0</v>
      </c>
      <c r="K24" s="310">
        <v>0</v>
      </c>
      <c r="L24" s="310">
        <v>0</v>
      </c>
    </row>
    <row r="25" spans="1:13" x14ac:dyDescent="0.25">
      <c r="A25" s="264" t="s">
        <v>342</v>
      </c>
      <c r="B25" s="255">
        <v>0</v>
      </c>
      <c r="C25" s="255">
        <v>0</v>
      </c>
      <c r="D25" s="255">
        <v>0</v>
      </c>
      <c r="E25" s="255">
        <v>0</v>
      </c>
      <c r="F25" s="255">
        <v>0</v>
      </c>
      <c r="G25" s="254">
        <f>+D6*Supuestos!G8</f>
        <v>531262.80000000005</v>
      </c>
      <c r="H25" s="310">
        <v>0</v>
      </c>
      <c r="I25" s="310">
        <v>0</v>
      </c>
      <c r="J25" s="310">
        <v>0</v>
      </c>
      <c r="K25" s="310">
        <v>0</v>
      </c>
      <c r="L25" s="310">
        <v>0</v>
      </c>
    </row>
    <row r="26" spans="1:13" x14ac:dyDescent="0.25">
      <c r="A26" s="264" t="s">
        <v>343</v>
      </c>
      <c r="B26" s="255">
        <v>0</v>
      </c>
      <c r="C26" s="255">
        <v>0</v>
      </c>
      <c r="D26" s="255">
        <v>0</v>
      </c>
      <c r="E26" s="255">
        <v>0</v>
      </c>
      <c r="F26" s="255">
        <v>0</v>
      </c>
      <c r="G26" s="310">
        <v>0</v>
      </c>
      <c r="H26" s="317">
        <v>0</v>
      </c>
      <c r="I26" s="317">
        <v>0</v>
      </c>
      <c r="J26" s="317">
        <v>0</v>
      </c>
      <c r="K26" s="317">
        <v>0</v>
      </c>
      <c r="L26" s="317">
        <v>0</v>
      </c>
    </row>
    <row r="27" spans="1:13" x14ac:dyDescent="0.25">
      <c r="A27" s="264" t="s">
        <v>344</v>
      </c>
      <c r="B27" s="255">
        <v>0</v>
      </c>
      <c r="C27" s="255">
        <v>0</v>
      </c>
      <c r="D27" s="255">
        <v>0</v>
      </c>
      <c r="E27" s="255">
        <v>0</v>
      </c>
      <c r="F27" s="255">
        <v>0</v>
      </c>
      <c r="G27" s="317">
        <f>+D8*[1]Supuestos!G$11</f>
        <v>0</v>
      </c>
      <c r="H27" s="310">
        <v>0</v>
      </c>
      <c r="I27" s="310">
        <v>0</v>
      </c>
      <c r="J27" s="310">
        <v>0</v>
      </c>
      <c r="K27" s="310">
        <v>0</v>
      </c>
      <c r="L27" s="310">
        <v>0</v>
      </c>
    </row>
    <row r="28" spans="1:13" x14ac:dyDescent="0.25">
      <c r="A28" s="261" t="s">
        <v>346</v>
      </c>
      <c r="B28" s="255">
        <v>0</v>
      </c>
      <c r="C28" s="255">
        <v>0</v>
      </c>
      <c r="D28" s="255">
        <v>0</v>
      </c>
      <c r="E28" s="255">
        <v>0</v>
      </c>
      <c r="F28" s="255">
        <v>0</v>
      </c>
      <c r="G28" s="310">
        <v>0</v>
      </c>
      <c r="H28" s="310">
        <v>0</v>
      </c>
      <c r="I28" s="310">
        <v>0</v>
      </c>
      <c r="J28" s="310">
        <v>0</v>
      </c>
      <c r="K28" s="310">
        <v>0</v>
      </c>
      <c r="L28" s="310">
        <v>0</v>
      </c>
    </row>
    <row r="29" spans="1:13" x14ac:dyDescent="0.25">
      <c r="A29" s="278" t="s">
        <v>204</v>
      </c>
      <c r="B29" s="256">
        <f t="shared" ref="B29:L29" si="0">+SUM(B24:B28)</f>
        <v>0</v>
      </c>
      <c r="C29" s="256">
        <f t="shared" si="0"/>
        <v>0</v>
      </c>
      <c r="D29" s="256">
        <f t="shared" si="0"/>
        <v>0</v>
      </c>
      <c r="E29" s="256">
        <f t="shared" si="0"/>
        <v>0</v>
      </c>
      <c r="F29" s="256">
        <f t="shared" si="0"/>
        <v>0</v>
      </c>
      <c r="G29" s="256">
        <f t="shared" si="0"/>
        <v>11156518.800000001</v>
      </c>
      <c r="H29" s="318">
        <f t="shared" si="0"/>
        <v>0</v>
      </c>
      <c r="I29" s="318">
        <f t="shared" si="0"/>
        <v>0</v>
      </c>
      <c r="J29" s="318">
        <f t="shared" si="0"/>
        <v>0</v>
      </c>
      <c r="K29" s="318">
        <f t="shared" si="0"/>
        <v>0</v>
      </c>
      <c r="L29" s="318">
        <f t="shared" si="0"/>
        <v>0</v>
      </c>
    </row>
    <row r="31" spans="1:13" s="260" customFormat="1" x14ac:dyDescent="0.25">
      <c r="A31" s="308" t="s">
        <v>369</v>
      </c>
      <c r="B31" s="294">
        <v>0</v>
      </c>
      <c r="C31" s="295"/>
      <c r="D31" s="295"/>
      <c r="E31" s="295"/>
      <c r="F31" s="295"/>
      <c r="G31" s="295"/>
      <c r="H31" s="295"/>
      <c r="I31" s="295"/>
      <c r="J31" s="295"/>
      <c r="K31" s="295"/>
      <c r="L31" s="295"/>
    </row>
    <row r="32" spans="1:13" s="260" customFormat="1" x14ac:dyDescent="0.25"/>
    <row r="33" spans="1:12" x14ac:dyDescent="0.25">
      <c r="A33" s="74" t="s">
        <v>345</v>
      </c>
    </row>
    <row r="34" spans="1:12" x14ac:dyDescent="0.25">
      <c r="A34" s="264" t="s">
        <v>341</v>
      </c>
      <c r="B34" s="254">
        <v>0</v>
      </c>
      <c r="C34" s="254">
        <v>0</v>
      </c>
      <c r="D34" s="254">
        <v>0</v>
      </c>
      <c r="E34" s="254">
        <f t="shared" ref="E34:L34" si="1">+$D$5/$E$5</f>
        <v>2000000</v>
      </c>
      <c r="F34" s="254">
        <f t="shared" si="1"/>
        <v>2000000</v>
      </c>
      <c r="G34" s="254">
        <f>+$D$5/$E$5</f>
        <v>2000000</v>
      </c>
      <c r="H34" s="254">
        <f t="shared" si="1"/>
        <v>2000000</v>
      </c>
      <c r="I34" s="254">
        <f t="shared" si="1"/>
        <v>2000000</v>
      </c>
      <c r="J34" s="254">
        <f t="shared" si="1"/>
        <v>2000000</v>
      </c>
      <c r="K34" s="254">
        <f t="shared" si="1"/>
        <v>2000000</v>
      </c>
      <c r="L34" s="254">
        <f t="shared" si="1"/>
        <v>2000000</v>
      </c>
    </row>
    <row r="35" spans="1:12" x14ac:dyDescent="0.25">
      <c r="A35" s="264" t="s">
        <v>342</v>
      </c>
      <c r="B35" s="254">
        <v>0</v>
      </c>
      <c r="C35" s="254">
        <v>0</v>
      </c>
      <c r="D35" s="254">
        <v>0</v>
      </c>
      <c r="E35" s="254">
        <f t="shared" ref="E35:L35" si="2">+$D$6/$E$6</f>
        <v>100000</v>
      </c>
      <c r="F35" s="254">
        <f t="shared" si="2"/>
        <v>100000</v>
      </c>
      <c r="G35" s="254">
        <f t="shared" si="2"/>
        <v>100000</v>
      </c>
      <c r="H35" s="254">
        <f t="shared" si="2"/>
        <v>100000</v>
      </c>
      <c r="I35" s="254">
        <f t="shared" si="2"/>
        <v>100000</v>
      </c>
      <c r="J35" s="254">
        <f t="shared" si="2"/>
        <v>100000</v>
      </c>
      <c r="K35" s="254">
        <f t="shared" si="2"/>
        <v>100000</v>
      </c>
      <c r="L35" s="254">
        <f t="shared" si="2"/>
        <v>100000</v>
      </c>
    </row>
    <row r="36" spans="1:12" x14ac:dyDescent="0.25">
      <c r="A36" s="264" t="s">
        <v>343</v>
      </c>
      <c r="B36" s="254">
        <v>0</v>
      </c>
      <c r="C36" s="254">
        <f t="shared" ref="C36:L36" si="3">+$D$7/$E$7</f>
        <v>0</v>
      </c>
      <c r="D36" s="254">
        <f t="shared" si="3"/>
        <v>0</v>
      </c>
      <c r="E36" s="254">
        <f t="shared" si="3"/>
        <v>0</v>
      </c>
      <c r="F36" s="254">
        <f t="shared" si="3"/>
        <v>0</v>
      </c>
      <c r="G36" s="254">
        <f t="shared" si="3"/>
        <v>0</v>
      </c>
      <c r="H36" s="254">
        <f t="shared" si="3"/>
        <v>0</v>
      </c>
      <c r="I36" s="254">
        <f t="shared" si="3"/>
        <v>0</v>
      </c>
      <c r="J36" s="254">
        <f t="shared" si="3"/>
        <v>0</v>
      </c>
      <c r="K36" s="254">
        <f t="shared" si="3"/>
        <v>0</v>
      </c>
      <c r="L36" s="254">
        <f t="shared" si="3"/>
        <v>0</v>
      </c>
    </row>
    <row r="37" spans="1:12" x14ac:dyDescent="0.25">
      <c r="A37" s="264" t="s">
        <v>344</v>
      </c>
      <c r="B37" s="254">
        <v>0</v>
      </c>
      <c r="C37" s="254">
        <f t="shared" ref="C37:L37" si="4">+$D$8/$E$8</f>
        <v>0</v>
      </c>
      <c r="D37" s="254">
        <f t="shared" si="4"/>
        <v>0</v>
      </c>
      <c r="E37" s="254">
        <f t="shared" si="4"/>
        <v>0</v>
      </c>
      <c r="F37" s="254">
        <f t="shared" si="4"/>
        <v>0</v>
      </c>
      <c r="G37" s="254">
        <f t="shared" si="4"/>
        <v>0</v>
      </c>
      <c r="H37" s="254">
        <f t="shared" si="4"/>
        <v>0</v>
      </c>
      <c r="I37" s="254">
        <f t="shared" si="4"/>
        <v>0</v>
      </c>
      <c r="J37" s="254">
        <f t="shared" si="4"/>
        <v>0</v>
      </c>
      <c r="K37" s="254">
        <f t="shared" si="4"/>
        <v>0</v>
      </c>
      <c r="L37" s="254">
        <f t="shared" si="4"/>
        <v>0</v>
      </c>
    </row>
    <row r="38" spans="1:12" x14ac:dyDescent="0.25">
      <c r="A38" s="264"/>
      <c r="B38" s="256">
        <f>SUM(B34:B37)</f>
        <v>0</v>
      </c>
      <c r="C38" s="256">
        <f>SUM(C34:C37)</f>
        <v>0</v>
      </c>
      <c r="D38" s="256">
        <v>0</v>
      </c>
      <c r="E38" s="256">
        <f t="shared" ref="E38:K38" si="5">SUM(E34:E37)</f>
        <v>2100000</v>
      </c>
      <c r="F38" s="256">
        <f t="shared" si="5"/>
        <v>2100000</v>
      </c>
      <c r="G38" s="256">
        <f t="shared" si="5"/>
        <v>2100000</v>
      </c>
      <c r="H38" s="256">
        <f t="shared" si="5"/>
        <v>2100000</v>
      </c>
      <c r="I38" s="256">
        <f t="shared" si="5"/>
        <v>2100000</v>
      </c>
      <c r="J38" s="256">
        <f t="shared" si="5"/>
        <v>2100000</v>
      </c>
      <c r="K38" s="256">
        <f t="shared" si="5"/>
        <v>2100000</v>
      </c>
      <c r="L38" s="256">
        <f>SUM(L34:L37)</f>
        <v>2100000</v>
      </c>
    </row>
    <row r="39" spans="1:12" x14ac:dyDescent="0.25">
      <c r="A39" s="264"/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1:12" x14ac:dyDescent="0.25">
      <c r="A40" s="74" t="s">
        <v>347</v>
      </c>
    </row>
    <row r="41" spans="1:12" x14ac:dyDescent="0.25">
      <c r="A41" s="261" t="s">
        <v>346</v>
      </c>
      <c r="B41" s="254">
        <v>0</v>
      </c>
      <c r="C41" s="254">
        <v>0</v>
      </c>
      <c r="D41" s="254">
        <v>0</v>
      </c>
      <c r="E41" s="254">
        <f>+$D$12/$E$12</f>
        <v>20000000</v>
      </c>
      <c r="F41" s="254">
        <f t="shared" ref="F41:L41" si="6">+$D$12/$E$12</f>
        <v>20000000</v>
      </c>
      <c r="G41" s="254">
        <f t="shared" si="6"/>
        <v>20000000</v>
      </c>
      <c r="H41" s="254">
        <f t="shared" si="6"/>
        <v>20000000</v>
      </c>
      <c r="I41" s="254">
        <f t="shared" si="6"/>
        <v>20000000</v>
      </c>
      <c r="J41" s="254">
        <f t="shared" si="6"/>
        <v>20000000</v>
      </c>
      <c r="K41" s="254">
        <f t="shared" si="6"/>
        <v>20000000</v>
      </c>
      <c r="L41" s="254">
        <f t="shared" si="6"/>
        <v>20000000</v>
      </c>
    </row>
    <row r="42" spans="1:12" x14ac:dyDescent="0.25">
      <c r="A42" s="261"/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</row>
    <row r="43" spans="1:12" x14ac:dyDescent="0.25">
      <c r="A43" s="278" t="s">
        <v>370</v>
      </c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</row>
    <row r="44" spans="1:12" x14ac:dyDescent="0.25">
      <c r="A44" s="261" t="s">
        <v>315</v>
      </c>
      <c r="B44" s="254">
        <v>0</v>
      </c>
      <c r="C44" s="254">
        <v>0</v>
      </c>
      <c r="D44" s="254">
        <v>0</v>
      </c>
      <c r="E44" s="254">
        <v>0</v>
      </c>
      <c r="F44" s="254">
        <v>0</v>
      </c>
      <c r="G44" s="254">
        <v>0</v>
      </c>
      <c r="H44" s="254">
        <v>0</v>
      </c>
      <c r="I44" s="254">
        <v>0</v>
      </c>
      <c r="J44" s="254">
        <v>0</v>
      </c>
      <c r="K44" s="254">
        <v>0</v>
      </c>
      <c r="L44" s="254">
        <v>0</v>
      </c>
    </row>
    <row r="45" spans="1:12" x14ac:dyDescent="0.25">
      <c r="A45" s="261"/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</row>
    <row r="46" spans="1:12" x14ac:dyDescent="0.25">
      <c r="A46" s="278" t="s">
        <v>371</v>
      </c>
      <c r="B46" s="254"/>
      <c r="C46" s="254"/>
      <c r="D46" s="254"/>
      <c r="E46" s="254"/>
      <c r="F46" s="254"/>
      <c r="G46" s="254"/>
      <c r="H46" s="254"/>
      <c r="I46" s="254"/>
      <c r="J46" s="254"/>
      <c r="K46" s="254"/>
      <c r="L46" s="254"/>
    </row>
    <row r="47" spans="1:12" x14ac:dyDescent="0.25">
      <c r="A47" s="261" t="s">
        <v>316</v>
      </c>
      <c r="B47" s="254">
        <v>0</v>
      </c>
      <c r="C47" s="254">
        <v>0</v>
      </c>
      <c r="D47" s="254">
        <v>0</v>
      </c>
      <c r="E47" s="254">
        <v>0</v>
      </c>
      <c r="F47" s="254">
        <v>0</v>
      </c>
      <c r="G47" s="254">
        <v>0</v>
      </c>
      <c r="H47" s="254">
        <v>0</v>
      </c>
      <c r="I47" s="254">
        <v>0</v>
      </c>
      <c r="J47" s="254">
        <v>0</v>
      </c>
      <c r="K47" s="254">
        <v>0</v>
      </c>
      <c r="L47" s="254">
        <v>0</v>
      </c>
    </row>
    <row r="48" spans="1:12" x14ac:dyDescent="0.25">
      <c r="A48" s="261"/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</row>
    <row r="49" spans="1:12" x14ac:dyDescent="0.25">
      <c r="A49" s="74" t="s">
        <v>372</v>
      </c>
    </row>
    <row r="50" spans="1:12" x14ac:dyDescent="0.25">
      <c r="A50" s="73" t="s">
        <v>373</v>
      </c>
      <c r="B50" s="255">
        <f>+H4</f>
        <v>0</v>
      </c>
      <c r="C50" s="255">
        <f>+B50</f>
        <v>0</v>
      </c>
      <c r="D50" s="254">
        <f>+C54</f>
        <v>0</v>
      </c>
      <c r="E50" s="254">
        <f t="shared" ref="E50:L50" si="7">+D54</f>
        <v>0</v>
      </c>
      <c r="F50" s="254">
        <f t="shared" si="7"/>
        <v>0</v>
      </c>
      <c r="G50" s="254">
        <f t="shared" si="7"/>
        <v>0</v>
      </c>
      <c r="H50" s="254">
        <f t="shared" si="7"/>
        <v>0</v>
      </c>
      <c r="I50" s="254">
        <f t="shared" si="7"/>
        <v>0</v>
      </c>
      <c r="J50" s="254">
        <f t="shared" si="7"/>
        <v>0</v>
      </c>
      <c r="K50" s="254">
        <f>+J54</f>
        <v>0</v>
      </c>
      <c r="L50" s="254">
        <f t="shared" si="7"/>
        <v>0</v>
      </c>
    </row>
    <row r="51" spans="1:12" x14ac:dyDescent="0.25">
      <c r="A51" s="73" t="s">
        <v>374</v>
      </c>
      <c r="C51" s="279">
        <f t="shared" ref="C51:L51" si="8">+PMT($H$9,$H$10,$C$50)</f>
        <v>0</v>
      </c>
      <c r="D51" s="279">
        <f t="shared" si="8"/>
        <v>0</v>
      </c>
      <c r="E51" s="279">
        <f t="shared" si="8"/>
        <v>0</v>
      </c>
      <c r="F51" s="279">
        <f t="shared" si="8"/>
        <v>0</v>
      </c>
      <c r="G51" s="279">
        <f t="shared" si="8"/>
        <v>0</v>
      </c>
      <c r="H51" s="279">
        <f t="shared" si="8"/>
        <v>0</v>
      </c>
      <c r="I51" s="279">
        <f t="shared" si="8"/>
        <v>0</v>
      </c>
      <c r="J51" s="279">
        <f t="shared" si="8"/>
        <v>0</v>
      </c>
      <c r="K51" s="279">
        <f t="shared" si="8"/>
        <v>0</v>
      </c>
      <c r="L51" s="279">
        <f t="shared" si="8"/>
        <v>0</v>
      </c>
    </row>
    <row r="52" spans="1:12" x14ac:dyDescent="0.25">
      <c r="A52" s="73" t="s">
        <v>375</v>
      </c>
      <c r="C52" s="255">
        <f>-C51-C53</f>
        <v>0</v>
      </c>
      <c r="D52" s="255">
        <f t="shared" ref="D52:L52" si="9">-D51-D53</f>
        <v>0</v>
      </c>
      <c r="E52" s="255">
        <f t="shared" si="9"/>
        <v>0</v>
      </c>
      <c r="F52" s="255">
        <f t="shared" si="9"/>
        <v>0</v>
      </c>
      <c r="G52" s="255">
        <f t="shared" si="9"/>
        <v>0</v>
      </c>
      <c r="H52" s="255">
        <f t="shared" si="9"/>
        <v>0</v>
      </c>
      <c r="I52" s="255">
        <f t="shared" si="9"/>
        <v>0</v>
      </c>
      <c r="J52" s="255">
        <f t="shared" si="9"/>
        <v>0</v>
      </c>
      <c r="K52" s="255">
        <f t="shared" si="9"/>
        <v>0</v>
      </c>
      <c r="L52" s="255">
        <f t="shared" si="9"/>
        <v>0</v>
      </c>
    </row>
    <row r="53" spans="1:12" x14ac:dyDescent="0.25">
      <c r="A53" s="73" t="s">
        <v>376</v>
      </c>
      <c r="C53" s="255">
        <f t="shared" ref="C53:L53" si="10">+$H$9*C50</f>
        <v>0</v>
      </c>
      <c r="D53" s="255">
        <f t="shared" si="10"/>
        <v>0</v>
      </c>
      <c r="E53" s="255">
        <f t="shared" si="10"/>
        <v>0</v>
      </c>
      <c r="F53" s="255">
        <f t="shared" si="10"/>
        <v>0</v>
      </c>
      <c r="G53" s="255">
        <f t="shared" si="10"/>
        <v>0</v>
      </c>
      <c r="H53" s="255">
        <f t="shared" si="10"/>
        <v>0</v>
      </c>
      <c r="I53" s="255">
        <f t="shared" si="10"/>
        <v>0</v>
      </c>
      <c r="J53" s="255">
        <f t="shared" si="10"/>
        <v>0</v>
      </c>
      <c r="K53" s="255">
        <f t="shared" si="10"/>
        <v>0</v>
      </c>
      <c r="L53" s="255">
        <f t="shared" si="10"/>
        <v>0</v>
      </c>
    </row>
    <row r="54" spans="1:12" x14ac:dyDescent="0.25">
      <c r="A54" s="73" t="s">
        <v>377</v>
      </c>
      <c r="C54" s="255">
        <f>+C50-C52</f>
        <v>0</v>
      </c>
      <c r="D54" s="255">
        <f t="shared" ref="D54:L54" si="11">+D50-D52</f>
        <v>0</v>
      </c>
      <c r="E54" s="255">
        <f t="shared" si="11"/>
        <v>0</v>
      </c>
      <c r="F54" s="255">
        <f t="shared" si="11"/>
        <v>0</v>
      </c>
      <c r="G54" s="255">
        <f t="shared" si="11"/>
        <v>0</v>
      </c>
      <c r="H54" s="255">
        <f t="shared" si="11"/>
        <v>0</v>
      </c>
      <c r="I54" s="255">
        <f t="shared" si="11"/>
        <v>0</v>
      </c>
      <c r="J54" s="255">
        <f t="shared" si="11"/>
        <v>0</v>
      </c>
      <c r="K54" s="255">
        <f t="shared" si="11"/>
        <v>0</v>
      </c>
      <c r="L54" s="255">
        <f t="shared" si="11"/>
        <v>0</v>
      </c>
    </row>
    <row r="56" spans="1:12" s="157" customFormat="1" x14ac:dyDescent="0.25">
      <c r="A56" s="74" t="s">
        <v>378</v>
      </c>
      <c r="B56" s="256">
        <f>+H5</f>
        <v>11156518.800000001</v>
      </c>
      <c r="C56" s="256"/>
      <c r="D56" s="256"/>
      <c r="E56" s="256"/>
      <c r="F56" s="256"/>
      <c r="G56" s="256"/>
      <c r="H56" s="256"/>
      <c r="I56" s="256"/>
      <c r="J56" s="256"/>
      <c r="K56" s="256"/>
      <c r="L56" s="25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8"/>
  <sheetViews>
    <sheetView showGridLines="0" zoomScale="80" zoomScaleNormal="80" workbookViewId="0">
      <selection activeCell="B30" sqref="B30"/>
    </sheetView>
  </sheetViews>
  <sheetFormatPr baseColWidth="10" defaultRowHeight="15" x14ac:dyDescent="0.25"/>
  <cols>
    <col min="1" max="1" width="16.140625" style="58" customWidth="1"/>
    <col min="2" max="2" width="26" style="58" bestFit="1" customWidth="1"/>
    <col min="3" max="3" width="7.7109375" style="58" bestFit="1" customWidth="1"/>
    <col min="4" max="4" width="16.7109375" style="58" bestFit="1" customWidth="1"/>
    <col min="5" max="5" width="9.85546875" style="58" bestFit="1" customWidth="1"/>
    <col min="6" max="6" width="17.140625" style="58" bestFit="1" customWidth="1"/>
    <col min="7" max="7" width="8.42578125" style="58" bestFit="1" customWidth="1"/>
    <col min="8" max="8" width="18.85546875" style="58" bestFit="1" customWidth="1"/>
    <col min="9" max="9" width="9.85546875" style="58" bestFit="1" customWidth="1"/>
    <col min="10" max="10" width="17.140625" style="58" bestFit="1" customWidth="1"/>
    <col min="11" max="11" width="9.42578125" style="58" bestFit="1" customWidth="1"/>
    <col min="12" max="12" width="17.140625" style="58" bestFit="1" customWidth="1"/>
    <col min="13" max="13" width="9.42578125" style="58" customWidth="1"/>
    <col min="14" max="14" width="18.85546875" style="58" bestFit="1" customWidth="1"/>
    <col min="15" max="15" width="9.140625" style="58" bestFit="1" customWidth="1"/>
    <col min="16" max="16" width="15" style="58" bestFit="1" customWidth="1"/>
    <col min="17" max="17" width="8.7109375" style="58" bestFit="1" customWidth="1"/>
    <col min="18" max="18" width="15.140625" style="58" bestFit="1" customWidth="1"/>
    <col min="19" max="19" width="9.140625" style="58" bestFit="1" customWidth="1"/>
    <col min="20" max="20" width="17.140625" style="58" bestFit="1" customWidth="1"/>
    <col min="21" max="21" width="8.7109375" style="58" bestFit="1" customWidth="1"/>
    <col min="22" max="22" width="15" style="58" bestFit="1" customWidth="1"/>
    <col min="23" max="23" width="9.140625" style="58" bestFit="1" customWidth="1"/>
    <col min="24" max="24" width="17.140625" style="58" bestFit="1" customWidth="1"/>
    <col min="25" max="25" width="9.140625" style="58" bestFit="1" customWidth="1"/>
    <col min="26" max="26" width="16.85546875" style="58" customWidth="1"/>
    <col min="27" max="27" width="7.7109375" style="58" bestFit="1" customWidth="1"/>
    <col min="28" max="28" width="17.140625" style="58" bestFit="1" customWidth="1"/>
    <col min="29" max="29" width="7.28515625" style="58" customWidth="1"/>
    <col min="30" max="30" width="9.140625" style="58" bestFit="1" customWidth="1"/>
    <col min="31" max="31" width="6.42578125" style="58" bestFit="1" customWidth="1"/>
    <col min="32" max="32" width="12.140625" style="58" bestFit="1" customWidth="1"/>
    <col min="33" max="33" width="7.7109375" style="58" bestFit="1" customWidth="1"/>
    <col min="34" max="34" width="7.42578125" style="58" customWidth="1"/>
    <col min="35" max="41" width="7.7109375" style="58" bestFit="1" customWidth="1"/>
    <col min="42" max="42" width="10.7109375" style="58" bestFit="1" customWidth="1"/>
    <col min="43" max="16384" width="11.42578125" style="58"/>
  </cols>
  <sheetData>
    <row r="1" spans="1:40" x14ac:dyDescent="0.25">
      <c r="A1" s="404" t="s">
        <v>205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</row>
    <row r="2" spans="1:40" x14ac:dyDescent="0.25">
      <c r="A2" s="221"/>
      <c r="B2" s="222" t="s">
        <v>271</v>
      </c>
      <c r="C2" s="222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59"/>
      <c r="S2" s="59"/>
      <c r="AB2" s="59" t="s">
        <v>188</v>
      </c>
    </row>
    <row r="3" spans="1:40" ht="30" x14ac:dyDescent="0.25">
      <c r="A3" s="70" t="s">
        <v>189</v>
      </c>
      <c r="B3" s="70" t="s">
        <v>190</v>
      </c>
      <c r="C3" s="70"/>
      <c r="D3" s="70" t="s">
        <v>191</v>
      </c>
      <c r="E3" s="70"/>
      <c r="F3" s="70" t="s">
        <v>192</v>
      </c>
      <c r="G3" s="70"/>
      <c r="H3" s="70" t="s">
        <v>193</v>
      </c>
      <c r="I3" s="70"/>
      <c r="J3" s="70" t="s">
        <v>194</v>
      </c>
      <c r="K3" s="70"/>
      <c r="L3" s="70" t="s">
        <v>195</v>
      </c>
      <c r="M3" s="70"/>
      <c r="N3" s="70" t="s">
        <v>196</v>
      </c>
      <c r="O3" s="70"/>
      <c r="P3" s="70" t="s">
        <v>197</v>
      </c>
      <c r="Q3" s="70"/>
      <c r="R3" s="219" t="s">
        <v>266</v>
      </c>
      <c r="S3" s="219"/>
      <c r="T3" s="77" t="s">
        <v>269</v>
      </c>
      <c r="U3" s="77"/>
      <c r="V3" s="77" t="s">
        <v>267</v>
      </c>
      <c r="W3" s="77"/>
      <c r="X3" s="77" t="s">
        <v>268</v>
      </c>
      <c r="AB3" s="61">
        <v>0.1052</v>
      </c>
      <c r="AC3" s="60" t="s">
        <v>198</v>
      </c>
    </row>
    <row r="4" spans="1:40" x14ac:dyDescent="0.25">
      <c r="A4" s="62">
        <v>2003</v>
      </c>
      <c r="B4" s="209">
        <v>5919172653372</v>
      </c>
      <c r="C4" s="211"/>
      <c r="D4" s="209">
        <v>0</v>
      </c>
      <c r="E4" s="211"/>
      <c r="F4" s="209">
        <v>383782822860</v>
      </c>
      <c r="G4" s="211"/>
      <c r="H4" s="209">
        <v>55473684030</v>
      </c>
      <c r="I4" s="211"/>
      <c r="J4" s="209">
        <v>0</v>
      </c>
      <c r="K4" s="211"/>
      <c r="L4" s="209">
        <v>162786013297</v>
      </c>
      <c r="M4" s="211"/>
      <c r="N4" s="209">
        <v>0</v>
      </c>
      <c r="O4" s="211"/>
      <c r="P4" s="209">
        <v>0</v>
      </c>
      <c r="Q4" s="211"/>
      <c r="R4" s="211">
        <v>0</v>
      </c>
      <c r="S4" s="211"/>
      <c r="T4" s="211">
        <v>0</v>
      </c>
      <c r="U4" s="211"/>
      <c r="V4" s="211">
        <v>0</v>
      </c>
      <c r="W4" s="211"/>
      <c r="X4" s="211">
        <v>0</v>
      </c>
      <c r="AB4" s="61">
        <v>9.2299999999999993E-2</v>
      </c>
      <c r="AC4" s="58" t="s">
        <v>199</v>
      </c>
    </row>
    <row r="5" spans="1:40" x14ac:dyDescent="0.25">
      <c r="A5" s="62">
        <v>2004</v>
      </c>
      <c r="B5" s="209">
        <v>6450719332119</v>
      </c>
      <c r="C5" s="64">
        <f>+B5/B4-1</f>
        <v>8.9800840400252824E-2</v>
      </c>
      <c r="D5" s="209">
        <v>0</v>
      </c>
      <c r="E5" s="64"/>
      <c r="F5" s="209">
        <v>351188470804</v>
      </c>
      <c r="G5" s="64">
        <f>+F5/F4-1</f>
        <v>-8.4929158144970152E-2</v>
      </c>
      <c r="H5" s="209">
        <v>122306202068</v>
      </c>
      <c r="I5" s="64">
        <f>+H5/H4-1</f>
        <v>1.2047607655164416</v>
      </c>
      <c r="J5" s="209">
        <v>0</v>
      </c>
      <c r="K5" s="211"/>
      <c r="L5" s="209">
        <v>139988085707</v>
      </c>
      <c r="M5" s="64">
        <f>+L5/L4-1</f>
        <v>-0.14004844229710089</v>
      </c>
      <c r="N5" s="209">
        <v>0</v>
      </c>
      <c r="O5" s="64"/>
      <c r="P5" s="209">
        <v>0</v>
      </c>
      <c r="Q5" s="211"/>
      <c r="R5" s="211">
        <v>0</v>
      </c>
      <c r="S5" s="211"/>
      <c r="T5" s="211">
        <v>0</v>
      </c>
      <c r="U5" s="211"/>
      <c r="V5" s="211">
        <v>0</v>
      </c>
      <c r="W5" s="211"/>
      <c r="X5" s="211">
        <v>0</v>
      </c>
      <c r="AB5" s="61">
        <v>0.1115</v>
      </c>
      <c r="AC5" s="64" t="s">
        <v>200</v>
      </c>
    </row>
    <row r="6" spans="1:40" x14ac:dyDescent="0.25">
      <c r="A6" s="62">
        <v>2005</v>
      </c>
      <c r="B6" s="209">
        <v>5993260184098.5</v>
      </c>
      <c r="C6" s="64">
        <f>+B6/B5-1</f>
        <v>-7.0915990057535017E-2</v>
      </c>
      <c r="D6" s="209">
        <v>0</v>
      </c>
      <c r="E6" s="64"/>
      <c r="F6" s="209">
        <v>258419237721</v>
      </c>
      <c r="G6" s="64">
        <f t="shared" ref="G6:G21" si="0">+F6/F5-1</f>
        <v>-0.26415796871297337</v>
      </c>
      <c r="H6" s="209">
        <v>125598502462</v>
      </c>
      <c r="I6" s="64">
        <f t="shared" ref="I6:I21" si="1">+H6/H5-1</f>
        <v>2.6918507306518569E-2</v>
      </c>
      <c r="J6" s="209">
        <v>0</v>
      </c>
      <c r="K6" s="211"/>
      <c r="L6" s="209">
        <v>100453027057</v>
      </c>
      <c r="M6" s="64">
        <f t="shared" ref="M6:M21" si="2">+L6/L5-1</f>
        <v>-0.28241731037560058</v>
      </c>
      <c r="N6" s="209">
        <v>81775299753</v>
      </c>
      <c r="O6" s="64"/>
      <c r="P6" s="209">
        <v>1108845000</v>
      </c>
      <c r="Q6" s="211"/>
      <c r="R6" s="211">
        <v>0</v>
      </c>
      <c r="S6" s="211"/>
      <c r="T6" s="211">
        <v>0</v>
      </c>
      <c r="U6" s="211"/>
      <c r="V6" s="211">
        <v>0</v>
      </c>
      <c r="W6" s="211"/>
      <c r="X6" s="211">
        <v>0</v>
      </c>
    </row>
    <row r="7" spans="1:40" x14ac:dyDescent="0.25">
      <c r="A7" s="62">
        <v>2006</v>
      </c>
      <c r="B7" s="209">
        <v>7644253391916</v>
      </c>
      <c r="C7" s="64">
        <f>+B7/B6-1</f>
        <v>0.27547497640732588</v>
      </c>
      <c r="D7" s="209">
        <v>0</v>
      </c>
      <c r="E7" s="64"/>
      <c r="F7" s="209">
        <v>209254283287</v>
      </c>
      <c r="G7" s="64">
        <f t="shared" si="0"/>
        <v>-0.19025268732926337</v>
      </c>
      <c r="H7" s="209">
        <v>17492573806</v>
      </c>
      <c r="I7" s="64">
        <f t="shared" si="1"/>
        <v>-0.86072625498626143</v>
      </c>
      <c r="J7" s="209">
        <v>0</v>
      </c>
      <c r="K7" s="211"/>
      <c r="L7" s="209">
        <v>181402409219</v>
      </c>
      <c r="M7" s="64">
        <f t="shared" si="2"/>
        <v>0.8058431341851644</v>
      </c>
      <c r="N7" s="209">
        <v>211953044868</v>
      </c>
      <c r="O7" s="64">
        <f t="shared" ref="O7:O21" si="3">+N7/N6-1</f>
        <v>1.5918956641944235</v>
      </c>
      <c r="P7" s="209">
        <v>1964367000</v>
      </c>
      <c r="Q7" s="64">
        <f t="shared" ref="Q7:Q15" si="4">+P7/P6-1</f>
        <v>0.77154336268820267</v>
      </c>
      <c r="R7" s="211">
        <v>0</v>
      </c>
      <c r="S7" s="211"/>
      <c r="T7" s="211">
        <v>0</v>
      </c>
      <c r="U7" s="211"/>
      <c r="V7" s="211">
        <v>0</v>
      </c>
      <c r="W7" s="211"/>
      <c r="X7" s="211">
        <v>0</v>
      </c>
    </row>
    <row r="8" spans="1:40" x14ac:dyDescent="0.25">
      <c r="A8" s="62">
        <v>2007</v>
      </c>
      <c r="B8" s="209">
        <v>10053520132298.5</v>
      </c>
      <c r="C8" s="64">
        <f>+B8/B7-1</f>
        <v>0.31517358424177355</v>
      </c>
      <c r="D8" s="209">
        <v>0</v>
      </c>
      <c r="E8" s="64"/>
      <c r="F8" s="209">
        <v>114805703066</v>
      </c>
      <c r="G8" s="64">
        <f t="shared" si="0"/>
        <v>-0.45135793034860017</v>
      </c>
      <c r="H8" s="209">
        <v>6277070143</v>
      </c>
      <c r="I8" s="64">
        <f t="shared" si="1"/>
        <v>-0.64115800152594193</v>
      </c>
      <c r="J8" s="209">
        <v>0</v>
      </c>
      <c r="K8" s="211"/>
      <c r="L8" s="209">
        <v>182744320315</v>
      </c>
      <c r="M8" s="64">
        <f t="shared" si="2"/>
        <v>7.3974270891847826E-3</v>
      </c>
      <c r="N8" s="209">
        <v>378611902576</v>
      </c>
      <c r="O8" s="64">
        <f t="shared" si="3"/>
        <v>0.78630084230114128</v>
      </c>
      <c r="P8" s="209">
        <v>3928692000</v>
      </c>
      <c r="Q8" s="64">
        <f t="shared" si="4"/>
        <v>0.99997861906660002</v>
      </c>
      <c r="R8" s="211">
        <v>0</v>
      </c>
      <c r="S8" s="211"/>
      <c r="T8" s="211">
        <v>0</v>
      </c>
      <c r="U8" s="211"/>
      <c r="V8" s="211">
        <v>0</v>
      </c>
      <c r="W8" s="211"/>
      <c r="X8" s="211">
        <v>0</v>
      </c>
    </row>
    <row r="9" spans="1:40" x14ac:dyDescent="0.25">
      <c r="A9" s="62">
        <v>2008</v>
      </c>
      <c r="B9" s="209">
        <v>13753797504552</v>
      </c>
      <c r="C9" s="64">
        <f>+B9/B8-1</f>
        <v>0.36805788654719884</v>
      </c>
      <c r="D9" s="209">
        <v>0</v>
      </c>
      <c r="E9" s="64"/>
      <c r="F9" s="209">
        <v>145389960803</v>
      </c>
      <c r="G9" s="64">
        <f t="shared" si="0"/>
        <v>0.26640016062109373</v>
      </c>
      <c r="H9" s="209">
        <v>4541344082</v>
      </c>
      <c r="I9" s="64">
        <f t="shared" si="1"/>
        <v>-0.27651850647799903</v>
      </c>
      <c r="J9" s="209">
        <v>0</v>
      </c>
      <c r="K9" s="211"/>
      <c r="L9" s="209">
        <v>193436899890</v>
      </c>
      <c r="M9" s="64">
        <f t="shared" si="2"/>
        <v>5.8511145826961819E-2</v>
      </c>
      <c r="N9" s="209">
        <v>404065366587</v>
      </c>
      <c r="O9" s="64">
        <f t="shared" si="3"/>
        <v>6.7228377760497393E-2</v>
      </c>
      <c r="P9" s="209">
        <v>5366608000</v>
      </c>
      <c r="Q9" s="64">
        <f t="shared" si="4"/>
        <v>0.36600374883039954</v>
      </c>
      <c r="R9" s="211">
        <v>0</v>
      </c>
      <c r="S9" s="211"/>
      <c r="T9" s="211">
        <v>0</v>
      </c>
      <c r="U9" s="211"/>
      <c r="V9" s="211">
        <v>0</v>
      </c>
      <c r="W9" s="211"/>
      <c r="X9" s="211">
        <v>0</v>
      </c>
    </row>
    <row r="10" spans="1:40" x14ac:dyDescent="0.25">
      <c r="A10" s="62">
        <v>2009</v>
      </c>
      <c r="B10" s="209">
        <v>12783144598319</v>
      </c>
      <c r="C10" s="64">
        <f t="shared" ref="C10:C21" si="5">+B10/B9-1</f>
        <v>-7.0573447508715303E-2</v>
      </c>
      <c r="D10" s="209">
        <v>0</v>
      </c>
      <c r="E10" s="64"/>
      <c r="F10" s="209">
        <v>123625459563</v>
      </c>
      <c r="G10" s="64">
        <f t="shared" si="0"/>
        <v>-0.14969741459309138</v>
      </c>
      <c r="H10" s="209">
        <v>3391249918</v>
      </c>
      <c r="I10" s="64">
        <f t="shared" si="1"/>
        <v>-0.25324973030748654</v>
      </c>
      <c r="J10" s="209">
        <v>0</v>
      </c>
      <c r="K10" s="211"/>
      <c r="L10" s="209">
        <v>242505350003</v>
      </c>
      <c r="M10" s="64">
        <f t="shared" si="2"/>
        <v>0.25366644182626641</v>
      </c>
      <c r="N10" s="209">
        <v>299626061232</v>
      </c>
      <c r="O10" s="64">
        <f t="shared" si="3"/>
        <v>-0.25847131180076777</v>
      </c>
      <c r="P10" s="209">
        <v>5301261951</v>
      </c>
      <c r="Q10" s="64">
        <f t="shared" si="4"/>
        <v>-1.2176415531002127E-2</v>
      </c>
      <c r="R10" s="211">
        <v>0</v>
      </c>
      <c r="S10" s="211"/>
      <c r="T10" s="211">
        <v>0</v>
      </c>
      <c r="U10" s="211"/>
      <c r="V10" s="211">
        <v>0</v>
      </c>
      <c r="W10" s="211"/>
      <c r="X10" s="211">
        <v>0</v>
      </c>
    </row>
    <row r="11" spans="1:40" x14ac:dyDescent="0.25">
      <c r="A11" s="62">
        <v>2010</v>
      </c>
      <c r="B11" s="209">
        <v>11991371890522</v>
      </c>
      <c r="C11" s="64">
        <f t="shared" si="5"/>
        <v>-6.1938805565973087E-2</v>
      </c>
      <c r="D11" s="210">
        <v>13617186609.450001</v>
      </c>
      <c r="E11" s="64"/>
      <c r="F11" s="209">
        <v>42006949127</v>
      </c>
      <c r="G11" s="64">
        <f t="shared" si="0"/>
        <v>-0.66020794361057078</v>
      </c>
      <c r="H11" s="209">
        <v>2812463733.5499992</v>
      </c>
      <c r="I11" s="64">
        <f t="shared" si="1"/>
        <v>-0.17067046028602384</v>
      </c>
      <c r="J11" s="209">
        <v>15037225598</v>
      </c>
      <c r="K11" s="211"/>
      <c r="L11" s="209">
        <v>108342679367</v>
      </c>
      <c r="M11" s="64">
        <f t="shared" si="2"/>
        <v>-0.55323592091613771</v>
      </c>
      <c r="N11" s="209">
        <v>435273609486</v>
      </c>
      <c r="O11" s="64">
        <f t="shared" si="3"/>
        <v>0.45272279619551625</v>
      </c>
      <c r="P11" s="209">
        <v>2908195411</v>
      </c>
      <c r="Q11" s="64">
        <f t="shared" si="4"/>
        <v>-0.45141450509695824</v>
      </c>
      <c r="R11" s="211">
        <v>0</v>
      </c>
      <c r="S11" s="211"/>
      <c r="T11" s="211">
        <v>0</v>
      </c>
      <c r="U11" s="211"/>
      <c r="V11" s="211">
        <v>0</v>
      </c>
      <c r="W11" s="211"/>
      <c r="X11" s="211">
        <v>0</v>
      </c>
      <c r="AG11" s="228">
        <v>2013</v>
      </c>
      <c r="AH11" s="228">
        <v>2014</v>
      </c>
      <c r="AI11" s="228">
        <v>2015</v>
      </c>
      <c r="AJ11" s="228">
        <v>2016</v>
      </c>
      <c r="AK11" s="228">
        <v>2017</v>
      </c>
      <c r="AL11" s="228">
        <v>2018</v>
      </c>
      <c r="AM11" s="228">
        <v>2019</v>
      </c>
      <c r="AN11" s="228">
        <v>2020</v>
      </c>
    </row>
    <row r="12" spans="1:40" ht="17.25" customHeight="1" x14ac:dyDescent="0.25">
      <c r="A12" s="62">
        <v>2011</v>
      </c>
      <c r="B12" s="209">
        <v>14884407044562</v>
      </c>
      <c r="C12" s="64">
        <f t="shared" si="5"/>
        <v>0.2412597307841533</v>
      </c>
      <c r="D12" s="210">
        <v>299102386444.7301</v>
      </c>
      <c r="E12" s="64">
        <f>+D12/D11-1</f>
        <v>20.965064812812379</v>
      </c>
      <c r="F12" s="209">
        <v>51028985539</v>
      </c>
      <c r="G12" s="64">
        <f t="shared" si="0"/>
        <v>0.21477485510132133</v>
      </c>
      <c r="H12" s="209">
        <v>0</v>
      </c>
      <c r="I12" s="64">
        <f t="shared" si="1"/>
        <v>-1</v>
      </c>
      <c r="J12" s="209">
        <v>64628581197</v>
      </c>
      <c r="K12" s="64">
        <f>+J12/J11-1</f>
        <v>3.2979059385526419</v>
      </c>
      <c r="L12" s="209">
        <v>106329711779</v>
      </c>
      <c r="M12" s="64">
        <f t="shared" si="2"/>
        <v>-1.857963638854887E-2</v>
      </c>
      <c r="N12" s="209">
        <v>479606741607</v>
      </c>
      <c r="O12" s="64">
        <f t="shared" si="3"/>
        <v>0.10185118315202124</v>
      </c>
      <c r="P12" s="209">
        <v>774918236</v>
      </c>
      <c r="Q12" s="64">
        <f t="shared" si="4"/>
        <v>-0.73353983261615152</v>
      </c>
      <c r="R12" s="211">
        <v>0</v>
      </c>
      <c r="S12" s="211"/>
      <c r="T12" s="211">
        <v>0</v>
      </c>
      <c r="U12" s="211"/>
      <c r="V12" s="211">
        <v>0</v>
      </c>
      <c r="W12" s="211"/>
      <c r="X12" s="211">
        <v>0</v>
      </c>
      <c r="AE12" s="405" t="s">
        <v>386</v>
      </c>
      <c r="AF12" s="227" t="s">
        <v>387</v>
      </c>
      <c r="AG12" s="305" t="s">
        <v>389</v>
      </c>
      <c r="AH12" s="305">
        <v>1</v>
      </c>
      <c r="AI12" s="305">
        <v>0.65211196967023799</v>
      </c>
      <c r="AJ12" s="305">
        <v>0.22378265499386152</v>
      </c>
      <c r="AK12" s="305">
        <v>1.0353257035375716</v>
      </c>
      <c r="AL12" s="305">
        <v>0.56930387535128824</v>
      </c>
      <c r="AM12" s="305">
        <v>0.71376086804100525</v>
      </c>
      <c r="AN12" s="305">
        <v>0.62374211913811051</v>
      </c>
    </row>
    <row r="13" spans="1:40" x14ac:dyDescent="0.25">
      <c r="A13" s="62">
        <v>2012</v>
      </c>
      <c r="B13" s="209">
        <v>15647341553343</v>
      </c>
      <c r="C13" s="64">
        <f t="shared" si="5"/>
        <v>5.125729943402324E-2</v>
      </c>
      <c r="D13" s="210">
        <v>282175890100.70917</v>
      </c>
      <c r="E13" s="64">
        <f>+D13/D12-1</f>
        <v>-5.6590977240994711E-2</v>
      </c>
      <c r="F13" s="209">
        <v>34269187772</v>
      </c>
      <c r="G13" s="64">
        <f t="shared" si="0"/>
        <v>-0.32843682056330448</v>
      </c>
      <c r="H13" s="209">
        <v>238761217.29083252</v>
      </c>
      <c r="I13" s="64" t="e">
        <f t="shared" si="1"/>
        <v>#DIV/0!</v>
      </c>
      <c r="J13" s="209">
        <v>73432426177</v>
      </c>
      <c r="K13" s="64">
        <f t="shared" ref="K13:K21" si="6">+J13/J12-1</f>
        <v>0.13622216079855187</v>
      </c>
      <c r="L13" s="209">
        <v>91126125269</v>
      </c>
      <c r="M13" s="64">
        <f t="shared" si="2"/>
        <v>-0.14298530726387892</v>
      </c>
      <c r="N13" s="209">
        <v>618003878143</v>
      </c>
      <c r="O13" s="64">
        <f t="shared" si="3"/>
        <v>0.28856378472136979</v>
      </c>
      <c r="P13" s="209">
        <v>1691169000</v>
      </c>
      <c r="Q13" s="64">
        <f t="shared" si="4"/>
        <v>1.1823837941013431</v>
      </c>
      <c r="R13" s="211">
        <v>0</v>
      </c>
      <c r="S13" s="211"/>
      <c r="T13" s="211">
        <v>0</v>
      </c>
      <c r="U13" s="211"/>
      <c r="V13" s="211">
        <v>0</v>
      </c>
      <c r="W13" s="211"/>
      <c r="X13" s="211">
        <v>0</v>
      </c>
      <c r="AE13" s="406"/>
      <c r="AF13" s="227" t="s">
        <v>388</v>
      </c>
      <c r="AG13" s="305" t="s">
        <v>389</v>
      </c>
      <c r="AH13" s="305" t="s">
        <v>389</v>
      </c>
      <c r="AI13" s="305">
        <v>1</v>
      </c>
      <c r="AJ13" s="305">
        <v>0.12231045741536106</v>
      </c>
      <c r="AK13" s="305">
        <v>0.11663255754194046</v>
      </c>
      <c r="AL13" s="305">
        <v>0.11176362414755969</v>
      </c>
      <c r="AM13" s="305">
        <v>0.17173163808630187</v>
      </c>
      <c r="AN13" s="305">
        <v>0.12000000000000033</v>
      </c>
    </row>
    <row r="14" spans="1:40" ht="18" customHeight="1" x14ac:dyDescent="0.25">
      <c r="A14" s="55">
        <v>2013</v>
      </c>
      <c r="B14" s="56">
        <v>16351026475200</v>
      </c>
      <c r="C14" s="303">
        <f>+B14/B13-1</f>
        <v>4.4971532030414485E-2</v>
      </c>
      <c r="D14" s="75">
        <v>292052046254.23395</v>
      </c>
      <c r="E14" s="303">
        <f>+D14/D13-1</f>
        <v>3.499999999999992E-2</v>
      </c>
      <c r="F14" s="56">
        <v>35468609344.019997</v>
      </c>
      <c r="G14" s="303">
        <f t="shared" si="0"/>
        <v>3.499999999999992E-2</v>
      </c>
      <c r="H14" s="56">
        <v>247117859.89601165</v>
      </c>
      <c r="I14" s="303">
        <f t="shared" si="1"/>
        <v>3.499999999999992E-2</v>
      </c>
      <c r="J14" s="56">
        <v>0</v>
      </c>
      <c r="K14" s="303">
        <f t="shared" si="6"/>
        <v>-1</v>
      </c>
      <c r="L14" s="56">
        <v>78368467731.339996</v>
      </c>
      <c r="M14" s="303">
        <f t="shared" si="2"/>
        <v>-0.14000000000000001</v>
      </c>
      <c r="N14" s="56">
        <v>600000000000</v>
      </c>
      <c r="O14" s="303">
        <f t="shared" si="3"/>
        <v>-2.9132306090212112E-2</v>
      </c>
      <c r="P14" s="56">
        <v>1750359914.9999998</v>
      </c>
      <c r="Q14" s="303">
        <f t="shared" si="4"/>
        <v>3.499999999999992E-2</v>
      </c>
      <c r="R14" s="56">
        <v>0</v>
      </c>
      <c r="S14" s="56"/>
      <c r="T14" s="56">
        <v>0</v>
      </c>
      <c r="U14" s="56"/>
      <c r="V14" s="56">
        <v>0</v>
      </c>
      <c r="W14" s="56"/>
      <c r="X14" s="56">
        <v>0</v>
      </c>
      <c r="AE14" s="406"/>
      <c r="AF14" s="227" t="s">
        <v>337</v>
      </c>
      <c r="AG14" s="305" t="s">
        <v>389</v>
      </c>
      <c r="AH14" s="305" t="s">
        <v>389</v>
      </c>
      <c r="AI14" s="304">
        <v>1</v>
      </c>
      <c r="AJ14" s="305">
        <v>1.0121964718355514</v>
      </c>
      <c r="AK14" s="305">
        <v>0.53938613676329417</v>
      </c>
      <c r="AL14" s="305">
        <v>0.26824179456254549</v>
      </c>
      <c r="AM14" s="305">
        <v>0.26824179456254549</v>
      </c>
      <c r="AN14" s="305">
        <v>8.1612429712549561E-2</v>
      </c>
    </row>
    <row r="15" spans="1:40" x14ac:dyDescent="0.25">
      <c r="A15" s="62">
        <v>2014</v>
      </c>
      <c r="B15" s="209">
        <v>17334302870393.652</v>
      </c>
      <c r="C15" s="64">
        <f t="shared" si="5"/>
        <v>6.0135453678398232E-2</v>
      </c>
      <c r="D15" s="210">
        <v>302273867873.13214</v>
      </c>
      <c r="E15" s="64">
        <f t="shared" ref="E15:E21" si="7">+D15/D14-1</f>
        <v>3.499999999999992E-2</v>
      </c>
      <c r="F15" s="209">
        <v>63843496819.235992</v>
      </c>
      <c r="G15" s="64">
        <f t="shared" si="0"/>
        <v>0.8</v>
      </c>
      <c r="H15" s="209">
        <v>255766984.99237204</v>
      </c>
      <c r="I15" s="64">
        <f t="shared" si="1"/>
        <v>3.499999999999992E-2</v>
      </c>
      <c r="J15" s="209">
        <v>50923200000</v>
      </c>
      <c r="K15" s="64">
        <f>+J15/J13-1</f>
        <v>-0.30652979002415404</v>
      </c>
      <c r="L15" s="209">
        <v>94042161277.607986</v>
      </c>
      <c r="M15" s="64">
        <f t="shared" si="2"/>
        <v>0.19999999999999996</v>
      </c>
      <c r="N15" s="209">
        <v>1000000000000</v>
      </c>
      <c r="O15" s="64">
        <f t="shared" si="3"/>
        <v>0.66666666666666674</v>
      </c>
      <c r="P15" s="209">
        <v>1811622512.0249996</v>
      </c>
      <c r="Q15" s="64">
        <f t="shared" si="4"/>
        <v>3.499999999999992E-2</v>
      </c>
      <c r="R15" s="211">
        <v>0</v>
      </c>
      <c r="S15" s="211"/>
      <c r="T15" s="211">
        <v>17166214017.41169</v>
      </c>
      <c r="U15" s="211"/>
      <c r="V15" s="211">
        <v>0</v>
      </c>
      <c r="W15" s="211"/>
      <c r="X15" s="211">
        <v>0</v>
      </c>
      <c r="AE15" s="407"/>
      <c r="AF15" s="227" t="s">
        <v>266</v>
      </c>
      <c r="AG15" s="305" t="s">
        <v>389</v>
      </c>
      <c r="AH15" s="305" t="s">
        <v>389</v>
      </c>
      <c r="AI15" s="305">
        <v>1</v>
      </c>
      <c r="AJ15" s="305">
        <v>0.32000000000000006</v>
      </c>
      <c r="AK15" s="305">
        <v>0.6262626262626263</v>
      </c>
      <c r="AL15" s="305">
        <v>0.45962732919254656</v>
      </c>
      <c r="AM15" s="305">
        <v>0.31489361702127661</v>
      </c>
      <c r="AN15" s="305">
        <v>0.23948220064724923</v>
      </c>
    </row>
    <row r="16" spans="1:40" x14ac:dyDescent="0.25">
      <c r="A16" s="62">
        <v>2015</v>
      </c>
      <c r="B16" s="209">
        <v>18661015291534.793</v>
      </c>
      <c r="C16" s="64">
        <f t="shared" si="5"/>
        <v>7.6536820145626683E-2</v>
      </c>
      <c r="D16" s="210">
        <v>312853453248.69171</v>
      </c>
      <c r="E16" s="64">
        <f t="shared" si="7"/>
        <v>3.499999999999992E-2</v>
      </c>
      <c r="F16" s="209">
        <v>89380895546.930389</v>
      </c>
      <c r="G16" s="64">
        <f t="shared" si="0"/>
        <v>0.39999999999999991</v>
      </c>
      <c r="H16" s="209">
        <v>18661015291.534794</v>
      </c>
      <c r="I16" s="64">
        <f t="shared" si="1"/>
        <v>71.961001171012498</v>
      </c>
      <c r="J16" s="209">
        <v>142284513120</v>
      </c>
      <c r="K16" s="64">
        <f>+J16/J15-1</f>
        <v>1.7940999999999998</v>
      </c>
      <c r="L16" s="209">
        <v>112850593533.12958</v>
      </c>
      <c r="M16" s="64">
        <f t="shared" si="2"/>
        <v>0.19999999999999996</v>
      </c>
      <c r="N16" s="209">
        <v>1105400000000</v>
      </c>
      <c r="O16" s="64">
        <f t="shared" si="3"/>
        <v>0.10539999999999994</v>
      </c>
      <c r="P16" s="209">
        <v>1875029299.9458745</v>
      </c>
      <c r="Q16" s="64">
        <f t="shared" ref="Q16:Y16" si="8">+P16/P15-1</f>
        <v>3.499999999999992E-2</v>
      </c>
      <c r="R16" s="211">
        <v>1800000000</v>
      </c>
      <c r="S16" s="64" t="e">
        <f t="shared" si="8"/>
        <v>#DIV/0!</v>
      </c>
      <c r="T16" s="211">
        <v>28360507652.086876</v>
      </c>
      <c r="U16" s="64">
        <f t="shared" si="8"/>
        <v>0.65211196967023799</v>
      </c>
      <c r="V16" s="211">
        <v>640787400</v>
      </c>
      <c r="W16" s="64" t="e">
        <f t="shared" si="8"/>
        <v>#DIV/0!</v>
      </c>
      <c r="X16" s="211">
        <v>178146579043.05692</v>
      </c>
      <c r="Y16" s="64" t="e">
        <f t="shared" si="8"/>
        <v>#DIV/0!</v>
      </c>
    </row>
    <row r="17" spans="1:42" x14ac:dyDescent="0.25">
      <c r="A17" s="62">
        <v>2016</v>
      </c>
      <c r="B17" s="209">
        <v>20059363061139.582</v>
      </c>
      <c r="C17" s="64">
        <f t="shared" si="5"/>
        <v>7.4934174146415344E-2</v>
      </c>
      <c r="D17" s="210">
        <v>323803324112.39587</v>
      </c>
      <c r="E17" s="64">
        <f t="shared" si="7"/>
        <v>3.499999999999992E-2</v>
      </c>
      <c r="F17" s="209">
        <v>92509226891.072952</v>
      </c>
      <c r="G17" s="64">
        <f t="shared" si="0"/>
        <v>3.499999999999992E-2</v>
      </c>
      <c r="H17" s="209">
        <v>100296815305.69791</v>
      </c>
      <c r="I17" s="64">
        <f t="shared" si="1"/>
        <v>4.3746708707320767</v>
      </c>
      <c r="J17" s="209">
        <v>232976661782.68799</v>
      </c>
      <c r="K17" s="64">
        <f t="shared" si="6"/>
        <v>0.63739999999999997</v>
      </c>
      <c r="L17" s="209">
        <v>135420712239.75549</v>
      </c>
      <c r="M17" s="64">
        <f t="shared" si="2"/>
        <v>0.19999999999999996</v>
      </c>
      <c r="N17" s="209">
        <v>1221909160000</v>
      </c>
      <c r="O17" s="64">
        <f t="shared" si="3"/>
        <v>0.10539999999999994</v>
      </c>
      <c r="P17" s="209">
        <v>1940655325.44398</v>
      </c>
      <c r="Q17" s="64">
        <f>+P17/P16-1</f>
        <v>3.499999999999992E-2</v>
      </c>
      <c r="R17" s="211">
        <v>2376000000</v>
      </c>
      <c r="S17" s="64">
        <f>+R17/R16-1</f>
        <v>0.32000000000000006</v>
      </c>
      <c r="T17" s="211">
        <v>34707097351.444603</v>
      </c>
      <c r="U17" s="64">
        <f>+T17/T16-1</f>
        <v>0.22378265499386152</v>
      </c>
      <c r="V17" s="211">
        <v>719162399.99999988</v>
      </c>
      <c r="W17" s="64">
        <f>+V17/V16-1</f>
        <v>0.12231045741536106</v>
      </c>
      <c r="X17" s="211">
        <v>358465917820.01227</v>
      </c>
      <c r="Y17" s="64">
        <f>+X17/X16-1</f>
        <v>1.0121964718355514</v>
      </c>
    </row>
    <row r="18" spans="1:42" x14ac:dyDescent="0.25">
      <c r="A18" s="62">
        <v>2017</v>
      </c>
      <c r="B18" s="209">
        <v>21532735430884.582</v>
      </c>
      <c r="C18" s="64">
        <f t="shared" si="5"/>
        <v>7.3450605846968386E-2</v>
      </c>
      <c r="D18" s="210">
        <v>335136440456.32971</v>
      </c>
      <c r="E18" s="64">
        <f t="shared" si="7"/>
        <v>3.499999999999992E-2</v>
      </c>
      <c r="F18" s="209">
        <v>95747049832.260498</v>
      </c>
      <c r="G18" s="64">
        <f t="shared" si="0"/>
        <v>3.499999999999992E-2</v>
      </c>
      <c r="H18" s="209">
        <v>215327354308.84583</v>
      </c>
      <c r="I18" s="64">
        <f t="shared" si="1"/>
        <v>1.1469012116939368</v>
      </c>
      <c r="J18" s="209">
        <v>270369415998.80942</v>
      </c>
      <c r="K18" s="64">
        <f t="shared" si="6"/>
        <v>0.16050000000000009</v>
      </c>
      <c r="L18" s="209">
        <v>162504854687.70657</v>
      </c>
      <c r="M18" s="64">
        <f t="shared" si="2"/>
        <v>0.19999999999999996</v>
      </c>
      <c r="N18" s="209">
        <v>1350698385464</v>
      </c>
      <c r="O18" s="64">
        <f t="shared" si="3"/>
        <v>0.10539999999999994</v>
      </c>
      <c r="P18" s="209">
        <v>2008578261.8345191</v>
      </c>
      <c r="Q18" s="64">
        <f>+P18/P17-1</f>
        <v>3.499999999999992E-2</v>
      </c>
      <c r="R18" s="211">
        <v>3864000000</v>
      </c>
      <c r="S18" s="64">
        <f>+R18/R17-1</f>
        <v>0.6262626262626263</v>
      </c>
      <c r="T18" s="211">
        <v>70640247334.575974</v>
      </c>
      <c r="U18" s="64">
        <f>+T18/T17-1</f>
        <v>1.0353257035375716</v>
      </c>
      <c r="V18" s="211">
        <v>803040149.99999988</v>
      </c>
      <c r="W18" s="64">
        <f>+V18/V17-1</f>
        <v>0.11663255754194046</v>
      </c>
      <c r="X18" s="211">
        <v>551817464394.2572</v>
      </c>
      <c r="Y18" s="64">
        <f>+X18/X17-1</f>
        <v>0.53938613676329417</v>
      </c>
    </row>
    <row r="19" spans="1:42" s="53" customFormat="1" x14ac:dyDescent="0.25">
      <c r="A19" s="218">
        <v>2018</v>
      </c>
      <c r="B19" s="214">
        <v>23084671146761.828</v>
      </c>
      <c r="C19" s="64">
        <f t="shared" si="5"/>
        <v>7.2073319289071458E-2</v>
      </c>
      <c r="D19" s="215">
        <v>346866215872.30121</v>
      </c>
      <c r="E19" s="64">
        <f t="shared" si="7"/>
        <v>3.499999999999992E-2</v>
      </c>
      <c r="F19" s="214">
        <v>99098196576.389603</v>
      </c>
      <c r="G19" s="64">
        <f t="shared" si="0"/>
        <v>3.499999999999992E-2</v>
      </c>
      <c r="H19" s="214">
        <v>461693422935.23657</v>
      </c>
      <c r="I19" s="64">
        <f t="shared" si="1"/>
        <v>1.1441466385781429</v>
      </c>
      <c r="J19" s="214">
        <v>280129751916.36646</v>
      </c>
      <c r="K19" s="64">
        <f t="shared" si="6"/>
        <v>3.6100000000000021E-2</v>
      </c>
      <c r="L19" s="214">
        <v>195005825625.24789</v>
      </c>
      <c r="M19" s="64">
        <f t="shared" si="2"/>
        <v>0.19999999999999996</v>
      </c>
      <c r="N19" s="214">
        <v>1493061995291.9055</v>
      </c>
      <c r="O19" s="64">
        <f t="shared" si="3"/>
        <v>0.10539999999999994</v>
      </c>
      <c r="P19" s="214">
        <v>2078878500.9987271</v>
      </c>
      <c r="Q19" s="64">
        <f>+P19/P18-1</f>
        <v>3.499999999999992E-2</v>
      </c>
      <c r="R19" s="214">
        <v>5640000000</v>
      </c>
      <c r="S19" s="64">
        <f>+R19/R18-1</f>
        <v>0.45962732919254656</v>
      </c>
      <c r="T19" s="214">
        <v>110856013897.92358</v>
      </c>
      <c r="U19" s="64">
        <f>+T19/T18-1</f>
        <v>0.56930387535128824</v>
      </c>
      <c r="V19" s="214">
        <v>892790827.49999988</v>
      </c>
      <c r="W19" s="64">
        <f>+V19/V18-1</f>
        <v>0.11176362414755969</v>
      </c>
      <c r="X19" s="214">
        <v>699837971314.32629</v>
      </c>
      <c r="Y19" s="64">
        <f>+X19/X18-1</f>
        <v>0.26824179456254549</v>
      </c>
    </row>
    <row r="20" spans="1:42" x14ac:dyDescent="0.25">
      <c r="A20" s="62">
        <v>2019</v>
      </c>
      <c r="B20" s="209">
        <v>24718864761847.66</v>
      </c>
      <c r="C20" s="64">
        <f t="shared" si="5"/>
        <v>7.0791288500337446E-2</v>
      </c>
      <c r="D20" s="210">
        <v>359006533427.83173</v>
      </c>
      <c r="E20" s="64">
        <f t="shared" si="7"/>
        <v>3.499999999999992E-2</v>
      </c>
      <c r="F20" s="209">
        <v>102566633456.56323</v>
      </c>
      <c r="G20" s="64">
        <f t="shared" si="0"/>
        <v>3.499999999999992E-2</v>
      </c>
      <c r="H20" s="209">
        <v>741565942855.42981</v>
      </c>
      <c r="I20" s="64">
        <f t="shared" si="1"/>
        <v>0.60618693275050606</v>
      </c>
      <c r="J20" s="209">
        <v>290242435960.5473</v>
      </c>
      <c r="K20" s="64">
        <f t="shared" si="6"/>
        <v>3.6100000000000021E-2</v>
      </c>
      <c r="L20" s="209">
        <v>234006990750.29745</v>
      </c>
      <c r="M20" s="64">
        <f t="shared" si="2"/>
        <v>0.19999999999999996</v>
      </c>
      <c r="N20" s="209">
        <v>1650430729595.6724</v>
      </c>
      <c r="O20" s="64">
        <f t="shared" si="3"/>
        <v>0.10539999999999994</v>
      </c>
      <c r="P20" s="209">
        <v>2151639248.5336823</v>
      </c>
      <c r="Q20" s="64">
        <f>+P20/P19-1</f>
        <v>3.499999999999992E-2</v>
      </c>
      <c r="R20" s="211">
        <v>7416000000</v>
      </c>
      <c r="S20" s="64">
        <f>+R20/R19-1</f>
        <v>0.31489361702127661</v>
      </c>
      <c r="T20" s="211">
        <v>189980698605.27127</v>
      </c>
      <c r="U20" s="64">
        <f>+T20/T19-1</f>
        <v>0.71376086804100525</v>
      </c>
      <c r="V20" s="211">
        <v>1046111258.7749999</v>
      </c>
      <c r="W20" s="64">
        <f>+V20/V19-1</f>
        <v>0.17173163808630187</v>
      </c>
      <c r="X20" s="211">
        <v>887563764642.69238</v>
      </c>
      <c r="Y20" s="64">
        <f>+X20/X19-1</f>
        <v>0.26824179456254549</v>
      </c>
    </row>
    <row r="21" spans="1:42" x14ac:dyDescent="0.25">
      <c r="A21" s="62">
        <v>2020</v>
      </c>
      <c r="B21" s="209">
        <v>26439173207834.715</v>
      </c>
      <c r="C21" s="64">
        <f t="shared" si="5"/>
        <v>6.9594961684578127E-2</v>
      </c>
      <c r="D21" s="210">
        <v>371571762097.80579</v>
      </c>
      <c r="E21" s="64">
        <f t="shared" si="7"/>
        <v>3.499999999999992E-2</v>
      </c>
      <c r="F21" s="209">
        <v>106156465627.54294</v>
      </c>
      <c r="G21" s="64">
        <f t="shared" si="0"/>
        <v>3.499999999999992E-2</v>
      </c>
      <c r="H21" s="209">
        <v>1057566928313.3887</v>
      </c>
      <c r="I21" s="64">
        <f t="shared" si="1"/>
        <v>0.42612661557943743</v>
      </c>
      <c r="J21" s="209">
        <v>300720187898.72308</v>
      </c>
      <c r="K21" s="64">
        <f t="shared" si="6"/>
        <v>3.6100000000000021E-2</v>
      </c>
      <c r="L21" s="209">
        <v>280808388900.35693</v>
      </c>
      <c r="M21" s="64">
        <f t="shared" si="2"/>
        <v>0.19999999999999996</v>
      </c>
      <c r="N21" s="209">
        <v>1824386128495.0562</v>
      </c>
      <c r="O21" s="64">
        <f t="shared" si="3"/>
        <v>0.10539999999999994</v>
      </c>
      <c r="P21" s="209">
        <v>2226946622.2323608</v>
      </c>
      <c r="Q21" s="64">
        <f>+P21/P20-1</f>
        <v>3.499999999999992E-2</v>
      </c>
      <c r="R21" s="211">
        <v>9192000000</v>
      </c>
      <c r="S21" s="64">
        <f>+R21/R20-1</f>
        <v>0.23948220064724923</v>
      </c>
      <c r="T21" s="211">
        <v>308479662148.66187</v>
      </c>
      <c r="U21" s="64">
        <f>+T21/T20-1</f>
        <v>0.62374211913811051</v>
      </c>
      <c r="V21" s="211">
        <v>1171644609.8280001</v>
      </c>
      <c r="W21" s="64">
        <f>+V21/V20-1</f>
        <v>0.12000000000000033</v>
      </c>
      <c r="X21" s="211">
        <v>960000000000</v>
      </c>
      <c r="Y21" s="64">
        <f>+X21/X20-1</f>
        <v>8.1612429712549561E-2</v>
      </c>
    </row>
    <row r="22" spans="1:42" x14ac:dyDescent="0.25">
      <c r="B22" s="69"/>
      <c r="C22" s="69"/>
      <c r="H22" s="207"/>
      <c r="I22" s="207"/>
      <c r="J22" s="207"/>
      <c r="K22" s="207"/>
      <c r="L22" s="207"/>
      <c r="M22" s="207"/>
    </row>
    <row r="23" spans="1:42" x14ac:dyDescent="0.25">
      <c r="A23" s="58" t="s">
        <v>201</v>
      </c>
      <c r="B23" s="65">
        <v>8.2199999999999981E-4</v>
      </c>
      <c r="C23" s="65"/>
      <c r="D23" s="66">
        <v>3.2000000000000003E-4</v>
      </c>
      <c r="E23" s="66"/>
      <c r="F23" s="66">
        <v>2E-3</v>
      </c>
      <c r="G23" s="66"/>
      <c r="H23" s="66">
        <v>2E-3</v>
      </c>
      <c r="I23" s="66"/>
      <c r="J23" s="66">
        <v>2E-3</v>
      </c>
      <c r="K23" s="66"/>
      <c r="L23" s="66">
        <v>2E-3</v>
      </c>
      <c r="M23" s="66"/>
      <c r="N23" s="66">
        <v>5.7999999999999996E-3</v>
      </c>
      <c r="O23" s="66"/>
      <c r="P23" s="67">
        <v>1</v>
      </c>
      <c r="Q23" s="67"/>
      <c r="R23" s="213">
        <v>2E-3</v>
      </c>
      <c r="S23" s="213"/>
      <c r="T23" s="212">
        <v>4.0000000000000001E-3</v>
      </c>
      <c r="U23" s="212"/>
      <c r="V23" s="213"/>
      <c r="W23" s="213"/>
      <c r="X23" s="213">
        <v>2.5000000000000001E-3</v>
      </c>
      <c r="Y23" s="66"/>
      <c r="Z23" s="66"/>
      <c r="AA23" s="66"/>
      <c r="AB23" s="66"/>
      <c r="AC23" s="66"/>
      <c r="AD23" s="53"/>
    </row>
    <row r="24" spans="1:42" x14ac:dyDescent="0.25">
      <c r="A24" s="58" t="s">
        <v>202</v>
      </c>
      <c r="B24" s="68">
        <v>0</v>
      </c>
      <c r="C24" s="68"/>
      <c r="D24" s="67">
        <v>8.0000000000000007E-5</v>
      </c>
      <c r="E24" s="67"/>
      <c r="F24" s="67">
        <v>3.2000000000000002E-3</v>
      </c>
      <c r="G24" s="67"/>
      <c r="H24" s="67">
        <v>2.5999999999999999E-3</v>
      </c>
      <c r="I24" s="67"/>
      <c r="J24" s="67">
        <v>8.0000000000000004E-4</v>
      </c>
      <c r="K24" s="67"/>
      <c r="L24" s="67">
        <v>3.0999999999999999E-3</v>
      </c>
      <c r="M24" s="67"/>
      <c r="N24" s="67">
        <v>3.3500000000000001E-3</v>
      </c>
      <c r="O24" s="67"/>
      <c r="P24" s="67">
        <v>0</v>
      </c>
      <c r="Q24" s="67"/>
      <c r="R24" s="213">
        <v>2.5999999999999999E-3</v>
      </c>
      <c r="S24" s="213"/>
      <c r="T24" s="212">
        <v>0</v>
      </c>
      <c r="U24" s="212"/>
      <c r="V24" s="213"/>
      <c r="W24" s="213"/>
      <c r="X24" s="213">
        <v>3.0000000000000001E-3</v>
      </c>
    </row>
    <row r="25" spans="1:42" x14ac:dyDescent="0.25">
      <c r="D25" s="67">
        <f>+D24/(D23+D24)</f>
        <v>0.2</v>
      </c>
      <c r="E25" s="67"/>
      <c r="F25" s="67">
        <f t="shared" ref="F25:L25" si="9">+F24/(F23+F24)</f>
        <v>0.61538461538461542</v>
      </c>
      <c r="G25" s="67"/>
      <c r="H25" s="67">
        <f t="shared" si="9"/>
        <v>0.56521739130434778</v>
      </c>
      <c r="I25" s="67"/>
      <c r="J25" s="67">
        <f t="shared" si="9"/>
        <v>0.28571428571428575</v>
      </c>
      <c r="K25" s="67"/>
      <c r="L25" s="67">
        <f t="shared" si="9"/>
        <v>0.60784313725490191</v>
      </c>
      <c r="M25" s="67"/>
      <c r="N25" s="67">
        <f>+N24/(N23+N24)</f>
        <v>0.36612021857923499</v>
      </c>
      <c r="O25" s="67"/>
      <c r="P25" s="69"/>
      <c r="Q25" s="69"/>
    </row>
    <row r="26" spans="1:42" x14ac:dyDescent="0.25">
      <c r="B26" s="58">
        <v>1000000</v>
      </c>
      <c r="AF26" s="228">
        <v>2003</v>
      </c>
      <c r="AG26" s="228">
        <v>2004</v>
      </c>
      <c r="AH26" s="228">
        <v>2005</v>
      </c>
      <c r="AI26" s="228">
        <v>2006</v>
      </c>
      <c r="AJ26" s="228">
        <v>2007</v>
      </c>
      <c r="AK26" s="228">
        <v>2008</v>
      </c>
      <c r="AL26" s="228">
        <v>2009</v>
      </c>
      <c r="AM26" s="228">
        <v>2010</v>
      </c>
      <c r="AN26" s="228">
        <v>2011</v>
      </c>
      <c r="AO26" s="228">
        <v>2012</v>
      </c>
      <c r="AP26" s="229" t="s">
        <v>274</v>
      </c>
    </row>
    <row r="27" spans="1:42" x14ac:dyDescent="0.25">
      <c r="A27" s="403" t="s">
        <v>203</v>
      </c>
      <c r="B27" s="403"/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AE27" s="227" t="s">
        <v>275</v>
      </c>
      <c r="AF27" s="226">
        <f>+B30/AB30</f>
        <v>0.80162183323368741</v>
      </c>
      <c r="AG27" s="226">
        <f>+B31/AB31</f>
        <v>0.81208765855918208</v>
      </c>
      <c r="AH27" s="226">
        <f>+B32/AB32</f>
        <v>0.65874593169038698</v>
      </c>
      <c r="AI27" s="226">
        <f>+B33/AB33</f>
        <v>0.6104370597337595</v>
      </c>
      <c r="AJ27" s="226">
        <f>+B34/AB34</f>
        <v>0.55106924620407838</v>
      </c>
      <c r="AK27" s="226">
        <f>+B35/AB35</f>
        <v>0.57381528631232404</v>
      </c>
      <c r="AL27" s="226">
        <f>+B36/AB36</f>
        <v>0.57463702385333404</v>
      </c>
      <c r="AM27" s="226">
        <f>+B37/AB37</f>
        <v>0.63062228572375434</v>
      </c>
      <c r="AN27" s="226">
        <f>+B38/AB38</f>
        <v>0.74917349875018024</v>
      </c>
      <c r="AO27" s="226">
        <f>+B39/AB39</f>
        <v>0.69054124147976226</v>
      </c>
      <c r="AP27" s="226">
        <f>+AVERAGE(AF27:AO27)</f>
        <v>0.66527510655404487</v>
      </c>
    </row>
    <row r="28" spans="1:42" x14ac:dyDescent="0.25">
      <c r="A28" s="223"/>
      <c r="B28" s="224" t="s">
        <v>272</v>
      </c>
      <c r="C28" s="224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AE28" s="227" t="s">
        <v>273</v>
      </c>
      <c r="AF28" s="226">
        <f>+SUM(D30:X30)/AB30</f>
        <v>0.19837816676631251</v>
      </c>
      <c r="AG28" s="226">
        <f>+SUM(D31:X31)/AB31</f>
        <v>0.18791234144081781</v>
      </c>
      <c r="AH28" s="226">
        <f>+SUM(D32:X32)/AB32</f>
        <v>0.34125406830961297</v>
      </c>
      <c r="AI28" s="226">
        <f>+SUM(D33:X33)/AB33</f>
        <v>0.3895629402662405</v>
      </c>
      <c r="AJ28" s="226">
        <f>+SUM(D34:X34)/AB34</f>
        <v>0.44893075379592168</v>
      </c>
      <c r="AK28" s="226">
        <f>+SUM(D35:X35)/AB35</f>
        <v>0.42618471368767596</v>
      </c>
      <c r="AL28" s="226">
        <f>+SUM(D36:X36)/AB36</f>
        <v>0.42536297614666607</v>
      </c>
      <c r="AM28" s="226">
        <f>+SUM(D37:X37)/AB37</f>
        <v>0.36937771427624566</v>
      </c>
      <c r="AN28" s="226">
        <f>+SUM(D38:X38)/AB38</f>
        <v>0.25082650124981987</v>
      </c>
      <c r="AO28" s="226">
        <f>+SUM(D39:X39)/AB39</f>
        <v>0.30945875852023774</v>
      </c>
      <c r="AP28" s="226">
        <f>+AVERAGE(AF28:AO28)</f>
        <v>0.33472489344595513</v>
      </c>
    </row>
    <row r="29" spans="1:42" s="71" customFormat="1" ht="30" x14ac:dyDescent="0.25">
      <c r="A29" s="70" t="s">
        <v>189</v>
      </c>
      <c r="B29" s="70" t="s">
        <v>275</v>
      </c>
      <c r="C29" s="70"/>
      <c r="D29" s="70" t="s">
        <v>191</v>
      </c>
      <c r="E29" s="70"/>
      <c r="F29" s="70" t="s">
        <v>192</v>
      </c>
      <c r="G29" s="70"/>
      <c r="H29" s="70" t="s">
        <v>193</v>
      </c>
      <c r="I29" s="70"/>
      <c r="J29" s="70" t="s">
        <v>194</v>
      </c>
      <c r="K29" s="70"/>
      <c r="L29" s="70" t="s">
        <v>195</v>
      </c>
      <c r="M29" s="70"/>
      <c r="N29" s="70" t="s">
        <v>196</v>
      </c>
      <c r="O29" s="70"/>
      <c r="P29" s="70" t="s">
        <v>197</v>
      </c>
      <c r="Q29" s="70"/>
      <c r="R29" s="219" t="s">
        <v>266</v>
      </c>
      <c r="S29" s="219"/>
      <c r="T29" s="77" t="s">
        <v>269</v>
      </c>
      <c r="U29" s="77"/>
      <c r="V29" s="77" t="s">
        <v>267</v>
      </c>
      <c r="W29" s="77"/>
      <c r="X29" s="77" t="s">
        <v>270</v>
      </c>
      <c r="Y29" s="70" t="s">
        <v>204</v>
      </c>
      <c r="Z29" s="299" t="s">
        <v>381</v>
      </c>
      <c r="AA29" s="299"/>
      <c r="AB29" s="299" t="s">
        <v>390</v>
      </c>
      <c r="AF29" s="234"/>
    </row>
    <row r="30" spans="1:42" x14ac:dyDescent="0.25">
      <c r="A30" s="62">
        <v>2003</v>
      </c>
      <c r="B30" s="203">
        <f t="shared" ref="B30:B39" si="10">$B$23*B4/$B$26</f>
        <v>4865.5599210717828</v>
      </c>
      <c r="C30" s="203"/>
      <c r="D30" s="203">
        <f t="shared" ref="D30:D39" si="11">$D$23*D4/$B$26</f>
        <v>0</v>
      </c>
      <c r="E30" s="203"/>
      <c r="F30" s="203">
        <f t="shared" ref="F30:F40" si="12">F4*$F$23/$B$26</f>
        <v>767.56564572000002</v>
      </c>
      <c r="G30" s="203"/>
      <c r="H30" s="203">
        <f t="shared" ref="H30:H39" si="13">H4*$H$23/$B$26</f>
        <v>110.94736806</v>
      </c>
      <c r="I30" s="203"/>
      <c r="J30" s="203">
        <f t="shared" ref="J30:J39" si="14">J4*$J$23/$B$26</f>
        <v>0</v>
      </c>
      <c r="K30" s="203"/>
      <c r="L30" s="203">
        <f t="shared" ref="L30:L39" si="15">L4*$L$23/$B$26</f>
        <v>325.57202659399996</v>
      </c>
      <c r="M30" s="203"/>
      <c r="N30" s="203">
        <f t="shared" ref="N30:N39" si="16">N4*$N$23/$B$26</f>
        <v>0</v>
      </c>
      <c r="O30" s="203"/>
      <c r="P30" s="203">
        <f t="shared" ref="P30:P39" si="17">P4*$P$23/$B$26</f>
        <v>0</v>
      </c>
      <c r="Q30" s="203"/>
      <c r="R30" s="63">
        <v>0</v>
      </c>
      <c r="S30" s="211"/>
      <c r="T30" s="63">
        <v>0</v>
      </c>
      <c r="U30" s="211"/>
      <c r="V30" s="217">
        <v>0</v>
      </c>
      <c r="W30" s="217"/>
      <c r="X30" s="217">
        <v>0</v>
      </c>
      <c r="Y30" s="72">
        <f>+B30+D30+F30+H30+J30+L30+N30+P30+R30+T30+V30+X30</f>
        <v>6069.6449614457833</v>
      </c>
      <c r="Z30" s="72">
        <f>+SUM(R30:X30)</f>
        <v>0</v>
      </c>
      <c r="AA30" s="72"/>
      <c r="AB30" s="72">
        <f>+SUM(B30:P30)</f>
        <v>6069.6449614457833</v>
      </c>
      <c r="AF30" s="234"/>
    </row>
    <row r="31" spans="1:42" x14ac:dyDescent="0.25">
      <c r="A31" s="62">
        <v>2004</v>
      </c>
      <c r="B31" s="203">
        <f t="shared" si="10"/>
        <v>5302.4912910018165</v>
      </c>
      <c r="C31" s="203"/>
      <c r="D31" s="203">
        <f t="shared" si="11"/>
        <v>0</v>
      </c>
      <c r="E31" s="203"/>
      <c r="F31" s="203">
        <f t="shared" si="12"/>
        <v>702.37694160800004</v>
      </c>
      <c r="G31" s="203"/>
      <c r="H31" s="203">
        <f t="shared" si="13"/>
        <v>244.61240413600001</v>
      </c>
      <c r="I31" s="203"/>
      <c r="J31" s="203">
        <f t="shared" si="14"/>
        <v>0</v>
      </c>
      <c r="K31" s="203"/>
      <c r="L31" s="203">
        <f t="shared" si="15"/>
        <v>279.97617141400002</v>
      </c>
      <c r="M31" s="203"/>
      <c r="N31" s="203">
        <f t="shared" si="16"/>
        <v>0</v>
      </c>
      <c r="O31" s="203"/>
      <c r="P31" s="203">
        <f t="shared" si="17"/>
        <v>0</v>
      </c>
      <c r="Q31" s="203"/>
      <c r="R31" s="63">
        <v>0</v>
      </c>
      <c r="S31" s="211"/>
      <c r="T31" s="63">
        <v>0</v>
      </c>
      <c r="U31" s="211"/>
      <c r="V31" s="217">
        <v>0</v>
      </c>
      <c r="W31" s="217"/>
      <c r="X31" s="217">
        <v>0</v>
      </c>
      <c r="Y31" s="72">
        <f t="shared" ref="Y31:Y39" si="18">+B31+D31+F31+H31+J31+L31+N31+P31+R31+T31+V31+X31</f>
        <v>6529.4568081598172</v>
      </c>
      <c r="Z31" s="72">
        <f t="shared" ref="Z31:Z47" si="19">+SUM(R31:X31)</f>
        <v>0</v>
      </c>
      <c r="AA31" s="72"/>
      <c r="AB31" s="72">
        <f t="shared" ref="AB31:AB39" si="20">+SUM(B31:P31)</f>
        <v>6529.4568081598172</v>
      </c>
      <c r="AF31" s="234"/>
    </row>
    <row r="32" spans="1:42" x14ac:dyDescent="0.25">
      <c r="A32" s="62">
        <v>2005</v>
      </c>
      <c r="B32" s="203">
        <f t="shared" si="10"/>
        <v>4926.4598713289661</v>
      </c>
      <c r="C32" s="203"/>
      <c r="D32" s="203">
        <f t="shared" si="11"/>
        <v>0</v>
      </c>
      <c r="E32" s="203"/>
      <c r="F32" s="203">
        <f t="shared" si="12"/>
        <v>516.838475442</v>
      </c>
      <c r="G32" s="203"/>
      <c r="H32" s="203">
        <f t="shared" si="13"/>
        <v>251.197004924</v>
      </c>
      <c r="I32" s="203"/>
      <c r="J32" s="203">
        <f t="shared" si="14"/>
        <v>0</v>
      </c>
      <c r="K32" s="203"/>
      <c r="L32" s="203">
        <f t="shared" si="15"/>
        <v>200.906054114</v>
      </c>
      <c r="M32" s="203"/>
      <c r="N32" s="203">
        <f t="shared" si="16"/>
        <v>474.29673856739998</v>
      </c>
      <c r="O32" s="203"/>
      <c r="P32" s="203">
        <f t="shared" si="17"/>
        <v>1108.845</v>
      </c>
      <c r="Q32" s="203"/>
      <c r="R32" s="63">
        <v>0</v>
      </c>
      <c r="S32" s="211"/>
      <c r="T32" s="63">
        <v>0</v>
      </c>
      <c r="U32" s="211"/>
      <c r="V32" s="217">
        <v>0</v>
      </c>
      <c r="W32" s="217"/>
      <c r="X32" s="217">
        <v>0</v>
      </c>
      <c r="Y32" s="72">
        <f t="shared" si="18"/>
        <v>7478.5431443763664</v>
      </c>
      <c r="Z32" s="72">
        <f t="shared" si="19"/>
        <v>0</v>
      </c>
      <c r="AA32" s="72"/>
      <c r="AB32" s="72">
        <f t="shared" si="20"/>
        <v>7478.5431443763664</v>
      </c>
      <c r="AF32" s="234"/>
    </row>
    <row r="33" spans="1:36" x14ac:dyDescent="0.25">
      <c r="A33" s="62">
        <v>2006</v>
      </c>
      <c r="B33" s="203">
        <f t="shared" si="10"/>
        <v>6283.5762881549499</v>
      </c>
      <c r="C33" s="203"/>
      <c r="D33" s="203">
        <f t="shared" si="11"/>
        <v>0</v>
      </c>
      <c r="E33" s="203"/>
      <c r="F33" s="203">
        <f t="shared" si="12"/>
        <v>418.50856657399999</v>
      </c>
      <c r="G33" s="203"/>
      <c r="H33" s="203">
        <f t="shared" si="13"/>
        <v>34.985147612000006</v>
      </c>
      <c r="I33" s="203"/>
      <c r="J33" s="203">
        <f t="shared" si="14"/>
        <v>0</v>
      </c>
      <c r="K33" s="203"/>
      <c r="L33" s="203">
        <f t="shared" si="15"/>
        <v>362.80481843800004</v>
      </c>
      <c r="M33" s="203"/>
      <c r="N33" s="203">
        <f t="shared" si="16"/>
        <v>1229.3276602344001</v>
      </c>
      <c r="O33" s="203"/>
      <c r="P33" s="203">
        <f t="shared" si="17"/>
        <v>1964.367</v>
      </c>
      <c r="Q33" s="203"/>
      <c r="R33" s="63">
        <v>0</v>
      </c>
      <c r="S33" s="211"/>
      <c r="T33" s="63">
        <v>0</v>
      </c>
      <c r="U33" s="211"/>
      <c r="V33" s="217">
        <v>0</v>
      </c>
      <c r="W33" s="217"/>
      <c r="X33" s="217">
        <v>0</v>
      </c>
      <c r="Y33" s="72">
        <f t="shared" si="18"/>
        <v>10293.56948101335</v>
      </c>
      <c r="Z33" s="72">
        <f t="shared" si="19"/>
        <v>0</v>
      </c>
      <c r="AA33" s="72"/>
      <c r="AB33" s="72">
        <f t="shared" si="20"/>
        <v>10293.56948101335</v>
      </c>
      <c r="AF33" s="234"/>
    </row>
    <row r="34" spans="1:36" x14ac:dyDescent="0.25">
      <c r="A34" s="62">
        <v>2007</v>
      </c>
      <c r="B34" s="203">
        <f t="shared" si="10"/>
        <v>8263.993548749364</v>
      </c>
      <c r="C34" s="203"/>
      <c r="D34" s="203">
        <f t="shared" si="11"/>
        <v>0</v>
      </c>
      <c r="E34" s="203"/>
      <c r="F34" s="203">
        <f t="shared" si="12"/>
        <v>229.61140613200001</v>
      </c>
      <c r="G34" s="203"/>
      <c r="H34" s="203">
        <f t="shared" si="13"/>
        <v>12.554140286000001</v>
      </c>
      <c r="I34" s="203"/>
      <c r="J34" s="203">
        <f t="shared" si="14"/>
        <v>0</v>
      </c>
      <c r="K34" s="203"/>
      <c r="L34" s="203">
        <f t="shared" si="15"/>
        <v>365.48864063000002</v>
      </c>
      <c r="M34" s="203"/>
      <c r="N34" s="203">
        <f t="shared" si="16"/>
        <v>2195.9490349407997</v>
      </c>
      <c r="O34" s="203"/>
      <c r="P34" s="203">
        <f t="shared" si="17"/>
        <v>3928.692</v>
      </c>
      <c r="Q34" s="203"/>
      <c r="R34" s="63">
        <v>0</v>
      </c>
      <c r="S34" s="211"/>
      <c r="T34" s="63">
        <v>0</v>
      </c>
      <c r="U34" s="211"/>
      <c r="V34" s="217">
        <v>0</v>
      </c>
      <c r="W34" s="217"/>
      <c r="X34" s="217">
        <v>0</v>
      </c>
      <c r="Y34" s="72">
        <f t="shared" si="18"/>
        <v>14996.288770738163</v>
      </c>
      <c r="Z34" s="72">
        <f t="shared" si="19"/>
        <v>0</v>
      </c>
      <c r="AA34" s="72"/>
      <c r="AB34" s="72">
        <f t="shared" si="20"/>
        <v>14996.288770738163</v>
      </c>
      <c r="AF34" s="234"/>
    </row>
    <row r="35" spans="1:36" x14ac:dyDescent="0.25">
      <c r="A35" s="62">
        <v>2008</v>
      </c>
      <c r="B35" s="203">
        <f t="shared" si="10"/>
        <v>11305.621548741741</v>
      </c>
      <c r="C35" s="203"/>
      <c r="D35" s="203">
        <f t="shared" si="11"/>
        <v>0</v>
      </c>
      <c r="E35" s="203"/>
      <c r="F35" s="203">
        <f t="shared" si="12"/>
        <v>290.77992160600002</v>
      </c>
      <c r="G35" s="203"/>
      <c r="H35" s="203">
        <f t="shared" si="13"/>
        <v>9.0826881640000003</v>
      </c>
      <c r="I35" s="203"/>
      <c r="J35" s="203">
        <f t="shared" si="14"/>
        <v>0</v>
      </c>
      <c r="K35" s="203"/>
      <c r="L35" s="203">
        <f t="shared" si="15"/>
        <v>386.87379978000001</v>
      </c>
      <c r="M35" s="203"/>
      <c r="N35" s="203">
        <f t="shared" si="16"/>
        <v>2343.5791262046</v>
      </c>
      <c r="O35" s="203"/>
      <c r="P35" s="203">
        <f t="shared" si="17"/>
        <v>5366.6080000000002</v>
      </c>
      <c r="Q35" s="203"/>
      <c r="R35" s="63">
        <v>0</v>
      </c>
      <c r="S35" s="211"/>
      <c r="T35" s="63">
        <v>0</v>
      </c>
      <c r="U35" s="211"/>
      <c r="V35" s="217">
        <v>0</v>
      </c>
      <c r="W35" s="217"/>
      <c r="X35" s="217">
        <v>0</v>
      </c>
      <c r="Y35" s="72">
        <f t="shared" si="18"/>
        <v>19702.545084496342</v>
      </c>
      <c r="Z35" s="72">
        <f t="shared" si="19"/>
        <v>0</v>
      </c>
      <c r="AA35" s="72"/>
      <c r="AB35" s="72">
        <f t="shared" si="20"/>
        <v>19702.545084496342</v>
      </c>
      <c r="AF35" s="234"/>
    </row>
    <row r="36" spans="1:36" x14ac:dyDescent="0.25">
      <c r="A36" s="62">
        <v>2009</v>
      </c>
      <c r="B36" s="203">
        <f t="shared" si="10"/>
        <v>10507.744859818216</v>
      </c>
      <c r="C36" s="203"/>
      <c r="D36" s="203">
        <f t="shared" si="11"/>
        <v>0</v>
      </c>
      <c r="E36" s="203"/>
      <c r="F36" s="203">
        <f t="shared" si="12"/>
        <v>247.25091912600001</v>
      </c>
      <c r="G36" s="203"/>
      <c r="H36" s="203">
        <f t="shared" si="13"/>
        <v>6.7824998360000004</v>
      </c>
      <c r="I36" s="203"/>
      <c r="J36" s="203">
        <f t="shared" si="14"/>
        <v>0</v>
      </c>
      <c r="K36" s="203"/>
      <c r="L36" s="203">
        <f t="shared" si="15"/>
        <v>485.01070000599998</v>
      </c>
      <c r="M36" s="203"/>
      <c r="N36" s="203">
        <f t="shared" si="16"/>
        <v>1737.8311551456</v>
      </c>
      <c r="O36" s="203"/>
      <c r="P36" s="203">
        <f t="shared" si="17"/>
        <v>5301.2619510000004</v>
      </c>
      <c r="Q36" s="203"/>
      <c r="R36" s="63">
        <v>0</v>
      </c>
      <c r="S36" s="211"/>
      <c r="T36" s="63">
        <v>0</v>
      </c>
      <c r="U36" s="211"/>
      <c r="V36" s="217">
        <v>0</v>
      </c>
      <c r="W36" s="217"/>
      <c r="X36" s="217">
        <v>0</v>
      </c>
      <c r="Y36" s="72">
        <f t="shared" si="18"/>
        <v>18285.882084931814</v>
      </c>
      <c r="Z36" s="72">
        <f t="shared" si="19"/>
        <v>0</v>
      </c>
      <c r="AA36" s="72"/>
      <c r="AB36" s="72">
        <f t="shared" si="20"/>
        <v>18285.882084931814</v>
      </c>
      <c r="AF36" s="234"/>
    </row>
    <row r="37" spans="1:36" x14ac:dyDescent="0.25">
      <c r="A37" s="62">
        <v>2010</v>
      </c>
      <c r="B37" s="203">
        <f t="shared" si="10"/>
        <v>9856.9076940090818</v>
      </c>
      <c r="C37" s="203"/>
      <c r="D37" s="203">
        <f t="shared" si="11"/>
        <v>4.3574997150240007</v>
      </c>
      <c r="E37" s="203"/>
      <c r="F37" s="203">
        <f t="shared" si="12"/>
        <v>84.013898254000011</v>
      </c>
      <c r="G37" s="203"/>
      <c r="H37" s="203">
        <f t="shared" si="13"/>
        <v>5.6249274670999982</v>
      </c>
      <c r="I37" s="203"/>
      <c r="J37" s="203">
        <f t="shared" si="14"/>
        <v>30.074451196000002</v>
      </c>
      <c r="K37" s="203"/>
      <c r="L37" s="203">
        <f t="shared" si="15"/>
        <v>216.685358734</v>
      </c>
      <c r="M37" s="203"/>
      <c r="N37" s="203">
        <f t="shared" si="16"/>
        <v>2524.5869350188</v>
      </c>
      <c r="O37" s="203"/>
      <c r="P37" s="203">
        <f t="shared" si="17"/>
        <v>2908.1954110000001</v>
      </c>
      <c r="Q37" s="203"/>
      <c r="R37" s="63">
        <v>0</v>
      </c>
      <c r="S37" s="211"/>
      <c r="T37" s="63">
        <v>0</v>
      </c>
      <c r="U37" s="211"/>
      <c r="V37" s="217">
        <v>0</v>
      </c>
      <c r="W37" s="217"/>
      <c r="X37" s="217">
        <v>0</v>
      </c>
      <c r="Y37" s="72">
        <f t="shared" si="18"/>
        <v>15630.446175394007</v>
      </c>
      <c r="Z37" s="72">
        <f t="shared" si="19"/>
        <v>0</v>
      </c>
      <c r="AA37" s="72"/>
      <c r="AB37" s="72">
        <f t="shared" si="20"/>
        <v>15630.446175394007</v>
      </c>
    </row>
    <row r="38" spans="1:36" x14ac:dyDescent="0.25">
      <c r="A38" s="62">
        <v>2011</v>
      </c>
      <c r="B38" s="203">
        <f t="shared" si="10"/>
        <v>12234.982590629961</v>
      </c>
      <c r="C38" s="203"/>
      <c r="D38" s="203">
        <f t="shared" si="11"/>
        <v>95.712763662313634</v>
      </c>
      <c r="E38" s="203"/>
      <c r="F38" s="203">
        <f t="shared" si="12"/>
        <v>102.05797107800001</v>
      </c>
      <c r="G38" s="203"/>
      <c r="H38" s="203">
        <f t="shared" si="13"/>
        <v>0</v>
      </c>
      <c r="I38" s="203"/>
      <c r="J38" s="203">
        <f t="shared" si="14"/>
        <v>129.25716239400001</v>
      </c>
      <c r="K38" s="203"/>
      <c r="L38" s="203">
        <f t="shared" si="15"/>
        <v>212.65942355799999</v>
      </c>
      <c r="M38" s="203"/>
      <c r="N38" s="203">
        <f t="shared" si="16"/>
        <v>2781.7191013206002</v>
      </c>
      <c r="O38" s="203"/>
      <c r="P38" s="203">
        <f t="shared" si="17"/>
        <v>774.91823599999998</v>
      </c>
      <c r="Q38" s="203"/>
      <c r="R38" s="63">
        <v>0</v>
      </c>
      <c r="S38" s="211"/>
      <c r="T38" s="63">
        <v>0</v>
      </c>
      <c r="U38" s="211"/>
      <c r="V38" s="217">
        <v>0</v>
      </c>
      <c r="W38" s="217"/>
      <c r="X38" s="217">
        <v>0</v>
      </c>
      <c r="Y38" s="72">
        <f t="shared" si="18"/>
        <v>16331.307248642874</v>
      </c>
      <c r="Z38" s="72">
        <f t="shared" si="19"/>
        <v>0</v>
      </c>
      <c r="AA38" s="72"/>
      <c r="AB38" s="72">
        <f t="shared" si="20"/>
        <v>16331.307248642874</v>
      </c>
    </row>
    <row r="39" spans="1:36" x14ac:dyDescent="0.25">
      <c r="A39" s="62">
        <v>2012</v>
      </c>
      <c r="B39" s="203">
        <f t="shared" si="10"/>
        <v>12862.114756847943</v>
      </c>
      <c r="C39" s="203"/>
      <c r="D39" s="203">
        <f t="shared" si="11"/>
        <v>90.296284832226945</v>
      </c>
      <c r="E39" s="203"/>
      <c r="F39" s="203">
        <f t="shared" si="12"/>
        <v>68.538375544000004</v>
      </c>
      <c r="G39" s="203"/>
      <c r="H39" s="203">
        <f t="shared" si="13"/>
        <v>0.47752243458166505</v>
      </c>
      <c r="I39" s="203"/>
      <c r="J39" s="203">
        <f t="shared" si="14"/>
        <v>146.86485235399999</v>
      </c>
      <c r="K39" s="203"/>
      <c r="L39" s="203">
        <f t="shared" si="15"/>
        <v>182.25225053800003</v>
      </c>
      <c r="M39" s="203"/>
      <c r="N39" s="203">
        <f t="shared" si="16"/>
        <v>3584.4224932293996</v>
      </c>
      <c r="O39" s="203"/>
      <c r="P39" s="203">
        <f t="shared" si="17"/>
        <v>1691.1690000000001</v>
      </c>
      <c r="Q39" s="203"/>
      <c r="R39" s="63">
        <v>0</v>
      </c>
      <c r="S39" s="211"/>
      <c r="T39" s="63">
        <v>0</v>
      </c>
      <c r="U39" s="211"/>
      <c r="V39" s="217">
        <v>0</v>
      </c>
      <c r="W39" s="217"/>
      <c r="X39" s="217">
        <v>0</v>
      </c>
      <c r="Y39" s="72">
        <f t="shared" si="18"/>
        <v>18626.135535780151</v>
      </c>
      <c r="Z39" s="72">
        <f t="shared" si="19"/>
        <v>0</v>
      </c>
      <c r="AA39" s="72"/>
      <c r="AB39" s="72">
        <f t="shared" si="20"/>
        <v>18626.135535780151</v>
      </c>
      <c r="AE39" s="207"/>
    </row>
    <row r="40" spans="1:36" x14ac:dyDescent="0.25">
      <c r="A40" s="55">
        <v>2013</v>
      </c>
      <c r="B40" s="204">
        <f t="shared" ref="B40:B47" si="21">$B$23*B14/$B$26</f>
        <v>13440.543762614398</v>
      </c>
      <c r="C40" s="306">
        <f>+B40/Y40</f>
        <v>0.70767531586475674</v>
      </c>
      <c r="D40" s="204">
        <f t="shared" ref="D40:D47" si="22">$D$23*D14/$B$26</f>
        <v>93.456654801354873</v>
      </c>
      <c r="E40" s="303">
        <f>+D40/Y40</f>
        <v>4.9207062507527349E-3</v>
      </c>
      <c r="F40" s="204">
        <f t="shared" si="12"/>
        <v>70.937218688039991</v>
      </c>
      <c r="G40" s="303">
        <f>+F40/Y40</f>
        <v>3.7350065241602425E-3</v>
      </c>
      <c r="H40" s="204">
        <f t="shared" ref="H40:H47" si="23">H14*$H$23/$B$26</f>
        <v>0.4942357197920233</v>
      </c>
      <c r="I40" s="303">
        <f>+H40/Y40</f>
        <v>2.6022639060804782E-5</v>
      </c>
      <c r="J40" s="204">
        <f t="shared" ref="J40:J47" si="24">J14*$J$23/$B$26</f>
        <v>0</v>
      </c>
      <c r="K40" s="303">
        <f>+J40/Y40</f>
        <v>0</v>
      </c>
      <c r="L40" s="204">
        <f t="shared" ref="L40:L47" si="25">L14*$L$23/$B$26</f>
        <v>156.73693546267998</v>
      </c>
      <c r="M40" s="303">
        <f>+L40/Y40</f>
        <v>8.2525575058765774E-3</v>
      </c>
      <c r="N40" s="204">
        <f t="shared" ref="N40:N47" si="26">N14*$N$23/$B$26</f>
        <v>3479.9999999999995</v>
      </c>
      <c r="O40" s="307">
        <f>+N40/Y40</f>
        <v>0.183229945358276</v>
      </c>
      <c r="P40" s="204">
        <f t="shared" ref="P40:P47" si="27">P14*$P$23/$B$26</f>
        <v>1750.3599149999998</v>
      </c>
      <c r="Q40" s="303">
        <f>+P40/Y40</f>
        <v>9.2160445857116843E-2</v>
      </c>
      <c r="R40" s="204">
        <f t="shared" ref="R40:R47" si="28">+R14*$R$23/$B$26</f>
        <v>0</v>
      </c>
      <c r="S40" s="303">
        <f>+R40/Y40</f>
        <v>0</v>
      </c>
      <c r="T40" s="204">
        <f t="shared" ref="T40:T47" si="29">+T14*$T$23/$B$26</f>
        <v>0</v>
      </c>
      <c r="U40" s="303">
        <f>+T40/Y40</f>
        <v>0</v>
      </c>
      <c r="V40" s="204">
        <f t="shared" ref="V40:V47" si="30">+V14*0.67/$B$26</f>
        <v>0</v>
      </c>
      <c r="W40" s="303">
        <f>+V40/Y40</f>
        <v>0</v>
      </c>
      <c r="X40" s="204">
        <f t="shared" ref="X40:X47" si="31">+X14*$X$23/$B$26</f>
        <v>0</v>
      </c>
      <c r="Y40" s="57">
        <f t="shared" ref="Y40:Y47" si="32">+B40+D40+F40+H40+J40+L40+N40+P40+R40+T40+V40+X40</f>
        <v>18992.528722286264</v>
      </c>
      <c r="Z40" s="57">
        <f t="shared" si="19"/>
        <v>0</v>
      </c>
      <c r="AA40" s="303">
        <f>+Z40/Y40</f>
        <v>0</v>
      </c>
      <c r="AB40" s="57">
        <f>+SUM(B40:P40)</f>
        <v>18993.436561840412</v>
      </c>
      <c r="AC40" s="58" t="s">
        <v>384</v>
      </c>
      <c r="AD40" s="58" t="s">
        <v>383</v>
      </c>
      <c r="AE40" s="58" t="s">
        <v>382</v>
      </c>
    </row>
    <row r="41" spans="1:36" x14ac:dyDescent="0.25">
      <c r="A41" s="62">
        <v>2014</v>
      </c>
      <c r="B41" s="203">
        <f t="shared" si="21"/>
        <v>14248.79695946358</v>
      </c>
      <c r="C41" s="306">
        <f t="shared" ref="C41:C47" si="33">+B41/Y41</f>
        <v>0.63486162357529652</v>
      </c>
      <c r="D41" s="203">
        <f t="shared" si="22"/>
        <v>96.727637719402296</v>
      </c>
      <c r="E41" s="303">
        <f>+D41/Y41</f>
        <v>4.3097438542948167E-3</v>
      </c>
      <c r="F41" s="203">
        <f t="shared" ref="F41:F47" si="34">F15*$F$23/$B$26</f>
        <v>127.68699363847199</v>
      </c>
      <c r="G41" s="303">
        <f t="shared" ref="G41:G47" si="35">+F41/Y41</f>
        <v>5.6891520260543213E-3</v>
      </c>
      <c r="H41" s="203">
        <f t="shared" si="23"/>
        <v>0.5115339699847441</v>
      </c>
      <c r="I41" s="303">
        <f t="shared" ref="I41:I47" si="36">+H41/Y41</f>
        <v>2.2791628487817086E-5</v>
      </c>
      <c r="J41" s="203">
        <f t="shared" si="24"/>
        <v>101.8464</v>
      </c>
      <c r="K41" s="303">
        <f t="shared" ref="K41:K47" si="37">+J41/Y41</f>
        <v>4.5378126338136305E-3</v>
      </c>
      <c r="L41" s="203">
        <f t="shared" si="25"/>
        <v>188.08432255521598</v>
      </c>
      <c r="M41" s="303">
        <f t="shared" ref="M41:M47" si="38">+L41/Y41</f>
        <v>8.3801824621521932E-3</v>
      </c>
      <c r="N41" s="203">
        <f t="shared" si="26"/>
        <v>5800</v>
      </c>
      <c r="O41" s="307">
        <f t="shared" ref="O41:O47" si="39">+N41/Y41</f>
        <v>0.25842163567999515</v>
      </c>
      <c r="P41" s="203">
        <f t="shared" si="27"/>
        <v>1811.6225120249997</v>
      </c>
      <c r="Q41" s="303">
        <f t="shared" ref="Q41:Q47" si="40">+P41/Y41</f>
        <v>8.0717664274517598E-2</v>
      </c>
      <c r="R41" s="216">
        <f t="shared" si="28"/>
        <v>0</v>
      </c>
      <c r="S41" s="303">
        <f t="shared" ref="S41:S47" si="41">+R41/Y41</f>
        <v>0</v>
      </c>
      <c r="T41" s="214">
        <f t="shared" si="29"/>
        <v>68.66485606964676</v>
      </c>
      <c r="U41" s="303">
        <f t="shared" ref="U41:U47" si="42">+T41/Y41</f>
        <v>3.0593938653878548E-3</v>
      </c>
      <c r="V41" s="214">
        <f t="shared" si="30"/>
        <v>0</v>
      </c>
      <c r="W41" s="303">
        <f t="shared" ref="W41:W47" si="43">+V41/Y41</f>
        <v>0</v>
      </c>
      <c r="X41" s="214">
        <f t="shared" si="31"/>
        <v>0</v>
      </c>
      <c r="Y41" s="72">
        <f t="shared" si="32"/>
        <v>22443.941215441304</v>
      </c>
      <c r="Z41" s="72">
        <f t="shared" si="19"/>
        <v>68.667915463512145</v>
      </c>
      <c r="AA41" s="303">
        <f t="shared" ref="AA41:AA47" si="44">+Z41/Y41</f>
        <v>3.0595301780717999E-3</v>
      </c>
      <c r="AB41" s="72">
        <f t="shared" ref="AB41:AB47" si="45">+SUM(B41:P41)</f>
        <v>22376.192582313513</v>
      </c>
      <c r="AC41" s="69">
        <f>+(Y41-Y40)/Y40</f>
        <v>0.18172474785335319</v>
      </c>
      <c r="AD41" s="69" t="e">
        <f>+(Z41-Z40)/Z40</f>
        <v>#DIV/0!</v>
      </c>
      <c r="AE41" s="69">
        <f>+(AB41-AB40)/AB40</f>
        <v>0.1781013146019807</v>
      </c>
      <c r="AJ41" s="300"/>
    </row>
    <row r="42" spans="1:36" x14ac:dyDescent="0.25">
      <c r="A42" s="62">
        <v>2015</v>
      </c>
      <c r="B42" s="203">
        <f t="shared" si="21"/>
        <v>15339.354569641595</v>
      </c>
      <c r="C42" s="306">
        <f t="shared" si="33"/>
        <v>0.60286946269746866</v>
      </c>
      <c r="D42" s="203">
        <f t="shared" si="22"/>
        <v>100.11310503958136</v>
      </c>
      <c r="E42" s="303">
        <f>+D42/Y42</f>
        <v>3.9346592824471005E-3</v>
      </c>
      <c r="F42" s="203">
        <f t="shared" si="34"/>
        <v>178.76179109386078</v>
      </c>
      <c r="G42" s="303">
        <f t="shared" si="35"/>
        <v>7.0257209622680387E-3</v>
      </c>
      <c r="H42" s="203">
        <f t="shared" si="23"/>
        <v>37.322030583069584</v>
      </c>
      <c r="I42" s="303">
        <f t="shared" si="36"/>
        <v>1.4668356756629411E-3</v>
      </c>
      <c r="J42" s="203">
        <f t="shared" si="24"/>
        <v>284.56902624000003</v>
      </c>
      <c r="K42" s="303">
        <f t="shared" si="37"/>
        <v>1.118417174404354E-2</v>
      </c>
      <c r="L42" s="203">
        <f t="shared" si="25"/>
        <v>225.70118706625914</v>
      </c>
      <c r="M42" s="303">
        <f t="shared" si="38"/>
        <v>8.8705396800796265E-3</v>
      </c>
      <c r="N42" s="203">
        <f t="shared" si="26"/>
        <v>6411.32</v>
      </c>
      <c r="O42" s="307">
        <f t="shared" si="39"/>
        <v>0.25197859701549652</v>
      </c>
      <c r="P42" s="203">
        <f t="shared" si="27"/>
        <v>1875.0292999458745</v>
      </c>
      <c r="Q42" s="303">
        <f t="shared" si="40"/>
        <v>7.369266428181874E-2</v>
      </c>
      <c r="R42" s="216">
        <f t="shared" si="28"/>
        <v>3.6</v>
      </c>
      <c r="S42" s="303">
        <f t="shared" si="41"/>
        <v>1.4148770444398151E-4</v>
      </c>
      <c r="T42" s="214">
        <f t="shared" si="29"/>
        <v>113.44203060834751</v>
      </c>
      <c r="U42" s="303">
        <f t="shared" si="42"/>
        <v>4.4585145828441603E-3</v>
      </c>
      <c r="V42" s="214">
        <f t="shared" si="30"/>
        <v>429.32755800000001</v>
      </c>
      <c r="W42" s="303">
        <f t="shared" si="43"/>
        <v>1.6873491843322312E-2</v>
      </c>
      <c r="X42" s="214">
        <f t="shared" si="31"/>
        <v>445.36644760764227</v>
      </c>
      <c r="Y42" s="72">
        <f t="shared" si="32"/>
        <v>25443.907045826229</v>
      </c>
      <c r="Z42" s="72">
        <f t="shared" si="19"/>
        <v>991.75750971012042</v>
      </c>
      <c r="AA42" s="303">
        <f t="shared" si="44"/>
        <v>3.8978192614990179E-2</v>
      </c>
      <c r="AB42" s="72">
        <f t="shared" si="45"/>
        <v>24453.058339597297</v>
      </c>
      <c r="AC42" s="69">
        <f t="shared" ref="AC42:AC47" si="46">+(Y42-Y41)/Y41</f>
        <v>0.1336648408400288</v>
      </c>
      <c r="AD42" s="69">
        <f t="shared" ref="AD42:AD47" si="47">+(Z42-Z41)/Z41</f>
        <v>13.442807867629352</v>
      </c>
      <c r="AE42" s="69">
        <f t="shared" ref="AE42:AE47" si="48">+(AB42-AB41)/AB41</f>
        <v>9.2815868903692325E-2</v>
      </c>
      <c r="AJ42" s="301"/>
    </row>
    <row r="43" spans="1:36" x14ac:dyDescent="0.25">
      <c r="A43" s="62">
        <v>2016</v>
      </c>
      <c r="B43" s="203">
        <f t="shared" si="21"/>
        <v>16488.796436256733</v>
      </c>
      <c r="C43" s="306">
        <f t="shared" si="33"/>
        <v>0.58338235833655072</v>
      </c>
      <c r="D43" s="203">
        <f t="shared" si="22"/>
        <v>103.61706371596668</v>
      </c>
      <c r="E43" s="303">
        <f t="shared" ref="E43:E47" si="49">+D43/Y43</f>
        <v>3.6660266398589971E-3</v>
      </c>
      <c r="F43" s="203">
        <f t="shared" si="34"/>
        <v>185.01845378214591</v>
      </c>
      <c r="G43" s="303">
        <f t="shared" si="35"/>
        <v>6.5460509698495621E-3</v>
      </c>
      <c r="H43" s="203">
        <f t="shared" si="23"/>
        <v>200.59363061139581</v>
      </c>
      <c r="I43" s="303">
        <f t="shared" si="36"/>
        <v>7.0971089821964817E-3</v>
      </c>
      <c r="J43" s="203">
        <f t="shared" si="24"/>
        <v>465.95332356537597</v>
      </c>
      <c r="K43" s="303">
        <f t="shared" si="37"/>
        <v>1.6485675581427287E-2</v>
      </c>
      <c r="L43" s="203">
        <f t="shared" si="25"/>
        <v>270.84142447951098</v>
      </c>
      <c r="M43" s="303">
        <f t="shared" si="38"/>
        <v>9.5825131663738218E-3</v>
      </c>
      <c r="N43" s="203">
        <f t="shared" si="26"/>
        <v>7087.0731279999991</v>
      </c>
      <c r="O43" s="307">
        <f t="shared" si="39"/>
        <v>0.2507444040018022</v>
      </c>
      <c r="P43" s="203">
        <f t="shared" si="27"/>
        <v>1940.65532544398</v>
      </c>
      <c r="Q43" s="303">
        <f t="shared" si="40"/>
        <v>6.8661414121558129E-2</v>
      </c>
      <c r="R43" s="216">
        <f t="shared" si="28"/>
        <v>4.7519999999999998</v>
      </c>
      <c r="S43" s="303">
        <f t="shared" si="41"/>
        <v>1.6812827895185283E-4</v>
      </c>
      <c r="T43" s="214">
        <f t="shared" si="29"/>
        <v>138.82838940577841</v>
      </c>
      <c r="U43" s="303">
        <f t="shared" si="42"/>
        <v>4.9118220076706989E-3</v>
      </c>
      <c r="V43" s="214">
        <f t="shared" si="30"/>
        <v>481.83880799999991</v>
      </c>
      <c r="W43" s="303">
        <f t="shared" si="43"/>
        <v>1.704771244134096E-2</v>
      </c>
      <c r="X43" s="214">
        <f t="shared" si="31"/>
        <v>896.16479455003071</v>
      </c>
      <c r="Y43" s="72">
        <f t="shared" si="32"/>
        <v>28264.132777810912</v>
      </c>
      <c r="Z43" s="72">
        <f t="shared" si="19"/>
        <v>1521.6061196185369</v>
      </c>
      <c r="AA43" s="303">
        <f t="shared" si="44"/>
        <v>5.383523108881981E-2</v>
      </c>
      <c r="AB43" s="72">
        <f t="shared" si="45"/>
        <v>26743.426289992778</v>
      </c>
      <c r="AC43" s="69">
        <f t="shared" si="46"/>
        <v>0.11084090689787784</v>
      </c>
      <c r="AD43" s="69">
        <f t="shared" si="47"/>
        <v>0.53425217830040461</v>
      </c>
      <c r="AE43" s="69">
        <f t="shared" si="48"/>
        <v>9.3663864805272432E-2</v>
      </c>
      <c r="AJ43" s="64"/>
    </row>
    <row r="44" spans="1:36" x14ac:dyDescent="0.25">
      <c r="A44" s="62">
        <v>2017</v>
      </c>
      <c r="B44" s="203">
        <f t="shared" si="21"/>
        <v>17699.908524187122</v>
      </c>
      <c r="C44" s="306">
        <f t="shared" si="33"/>
        <v>0.5646705724751907</v>
      </c>
      <c r="D44" s="203">
        <f t="shared" si="22"/>
        <v>107.24366094602551</v>
      </c>
      <c r="E44" s="303">
        <f t="shared" si="49"/>
        <v>3.4213362932342391E-3</v>
      </c>
      <c r="F44" s="203">
        <f t="shared" si="34"/>
        <v>191.494099664521</v>
      </c>
      <c r="G44" s="303">
        <f t="shared" si="35"/>
        <v>6.1091323006231338E-3</v>
      </c>
      <c r="H44" s="203">
        <f t="shared" si="23"/>
        <v>430.65470861769165</v>
      </c>
      <c r="I44" s="303">
        <f t="shared" si="36"/>
        <v>1.3738943369226054E-2</v>
      </c>
      <c r="J44" s="203">
        <f t="shared" si="24"/>
        <v>540.73883199761883</v>
      </c>
      <c r="K44" s="303">
        <f t="shared" si="37"/>
        <v>1.7250897393419395E-2</v>
      </c>
      <c r="L44" s="203">
        <f t="shared" si="25"/>
        <v>325.00970937541319</v>
      </c>
      <c r="M44" s="303">
        <f t="shared" si="38"/>
        <v>1.0368608312422808E-2</v>
      </c>
      <c r="N44" s="203">
        <f t="shared" si="26"/>
        <v>7834.0506356911992</v>
      </c>
      <c r="O44" s="307">
        <f t="shared" si="39"/>
        <v>0.24992546437233862</v>
      </c>
      <c r="P44" s="203">
        <f t="shared" si="27"/>
        <v>2008.5782618345193</v>
      </c>
      <c r="Q44" s="303">
        <f t="shared" si="40"/>
        <v>6.4078581842467994E-2</v>
      </c>
      <c r="R44" s="216">
        <f t="shared" si="28"/>
        <v>7.7279999999999998</v>
      </c>
      <c r="S44" s="303">
        <f t="shared" si="41"/>
        <v>2.46542188516123E-4</v>
      </c>
      <c r="T44" s="214">
        <f t="shared" si="29"/>
        <v>282.5609893383039</v>
      </c>
      <c r="U44" s="303">
        <f t="shared" si="42"/>
        <v>9.014389842229081E-3</v>
      </c>
      <c r="V44" s="214">
        <f t="shared" si="30"/>
        <v>538.0369005</v>
      </c>
      <c r="W44" s="303">
        <f t="shared" si="43"/>
        <v>1.7164699139712927E-2</v>
      </c>
      <c r="X44" s="214">
        <f t="shared" si="31"/>
        <v>1379.5436609856431</v>
      </c>
      <c r="Y44" s="72">
        <f t="shared" si="32"/>
        <v>31345.547983138051</v>
      </c>
      <c r="Z44" s="72">
        <f t="shared" si="19"/>
        <v>2207.8959764551173</v>
      </c>
      <c r="AA44" s="303">
        <f t="shared" si="44"/>
        <v>7.0437306683642203E-2</v>
      </c>
      <c r="AB44" s="72">
        <f t="shared" si="45"/>
        <v>29138.54391726862</v>
      </c>
      <c r="AC44" s="69">
        <f t="shared" si="46"/>
        <v>0.10902210336862839</v>
      </c>
      <c r="AD44" s="69">
        <f t="shared" si="47"/>
        <v>0.45102990056890124</v>
      </c>
      <c r="AE44" s="69">
        <f t="shared" si="48"/>
        <v>8.9559116371415726E-2</v>
      </c>
    </row>
    <row r="45" spans="1:36" x14ac:dyDescent="0.25">
      <c r="A45" s="62">
        <v>2018</v>
      </c>
      <c r="B45" s="203">
        <f t="shared" si="21"/>
        <v>18975.599682638218</v>
      </c>
      <c r="C45" s="306">
        <f t="shared" si="33"/>
        <v>0.54685421599311523</v>
      </c>
      <c r="D45" s="203">
        <f t="shared" si="22"/>
        <v>110.9971890791364</v>
      </c>
      <c r="E45" s="303">
        <f t="shared" si="49"/>
        <v>3.1988069851013822E-3</v>
      </c>
      <c r="F45" s="203">
        <f t="shared" si="34"/>
        <v>198.19639315277922</v>
      </c>
      <c r="G45" s="303">
        <f t="shared" si="35"/>
        <v>5.7117843442593842E-3</v>
      </c>
      <c r="H45" s="203">
        <f t="shared" si="23"/>
        <v>923.38684587047317</v>
      </c>
      <c r="I45" s="303">
        <f t="shared" si="36"/>
        <v>2.6610910753922887E-2</v>
      </c>
      <c r="J45" s="203">
        <f t="shared" si="24"/>
        <v>560.25950383273289</v>
      </c>
      <c r="K45" s="303">
        <f t="shared" si="37"/>
        <v>1.6146012608047607E-2</v>
      </c>
      <c r="L45" s="203">
        <f t="shared" si="25"/>
        <v>390.01165125049579</v>
      </c>
      <c r="M45" s="303">
        <f t="shared" si="38"/>
        <v>1.1239671965039971E-2</v>
      </c>
      <c r="N45" s="203">
        <f t="shared" si="26"/>
        <v>8659.7595726930522</v>
      </c>
      <c r="O45" s="307">
        <f t="shared" si="39"/>
        <v>0.24956397220725565</v>
      </c>
      <c r="P45" s="203">
        <f t="shared" si="27"/>
        <v>2078.8785009987273</v>
      </c>
      <c r="Q45" s="303">
        <f t="shared" si="40"/>
        <v>5.9910806078437663E-2</v>
      </c>
      <c r="R45" s="216">
        <f t="shared" si="28"/>
        <v>11.28</v>
      </c>
      <c r="S45" s="303">
        <f t="shared" si="41"/>
        <v>3.2507618518355658E-4</v>
      </c>
      <c r="T45" s="214">
        <f t="shared" si="29"/>
        <v>443.42405559169435</v>
      </c>
      <c r="U45" s="303">
        <f t="shared" si="42"/>
        <v>1.277895393708948E-2</v>
      </c>
      <c r="V45" s="214">
        <f t="shared" si="30"/>
        <v>598.16985442499993</v>
      </c>
      <c r="W45" s="303">
        <f t="shared" si="43"/>
        <v>1.7238543826975389E-2</v>
      </c>
      <c r="X45" s="214">
        <f t="shared" si="31"/>
        <v>1749.5949282858157</v>
      </c>
      <c r="Y45" s="72">
        <f t="shared" si="32"/>
        <v>34699.558177818122</v>
      </c>
      <c r="Z45" s="72">
        <f t="shared" si="19"/>
        <v>2802.4991808764594</v>
      </c>
      <c r="AA45" s="303">
        <f t="shared" si="44"/>
        <v>8.0764693501716459E-2</v>
      </c>
      <c r="AB45" s="72">
        <f t="shared" si="45"/>
        <v>31897.948664890471</v>
      </c>
      <c r="AC45" s="69">
        <f t="shared" si="46"/>
        <v>0.10700116636928216</v>
      </c>
      <c r="AD45" s="69">
        <f t="shared" si="47"/>
        <v>0.26930761718946833</v>
      </c>
      <c r="AE45" s="69">
        <f t="shared" si="48"/>
        <v>9.469947281705185E-2</v>
      </c>
      <c r="AI45" s="64"/>
    </row>
    <row r="46" spans="1:36" x14ac:dyDescent="0.25">
      <c r="A46" s="62">
        <v>2019</v>
      </c>
      <c r="B46" s="203">
        <f t="shared" si="21"/>
        <v>20318.906834238773</v>
      </c>
      <c r="C46" s="306">
        <f t="shared" si="33"/>
        <v>0.52654320247818365</v>
      </c>
      <c r="D46" s="203">
        <f t="shared" si="22"/>
        <v>114.88209069690616</v>
      </c>
      <c r="E46" s="303">
        <f t="shared" si="49"/>
        <v>2.9770491314526633E-3</v>
      </c>
      <c r="F46" s="203">
        <f t="shared" si="34"/>
        <v>205.13326691312648</v>
      </c>
      <c r="G46" s="303">
        <f t="shared" si="35"/>
        <v>5.3158138957181845E-3</v>
      </c>
      <c r="H46" s="203">
        <f t="shared" si="23"/>
        <v>1483.1318857108595</v>
      </c>
      <c r="I46" s="303">
        <f t="shared" si="36"/>
        <v>3.8433810399867423E-2</v>
      </c>
      <c r="J46" s="203">
        <f t="shared" si="24"/>
        <v>580.48487192109462</v>
      </c>
      <c r="K46" s="303">
        <f t="shared" si="37"/>
        <v>1.5042657852854037E-2</v>
      </c>
      <c r="L46" s="203">
        <f t="shared" si="25"/>
        <v>468.01398150059492</v>
      </c>
      <c r="M46" s="303">
        <f t="shared" si="38"/>
        <v>1.2128092452721799E-2</v>
      </c>
      <c r="N46" s="203">
        <f t="shared" si="26"/>
        <v>9572.4982316548994</v>
      </c>
      <c r="O46" s="307">
        <f t="shared" si="39"/>
        <v>0.24806127198334346</v>
      </c>
      <c r="P46" s="203">
        <f t="shared" si="27"/>
        <v>2151.6392485336823</v>
      </c>
      <c r="Q46" s="303">
        <f t="shared" si="40"/>
        <v>5.5757478969863182E-2</v>
      </c>
      <c r="R46" s="216">
        <f t="shared" si="28"/>
        <v>14.832000000000001</v>
      </c>
      <c r="S46" s="303">
        <f t="shared" si="41"/>
        <v>3.8435575510374165E-4</v>
      </c>
      <c r="T46" s="214">
        <f t="shared" si="29"/>
        <v>759.92279442108509</v>
      </c>
      <c r="U46" s="303">
        <f t="shared" si="42"/>
        <v>1.9692603793841801E-2</v>
      </c>
      <c r="V46" s="214">
        <f t="shared" si="30"/>
        <v>700.89454337924997</v>
      </c>
      <c r="W46" s="303">
        <f t="shared" si="43"/>
        <v>1.8162948453925555E-2</v>
      </c>
      <c r="X46" s="214">
        <f t="shared" si="31"/>
        <v>2218.9094116067308</v>
      </c>
      <c r="Y46" s="72">
        <f t="shared" si="32"/>
        <v>38589.249160576997</v>
      </c>
      <c r="Z46" s="72">
        <f t="shared" si="19"/>
        <v>3694.5969893150686</v>
      </c>
      <c r="AA46" s="303">
        <f t="shared" si="44"/>
        <v>9.5741613783185256E-2</v>
      </c>
      <c r="AB46" s="72">
        <f t="shared" si="45"/>
        <v>34895.538913068129</v>
      </c>
      <c r="AC46" s="69">
        <f t="shared" si="46"/>
        <v>0.1120962682817495</v>
      </c>
      <c r="AD46" s="69">
        <f t="shared" si="47"/>
        <v>0.31832223699691242</v>
      </c>
      <c r="AE46" s="69">
        <f t="shared" si="48"/>
        <v>9.3974389377491668E-2</v>
      </c>
      <c r="AI46" s="64"/>
    </row>
    <row r="47" spans="1:36" x14ac:dyDescent="0.25">
      <c r="A47" s="62">
        <v>2020</v>
      </c>
      <c r="B47" s="203">
        <f t="shared" si="21"/>
        <v>21733.000376840129</v>
      </c>
      <c r="C47" s="306">
        <f t="shared" si="33"/>
        <v>0.5103069027299163</v>
      </c>
      <c r="D47" s="203">
        <f t="shared" si="22"/>
        <v>118.90296387129787</v>
      </c>
      <c r="E47" s="303">
        <f t="shared" si="49"/>
        <v>2.7919294237545716E-3</v>
      </c>
      <c r="F47" s="203">
        <f t="shared" si="34"/>
        <v>212.31293125508589</v>
      </c>
      <c r="G47" s="303">
        <f t="shared" si="35"/>
        <v>4.9852644586409981E-3</v>
      </c>
      <c r="H47" s="203">
        <f t="shared" si="23"/>
        <v>2115.1338566267773</v>
      </c>
      <c r="I47" s="303">
        <f t="shared" si="36"/>
        <v>4.9664905375174352E-2</v>
      </c>
      <c r="J47" s="203">
        <f t="shared" si="24"/>
        <v>601.44037579744611</v>
      </c>
      <c r="K47" s="303">
        <f t="shared" si="37"/>
        <v>1.4122264299824033E-2</v>
      </c>
      <c r="L47" s="203">
        <f t="shared" si="25"/>
        <v>561.61677780071386</v>
      </c>
      <c r="M47" s="303">
        <f t="shared" si="38"/>
        <v>1.3187176801692379E-2</v>
      </c>
      <c r="N47" s="203">
        <f t="shared" si="26"/>
        <v>10581.439545271323</v>
      </c>
      <c r="O47" s="307">
        <f t="shared" si="39"/>
        <v>0.24846001689327557</v>
      </c>
      <c r="P47" s="203">
        <f t="shared" si="27"/>
        <v>2226.9466222323608</v>
      </c>
      <c r="Q47" s="303">
        <f t="shared" si="40"/>
        <v>5.2290351706213684E-2</v>
      </c>
      <c r="R47" s="216">
        <f t="shared" si="28"/>
        <v>18.384</v>
      </c>
      <c r="S47" s="303">
        <f t="shared" si="41"/>
        <v>4.3166990001915244E-4</v>
      </c>
      <c r="T47" s="214">
        <f t="shared" si="29"/>
        <v>1233.9186485946475</v>
      </c>
      <c r="U47" s="303">
        <f t="shared" si="42"/>
        <v>2.8973321348488859E-2</v>
      </c>
      <c r="V47" s="214">
        <f t="shared" si="30"/>
        <v>785.00188858476008</v>
      </c>
      <c r="W47" s="303">
        <f t="shared" si="43"/>
        <v>1.8432424214546845E-2</v>
      </c>
      <c r="X47" s="214">
        <f t="shared" si="31"/>
        <v>2400</v>
      </c>
      <c r="Y47" s="72">
        <f t="shared" si="32"/>
        <v>42588.097986874542</v>
      </c>
      <c r="Z47" s="72">
        <f t="shared" si="19"/>
        <v>4437.3523745948705</v>
      </c>
      <c r="AA47" s="303">
        <f t="shared" si="44"/>
        <v>0.10419231156936011</v>
      </c>
      <c r="AB47" s="72">
        <f t="shared" si="45"/>
        <v>38151.636968155108</v>
      </c>
      <c r="AC47" s="69">
        <f t="shared" si="46"/>
        <v>0.10362598167322705</v>
      </c>
      <c r="AD47" s="69">
        <f t="shared" si="47"/>
        <v>0.20103826951298936</v>
      </c>
      <c r="AE47" s="69">
        <f t="shared" si="48"/>
        <v>9.3309865859890581E-2</v>
      </c>
      <c r="AI47" s="64"/>
    </row>
    <row r="48" spans="1:36" x14ac:dyDescent="0.25">
      <c r="N48" s="236"/>
      <c r="O48" s="236"/>
      <c r="T48" s="64"/>
      <c r="U48" s="64"/>
    </row>
  </sheetData>
  <mergeCells count="3">
    <mergeCell ref="A27:X27"/>
    <mergeCell ref="A1:X1"/>
    <mergeCell ref="AE12:AE15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959"/>
  <sheetViews>
    <sheetView topLeftCell="B1" workbookViewId="0">
      <selection activeCell="D4" sqref="D4"/>
    </sheetView>
  </sheetViews>
  <sheetFormatPr baseColWidth="10" defaultRowHeight="15" x14ac:dyDescent="0.25"/>
  <cols>
    <col min="1" max="1" width="5.7109375" customWidth="1"/>
    <col min="2" max="2" width="9" bestFit="1" customWidth="1"/>
    <col min="3" max="3" width="7.5703125" customWidth="1"/>
    <col min="4" max="4" width="11.85546875" customWidth="1"/>
  </cols>
  <sheetData>
    <row r="1" spans="2:4" ht="15.75" thickBot="1" x14ac:dyDescent="0.3">
      <c r="B1" s="369" t="s">
        <v>452</v>
      </c>
      <c r="C1" s="369" t="s">
        <v>453</v>
      </c>
    </row>
    <row r="2" spans="2:4" ht="15.75" thickBot="1" x14ac:dyDescent="0.3">
      <c r="B2" s="365">
        <v>41253</v>
      </c>
      <c r="C2" s="370">
        <v>2.5750000000000002</v>
      </c>
    </row>
    <row r="3" spans="2:4" ht="15.75" thickBot="1" x14ac:dyDescent="0.3">
      <c r="B3" s="366">
        <v>41253</v>
      </c>
      <c r="C3" s="370">
        <v>2.38</v>
      </c>
      <c r="D3" s="371">
        <f>+AVERAGE(C2:C444)</f>
        <v>2.5549548532731352</v>
      </c>
    </row>
    <row r="4" spans="2:4" ht="15.75" thickBot="1" x14ac:dyDescent="0.3">
      <c r="B4" s="365">
        <v>41122</v>
      </c>
      <c r="C4" s="370">
        <v>2.5750000000000002</v>
      </c>
    </row>
    <row r="5" spans="2:4" ht="15.75" thickBot="1" x14ac:dyDescent="0.3">
      <c r="B5" s="366">
        <v>41099</v>
      </c>
      <c r="C5" s="370">
        <v>2.5750000000000002</v>
      </c>
    </row>
    <row r="6" spans="2:4" ht="15.75" thickBot="1" x14ac:dyDescent="0.3">
      <c r="B6" s="365">
        <v>41096</v>
      </c>
      <c r="C6" s="370">
        <v>2.5750000000000002</v>
      </c>
    </row>
    <row r="7" spans="2:4" ht="15.75" thickBot="1" x14ac:dyDescent="0.3">
      <c r="B7" s="366">
        <v>41095</v>
      </c>
      <c r="C7" s="370">
        <v>2.5750000000000002</v>
      </c>
    </row>
    <row r="8" spans="2:4" ht="15.75" thickBot="1" x14ac:dyDescent="0.3">
      <c r="B8" s="365">
        <v>41094</v>
      </c>
      <c r="C8" s="370">
        <v>2.5750000000000002</v>
      </c>
    </row>
    <row r="9" spans="2:4" ht="15.75" thickBot="1" x14ac:dyDescent="0.3">
      <c r="B9" s="366">
        <v>41093</v>
      </c>
      <c r="C9" s="370">
        <v>2.5750000000000002</v>
      </c>
    </row>
    <row r="10" spans="2:4" ht="15.75" thickBot="1" x14ac:dyDescent="0.3">
      <c r="B10" s="365">
        <v>41089</v>
      </c>
      <c r="C10" s="370">
        <v>2.5750000000000002</v>
      </c>
    </row>
    <row r="11" spans="2:4" ht="15.75" thickBot="1" x14ac:dyDescent="0.3">
      <c r="B11" s="366">
        <v>41088</v>
      </c>
      <c r="C11" s="370">
        <v>2.5750000000000002</v>
      </c>
    </row>
    <row r="12" spans="2:4" ht="15.75" thickBot="1" x14ac:dyDescent="0.3">
      <c r="B12" s="365">
        <v>41087</v>
      </c>
      <c r="C12" s="370">
        <v>2.5750000000000002</v>
      </c>
    </row>
    <row r="13" spans="2:4" ht="15.75" thickBot="1" x14ac:dyDescent="0.3">
      <c r="B13" s="366">
        <v>41086</v>
      </c>
      <c r="C13" s="370">
        <v>2.38</v>
      </c>
    </row>
    <row r="14" spans="2:4" ht="15.75" thickBot="1" x14ac:dyDescent="0.3">
      <c r="B14" s="365">
        <v>41085</v>
      </c>
      <c r="C14" s="370">
        <v>2.38</v>
      </c>
    </row>
    <row r="15" spans="2:4" ht="15.75" thickBot="1" x14ac:dyDescent="0.3">
      <c r="B15" s="366">
        <v>41082</v>
      </c>
      <c r="C15" s="370">
        <v>2.5750000000000002</v>
      </c>
    </row>
    <row r="16" spans="2:4" ht="15.75" thickBot="1" x14ac:dyDescent="0.3">
      <c r="B16" s="365">
        <v>41081</v>
      </c>
      <c r="C16" s="370">
        <v>2.5750000000000002</v>
      </c>
    </row>
    <row r="17" spans="2:3" ht="15.75" thickBot="1" x14ac:dyDescent="0.3">
      <c r="B17" s="366">
        <v>41080</v>
      </c>
      <c r="C17" s="370">
        <v>2.5750000000000002</v>
      </c>
    </row>
    <row r="18" spans="2:3" ht="15.75" thickBot="1" x14ac:dyDescent="0.3">
      <c r="B18" s="365">
        <v>41079</v>
      </c>
      <c r="C18" s="370">
        <v>2.5750000000000002</v>
      </c>
    </row>
    <row r="19" spans="2:3" ht="15.75" thickBot="1" x14ac:dyDescent="0.3">
      <c r="B19" s="366">
        <v>41075</v>
      </c>
      <c r="C19" s="370">
        <v>2.5750000000000002</v>
      </c>
    </row>
    <row r="20" spans="2:3" ht="15.75" thickBot="1" x14ac:dyDescent="0.3">
      <c r="B20" s="365">
        <v>41074</v>
      </c>
      <c r="C20" s="370">
        <v>2.5750000000000002</v>
      </c>
    </row>
    <row r="21" spans="2:3" ht="15.75" thickBot="1" x14ac:dyDescent="0.3">
      <c r="B21" s="366">
        <v>41073</v>
      </c>
      <c r="C21" s="370">
        <v>2.5750000000000002</v>
      </c>
    </row>
    <row r="22" spans="2:3" ht="15.75" thickBot="1" x14ac:dyDescent="0.3">
      <c r="B22" s="365">
        <v>41072</v>
      </c>
      <c r="C22" s="370">
        <v>2.5750000000000002</v>
      </c>
    </row>
    <row r="23" spans="2:3" ht="15.75" thickBot="1" x14ac:dyDescent="0.3">
      <c r="B23" s="366">
        <v>41068</v>
      </c>
      <c r="C23" s="370">
        <v>2.5750000000000002</v>
      </c>
    </row>
    <row r="24" spans="2:3" ht="15.75" thickBot="1" x14ac:dyDescent="0.3">
      <c r="B24" s="365">
        <v>41067</v>
      </c>
      <c r="C24" s="370">
        <v>2.5750000000000002</v>
      </c>
    </row>
    <row r="25" spans="2:3" ht="15.75" thickBot="1" x14ac:dyDescent="0.3">
      <c r="B25" s="366">
        <v>41066</v>
      </c>
      <c r="C25" s="370">
        <v>2.5750000000000002</v>
      </c>
    </row>
    <row r="26" spans="2:3" ht="15.75" thickBot="1" x14ac:dyDescent="0.3">
      <c r="B26" s="365">
        <v>41065</v>
      </c>
      <c r="C26" s="370">
        <v>2.5750000000000002</v>
      </c>
    </row>
    <row r="27" spans="2:3" ht="15.75" thickBot="1" x14ac:dyDescent="0.3">
      <c r="B27" s="366">
        <v>41061</v>
      </c>
      <c r="C27" s="370">
        <v>2.5750000000000002</v>
      </c>
    </row>
    <row r="28" spans="2:3" ht="15.75" thickBot="1" x14ac:dyDescent="0.3">
      <c r="B28" s="365">
        <v>41060</v>
      </c>
      <c r="C28" s="370">
        <v>2.5750000000000002</v>
      </c>
    </row>
    <row r="29" spans="2:3" ht="15.75" thickBot="1" x14ac:dyDescent="0.3">
      <c r="B29" s="366">
        <v>41059</v>
      </c>
      <c r="C29" s="370">
        <v>2.5750000000000002</v>
      </c>
    </row>
    <row r="30" spans="2:3" ht="15.75" thickBot="1" x14ac:dyDescent="0.3">
      <c r="B30" s="365">
        <v>41058</v>
      </c>
      <c r="C30" s="370">
        <v>2.5750000000000002</v>
      </c>
    </row>
    <row r="31" spans="2:3" ht="15.75" thickBot="1" x14ac:dyDescent="0.3">
      <c r="B31" s="366">
        <v>41057</v>
      </c>
      <c r="C31" s="370">
        <v>2.5750000000000002</v>
      </c>
    </row>
    <row r="32" spans="2:3" ht="15.75" thickBot="1" x14ac:dyDescent="0.3">
      <c r="B32" s="365">
        <v>41054</v>
      </c>
      <c r="C32" s="370">
        <v>2.5750000000000002</v>
      </c>
    </row>
    <row r="33" spans="2:3" ht="15.75" thickBot="1" x14ac:dyDescent="0.3">
      <c r="B33" s="366">
        <v>41053</v>
      </c>
      <c r="C33" s="370">
        <v>2.5750000000000002</v>
      </c>
    </row>
    <row r="34" spans="2:3" ht="15.75" thickBot="1" x14ac:dyDescent="0.3">
      <c r="B34" s="365">
        <v>41052</v>
      </c>
      <c r="C34" s="370">
        <v>2.5750000000000002</v>
      </c>
    </row>
    <row r="35" spans="2:3" ht="15.75" thickBot="1" x14ac:dyDescent="0.3">
      <c r="B35" s="366">
        <v>41051</v>
      </c>
      <c r="C35" s="370">
        <v>2.5750000000000002</v>
      </c>
    </row>
    <row r="36" spans="2:3" ht="15.75" thickBot="1" x14ac:dyDescent="0.3">
      <c r="B36" s="365">
        <v>41047</v>
      </c>
      <c r="C36" s="370">
        <v>2.5750000000000002</v>
      </c>
    </row>
    <row r="37" spans="2:3" ht="15.75" thickBot="1" x14ac:dyDescent="0.3">
      <c r="B37" s="366">
        <v>41046</v>
      </c>
      <c r="C37" s="370">
        <v>2.5750000000000002</v>
      </c>
    </row>
    <row r="38" spans="2:3" ht="15.75" thickBot="1" x14ac:dyDescent="0.3">
      <c r="B38" s="365">
        <v>41045</v>
      </c>
      <c r="C38" s="370">
        <v>2.5750000000000002</v>
      </c>
    </row>
    <row r="39" spans="2:3" ht="15.75" thickBot="1" x14ac:dyDescent="0.3">
      <c r="B39" s="366">
        <v>41044</v>
      </c>
      <c r="C39" s="370">
        <v>2.5750000000000002</v>
      </c>
    </row>
    <row r="40" spans="2:3" ht="15.75" thickBot="1" x14ac:dyDescent="0.3">
      <c r="B40" s="365">
        <v>41043</v>
      </c>
      <c r="C40" s="370">
        <v>2.5750000000000002</v>
      </c>
    </row>
    <row r="41" spans="2:3" ht="15.75" thickBot="1" x14ac:dyDescent="0.3">
      <c r="B41" s="366">
        <v>41040</v>
      </c>
      <c r="C41" s="370">
        <v>2.5750000000000002</v>
      </c>
    </row>
    <row r="42" spans="2:3" ht="15.75" thickBot="1" x14ac:dyDescent="0.3">
      <c r="B42" s="365">
        <v>41039</v>
      </c>
      <c r="C42" s="370">
        <v>2.5750000000000002</v>
      </c>
    </row>
    <row r="43" spans="2:3" ht="15.75" thickBot="1" x14ac:dyDescent="0.3">
      <c r="B43" s="366">
        <v>41038</v>
      </c>
      <c r="C43" s="370">
        <v>2.5750000000000002</v>
      </c>
    </row>
    <row r="44" spans="2:3" ht="15.75" thickBot="1" x14ac:dyDescent="0.3">
      <c r="B44" s="365">
        <v>41037</v>
      </c>
      <c r="C44" s="370">
        <v>2.5750000000000002</v>
      </c>
    </row>
    <row r="45" spans="2:3" ht="15.75" thickBot="1" x14ac:dyDescent="0.3">
      <c r="B45" s="366">
        <v>41036</v>
      </c>
      <c r="C45" s="370">
        <v>2.5750000000000002</v>
      </c>
    </row>
    <row r="46" spans="2:3" ht="15.75" thickBot="1" x14ac:dyDescent="0.3">
      <c r="B46" s="365">
        <v>41033</v>
      </c>
      <c r="C46" s="370">
        <v>2.5750000000000002</v>
      </c>
    </row>
    <row r="47" spans="2:3" ht="15.75" thickBot="1" x14ac:dyDescent="0.3">
      <c r="B47" s="366">
        <v>41032</v>
      </c>
      <c r="C47" s="370">
        <v>2.5750000000000002</v>
      </c>
    </row>
    <row r="48" spans="2:3" ht="15.75" thickBot="1" x14ac:dyDescent="0.3">
      <c r="B48" s="365">
        <v>41031</v>
      </c>
      <c r="C48" s="370">
        <v>2.5750000000000002</v>
      </c>
    </row>
    <row r="49" spans="2:3" ht="15.75" thickBot="1" x14ac:dyDescent="0.3">
      <c r="B49" s="366">
        <v>41029</v>
      </c>
      <c r="C49" s="370">
        <v>2.5750000000000002</v>
      </c>
    </row>
    <row r="50" spans="2:3" ht="15.75" thickBot="1" x14ac:dyDescent="0.3">
      <c r="B50" s="365">
        <v>41026</v>
      </c>
      <c r="C50" s="370">
        <v>2.5750000000000002</v>
      </c>
    </row>
    <row r="51" spans="2:3" ht="15.75" thickBot="1" x14ac:dyDescent="0.3">
      <c r="B51" s="366">
        <v>41025</v>
      </c>
      <c r="C51" s="370">
        <v>2.5750000000000002</v>
      </c>
    </row>
    <row r="52" spans="2:3" ht="15.75" thickBot="1" x14ac:dyDescent="0.3">
      <c r="B52" s="365">
        <v>41024</v>
      </c>
      <c r="C52" s="370">
        <v>2.5750000000000002</v>
      </c>
    </row>
    <row r="53" spans="2:3" ht="15.75" thickBot="1" x14ac:dyDescent="0.3">
      <c r="B53" s="366">
        <v>41023</v>
      </c>
      <c r="C53" s="370">
        <v>2.5750000000000002</v>
      </c>
    </row>
    <row r="54" spans="2:3" ht="15.75" thickBot="1" x14ac:dyDescent="0.3">
      <c r="B54" s="365">
        <v>41022</v>
      </c>
      <c r="C54" s="370">
        <v>2.5750000000000002</v>
      </c>
    </row>
    <row r="55" spans="2:3" ht="15.75" thickBot="1" x14ac:dyDescent="0.3">
      <c r="B55" s="366">
        <v>41019</v>
      </c>
      <c r="C55" s="370">
        <v>2.5750000000000002</v>
      </c>
    </row>
    <row r="56" spans="2:3" ht="15.75" thickBot="1" x14ac:dyDescent="0.3">
      <c r="B56" s="365">
        <v>41018</v>
      </c>
      <c r="C56" s="370">
        <v>2.5750000000000002</v>
      </c>
    </row>
    <row r="57" spans="2:3" ht="15.75" thickBot="1" x14ac:dyDescent="0.3">
      <c r="B57" s="366">
        <v>41017</v>
      </c>
      <c r="C57" s="370">
        <v>2.5750000000000002</v>
      </c>
    </row>
    <row r="58" spans="2:3" ht="15.75" thickBot="1" x14ac:dyDescent="0.3">
      <c r="B58" s="365">
        <v>41016</v>
      </c>
      <c r="C58" s="370">
        <v>2.5750000000000002</v>
      </c>
    </row>
    <row r="59" spans="2:3" ht="15.75" thickBot="1" x14ac:dyDescent="0.3">
      <c r="B59" s="366">
        <v>41015</v>
      </c>
      <c r="C59" s="370">
        <v>2.5750000000000002</v>
      </c>
    </row>
    <row r="60" spans="2:3" ht="15.75" thickBot="1" x14ac:dyDescent="0.3">
      <c r="B60" s="365">
        <v>41012</v>
      </c>
      <c r="C60" s="370">
        <v>2.5750000000000002</v>
      </c>
    </row>
    <row r="61" spans="2:3" ht="15.75" thickBot="1" x14ac:dyDescent="0.3">
      <c r="B61" s="366">
        <v>41011</v>
      </c>
      <c r="C61" s="370">
        <v>2.5750000000000002</v>
      </c>
    </row>
    <row r="62" spans="2:3" ht="15.75" thickBot="1" x14ac:dyDescent="0.3">
      <c r="B62" s="365">
        <v>41010</v>
      </c>
      <c r="C62" s="370">
        <v>2.5750000000000002</v>
      </c>
    </row>
    <row r="63" spans="2:3" ht="15.75" thickBot="1" x14ac:dyDescent="0.3">
      <c r="B63" s="366">
        <v>41009</v>
      </c>
      <c r="C63" s="370">
        <v>2.5750000000000002</v>
      </c>
    </row>
    <row r="64" spans="2:3" ht="15.75" thickBot="1" x14ac:dyDescent="0.3">
      <c r="B64" s="365">
        <v>41008</v>
      </c>
      <c r="C64" s="370">
        <v>2.5750000000000002</v>
      </c>
    </row>
    <row r="65" spans="2:3" ht="15.75" thickBot="1" x14ac:dyDescent="0.3">
      <c r="B65" s="366">
        <v>41003</v>
      </c>
      <c r="C65" s="370">
        <v>2.5750000000000002</v>
      </c>
    </row>
    <row r="66" spans="2:3" ht="15.75" thickBot="1" x14ac:dyDescent="0.3">
      <c r="B66" s="365">
        <v>41002</v>
      </c>
      <c r="C66" s="370">
        <v>2.5750000000000002</v>
      </c>
    </row>
    <row r="67" spans="2:3" ht="15.75" thickBot="1" x14ac:dyDescent="0.3">
      <c r="B67" s="366">
        <v>41001</v>
      </c>
      <c r="C67" s="370">
        <v>2.5750000000000002</v>
      </c>
    </row>
    <row r="68" spans="2:3" ht="15.75" thickBot="1" x14ac:dyDescent="0.3">
      <c r="B68" s="365">
        <v>40998</v>
      </c>
      <c r="C68" s="370">
        <v>2.5750000000000002</v>
      </c>
    </row>
    <row r="69" spans="2:3" ht="15.75" thickBot="1" x14ac:dyDescent="0.3">
      <c r="B69" s="366">
        <v>40997</v>
      </c>
      <c r="C69" s="370">
        <v>2.5750000000000002</v>
      </c>
    </row>
    <row r="70" spans="2:3" ht="15.75" thickBot="1" x14ac:dyDescent="0.3">
      <c r="B70" s="365">
        <v>40996</v>
      </c>
      <c r="C70" s="370">
        <v>2.5750000000000002</v>
      </c>
    </row>
    <row r="71" spans="2:3" ht="15.75" thickBot="1" x14ac:dyDescent="0.3">
      <c r="B71" s="366">
        <v>40995</v>
      </c>
      <c r="C71" s="370">
        <v>2.5750000000000002</v>
      </c>
    </row>
    <row r="72" spans="2:3" ht="15.75" thickBot="1" x14ac:dyDescent="0.3">
      <c r="B72" s="365">
        <v>40994</v>
      </c>
      <c r="C72" s="370">
        <v>2.5750000000000002</v>
      </c>
    </row>
    <row r="73" spans="2:3" ht="15.75" thickBot="1" x14ac:dyDescent="0.3">
      <c r="B73" s="366">
        <v>40990</v>
      </c>
      <c r="C73" s="370">
        <v>2.5750000000000002</v>
      </c>
    </row>
    <row r="74" spans="2:3" ht="15.75" thickBot="1" x14ac:dyDescent="0.3">
      <c r="B74" s="365">
        <v>40989</v>
      </c>
      <c r="C74" s="370">
        <v>2.5750000000000002</v>
      </c>
    </row>
    <row r="75" spans="2:3" ht="15.75" thickBot="1" x14ac:dyDescent="0.3">
      <c r="B75" s="366">
        <v>40988</v>
      </c>
      <c r="C75" s="370">
        <v>2.5750000000000002</v>
      </c>
    </row>
    <row r="76" spans="2:3" ht="15.75" thickBot="1" x14ac:dyDescent="0.3">
      <c r="B76" s="365">
        <v>40984</v>
      </c>
      <c r="C76" s="370">
        <v>2.5750000000000002</v>
      </c>
    </row>
    <row r="77" spans="2:3" ht="15.75" thickBot="1" x14ac:dyDescent="0.3">
      <c r="B77" s="366">
        <v>40983</v>
      </c>
      <c r="C77" s="370">
        <v>2.5750000000000002</v>
      </c>
    </row>
    <row r="78" spans="2:3" ht="15.75" thickBot="1" x14ac:dyDescent="0.3">
      <c r="B78" s="365">
        <v>40982</v>
      </c>
      <c r="C78" s="370">
        <v>2.5750000000000002</v>
      </c>
    </row>
    <row r="79" spans="2:3" ht="15.75" thickBot="1" x14ac:dyDescent="0.3">
      <c r="B79" s="366">
        <v>40981</v>
      </c>
      <c r="C79" s="370">
        <v>2.5750000000000002</v>
      </c>
    </row>
    <row r="80" spans="2:3" ht="15.75" thickBot="1" x14ac:dyDescent="0.3">
      <c r="B80" s="365">
        <v>40980</v>
      </c>
      <c r="C80" s="370">
        <v>2.5750000000000002</v>
      </c>
    </row>
    <row r="81" spans="2:3" ht="15.75" thickBot="1" x14ac:dyDescent="0.3">
      <c r="B81" s="366">
        <v>40977</v>
      </c>
      <c r="C81" s="370">
        <v>2.5750000000000002</v>
      </c>
    </row>
    <row r="82" spans="2:3" ht="15.75" thickBot="1" x14ac:dyDescent="0.3">
      <c r="B82" s="365">
        <v>40976</v>
      </c>
      <c r="C82" s="370">
        <v>2.5750000000000002</v>
      </c>
    </row>
    <row r="83" spans="2:3" ht="15.75" thickBot="1" x14ac:dyDescent="0.3">
      <c r="B83" s="366">
        <v>40975</v>
      </c>
      <c r="C83" s="370">
        <v>2.5750000000000002</v>
      </c>
    </row>
    <row r="84" spans="2:3" ht="15.75" thickBot="1" x14ac:dyDescent="0.3">
      <c r="B84" s="365">
        <v>40974</v>
      </c>
      <c r="C84" s="370">
        <v>2.5750000000000002</v>
      </c>
    </row>
    <row r="85" spans="2:3" ht="15.75" thickBot="1" x14ac:dyDescent="0.3">
      <c r="B85" s="366">
        <v>40973</v>
      </c>
      <c r="C85" s="370">
        <v>2.5750000000000002</v>
      </c>
    </row>
    <row r="86" spans="2:3" ht="15.75" thickBot="1" x14ac:dyDescent="0.3">
      <c r="B86" s="365">
        <v>40970</v>
      </c>
      <c r="C86" s="370">
        <v>2.5750000000000002</v>
      </c>
    </row>
    <row r="87" spans="2:3" ht="15.75" thickBot="1" x14ac:dyDescent="0.3">
      <c r="B87" s="366">
        <v>40969</v>
      </c>
      <c r="C87" s="370">
        <v>2.4750000000000001</v>
      </c>
    </row>
    <row r="88" spans="2:3" ht="15.75" thickBot="1" x14ac:dyDescent="0.3">
      <c r="B88" s="365">
        <v>40968</v>
      </c>
      <c r="C88" s="370">
        <v>2.4750000000000001</v>
      </c>
    </row>
    <row r="89" spans="2:3" ht="15.75" thickBot="1" x14ac:dyDescent="0.3">
      <c r="B89" s="366">
        <v>40967</v>
      </c>
      <c r="C89" s="370">
        <v>2.4750000000000001</v>
      </c>
    </row>
    <row r="90" spans="2:3" ht="15.75" thickBot="1" x14ac:dyDescent="0.3">
      <c r="B90" s="365">
        <v>40966</v>
      </c>
      <c r="C90" s="370">
        <v>2.5750000000000002</v>
      </c>
    </row>
    <row r="91" spans="2:3" ht="15.75" thickBot="1" x14ac:dyDescent="0.3">
      <c r="B91" s="366">
        <v>40963</v>
      </c>
      <c r="C91" s="370">
        <v>2.5750000000000002</v>
      </c>
    </row>
    <row r="92" spans="2:3" ht="15.75" thickBot="1" x14ac:dyDescent="0.3">
      <c r="B92" s="365">
        <v>40961</v>
      </c>
      <c r="C92" s="370">
        <v>2.5750000000000002</v>
      </c>
    </row>
    <row r="93" spans="2:3" ht="15.75" thickBot="1" x14ac:dyDescent="0.3">
      <c r="B93" s="366">
        <v>40960</v>
      </c>
      <c r="C93" s="370">
        <v>2.5750000000000002</v>
      </c>
    </row>
    <row r="94" spans="2:3" ht="15.75" thickBot="1" x14ac:dyDescent="0.3">
      <c r="B94" s="365">
        <v>40959</v>
      </c>
      <c r="C94" s="370">
        <v>2.5750000000000002</v>
      </c>
    </row>
    <row r="95" spans="2:3" ht="15.75" thickBot="1" x14ac:dyDescent="0.3">
      <c r="B95" s="366">
        <v>40956</v>
      </c>
      <c r="C95" s="370">
        <v>2.5750000000000002</v>
      </c>
    </row>
    <row r="96" spans="2:3" ht="15.75" thickBot="1" x14ac:dyDescent="0.3">
      <c r="B96" s="365">
        <v>40955</v>
      </c>
      <c r="C96" s="370">
        <v>2.5750000000000002</v>
      </c>
    </row>
    <row r="97" spans="2:3" ht="15.75" thickBot="1" x14ac:dyDescent="0.3">
      <c r="B97" s="366">
        <v>40954</v>
      </c>
      <c r="C97" s="370">
        <v>2.5750000000000002</v>
      </c>
    </row>
    <row r="98" spans="2:3" ht="15.75" thickBot="1" x14ac:dyDescent="0.3">
      <c r="B98" s="365">
        <v>40952</v>
      </c>
      <c r="C98" s="370">
        <v>2.5750000000000002</v>
      </c>
    </row>
    <row r="99" spans="2:3" ht="15.75" thickBot="1" x14ac:dyDescent="0.3">
      <c r="B99" s="366">
        <v>40949</v>
      </c>
      <c r="C99" s="370">
        <v>2.5750000000000002</v>
      </c>
    </row>
    <row r="100" spans="2:3" ht="15.75" thickBot="1" x14ac:dyDescent="0.3">
      <c r="B100" s="365">
        <v>40948</v>
      </c>
      <c r="C100" s="370">
        <v>2.5750000000000002</v>
      </c>
    </row>
    <row r="101" spans="2:3" ht="15.75" thickBot="1" x14ac:dyDescent="0.3">
      <c r="B101" s="366">
        <v>40947</v>
      </c>
      <c r="C101" s="370">
        <v>2.5750000000000002</v>
      </c>
    </row>
    <row r="102" spans="2:3" ht="15.75" thickBot="1" x14ac:dyDescent="0.3">
      <c r="B102" s="365">
        <v>40946</v>
      </c>
      <c r="C102" s="370">
        <v>2.5750000000000002</v>
      </c>
    </row>
    <row r="103" spans="2:3" ht="15.75" thickBot="1" x14ac:dyDescent="0.3">
      <c r="B103" s="366">
        <v>40945</v>
      </c>
      <c r="C103" s="370">
        <v>2.5750000000000002</v>
      </c>
    </row>
    <row r="104" spans="2:3" ht="15.75" thickBot="1" x14ac:dyDescent="0.3">
      <c r="B104" s="365">
        <v>40942</v>
      </c>
      <c r="C104" s="370">
        <v>2.5750000000000002</v>
      </c>
    </row>
    <row r="105" spans="2:3" ht="15.75" thickBot="1" x14ac:dyDescent="0.3">
      <c r="B105" s="366">
        <v>40941</v>
      </c>
      <c r="C105" s="370">
        <v>2.5750000000000002</v>
      </c>
    </row>
    <row r="106" spans="2:3" ht="15.75" thickBot="1" x14ac:dyDescent="0.3">
      <c r="B106" s="365">
        <v>40940</v>
      </c>
      <c r="C106" s="370">
        <v>2.5750000000000002</v>
      </c>
    </row>
    <row r="107" spans="2:3" ht="15.75" thickBot="1" x14ac:dyDescent="0.3">
      <c r="B107" s="366">
        <v>40939</v>
      </c>
      <c r="C107" s="370">
        <v>2.5750000000000002</v>
      </c>
    </row>
    <row r="108" spans="2:3" ht="15.75" thickBot="1" x14ac:dyDescent="0.3">
      <c r="B108" s="365">
        <v>40935</v>
      </c>
      <c r="C108" s="370">
        <v>2.5750000000000002</v>
      </c>
    </row>
    <row r="109" spans="2:3" ht="15.75" thickBot="1" x14ac:dyDescent="0.3">
      <c r="B109" s="366">
        <v>40934</v>
      </c>
      <c r="C109" s="370">
        <v>2.5750000000000002</v>
      </c>
    </row>
    <row r="110" spans="2:3" ht="15.75" thickBot="1" x14ac:dyDescent="0.3">
      <c r="B110" s="365">
        <v>40933</v>
      </c>
      <c r="C110" s="370">
        <v>2.5750000000000002</v>
      </c>
    </row>
    <row r="111" spans="2:3" ht="15.75" thickBot="1" x14ac:dyDescent="0.3">
      <c r="B111" s="366">
        <v>40932</v>
      </c>
      <c r="C111" s="370">
        <v>2.5750000000000002</v>
      </c>
    </row>
    <row r="112" spans="2:3" ht="15.75" thickBot="1" x14ac:dyDescent="0.3">
      <c r="B112" s="365">
        <v>40931</v>
      </c>
      <c r="C112" s="370">
        <v>2.5750000000000002</v>
      </c>
    </row>
    <row r="113" spans="2:3" ht="15.75" thickBot="1" x14ac:dyDescent="0.3">
      <c r="B113" s="366">
        <v>40928</v>
      </c>
      <c r="C113" s="370">
        <v>2.5750000000000002</v>
      </c>
    </row>
    <row r="114" spans="2:3" ht="15.75" thickBot="1" x14ac:dyDescent="0.3">
      <c r="B114" s="365">
        <v>40927</v>
      </c>
      <c r="C114" s="370">
        <v>2.5750000000000002</v>
      </c>
    </row>
    <row r="115" spans="2:3" ht="15.75" thickBot="1" x14ac:dyDescent="0.3">
      <c r="B115" s="366">
        <v>40926</v>
      </c>
      <c r="C115" s="370">
        <v>2.5750000000000002</v>
      </c>
    </row>
    <row r="116" spans="2:3" ht="15.75" thickBot="1" x14ac:dyDescent="0.3">
      <c r="B116" s="365">
        <v>40925</v>
      </c>
      <c r="C116" s="370">
        <v>2.5750000000000002</v>
      </c>
    </row>
    <row r="117" spans="2:3" ht="15.75" thickBot="1" x14ac:dyDescent="0.3">
      <c r="B117" s="366">
        <v>40924</v>
      </c>
      <c r="C117" s="370">
        <v>2.5750000000000002</v>
      </c>
    </row>
    <row r="118" spans="2:3" ht="15.75" thickBot="1" x14ac:dyDescent="0.3">
      <c r="B118" s="365">
        <v>40920</v>
      </c>
      <c r="C118" s="370">
        <v>2.5750000000000002</v>
      </c>
    </row>
    <row r="119" spans="2:3" ht="15.75" thickBot="1" x14ac:dyDescent="0.3">
      <c r="B119" s="366">
        <v>40919</v>
      </c>
      <c r="C119" s="370">
        <v>2.5750000000000002</v>
      </c>
    </row>
    <row r="120" spans="2:3" ht="15.75" thickBot="1" x14ac:dyDescent="0.3">
      <c r="B120" s="365">
        <v>40918</v>
      </c>
      <c r="C120" s="370">
        <v>2.5750000000000002</v>
      </c>
    </row>
    <row r="121" spans="2:3" ht="15.75" thickBot="1" x14ac:dyDescent="0.3">
      <c r="B121" s="366">
        <v>40914</v>
      </c>
      <c r="C121" s="370">
        <v>2.5750000000000002</v>
      </c>
    </row>
    <row r="122" spans="2:3" ht="15.75" thickBot="1" x14ac:dyDescent="0.3">
      <c r="B122" s="365">
        <v>40913</v>
      </c>
      <c r="C122" s="370">
        <v>2.5750000000000002</v>
      </c>
    </row>
    <row r="123" spans="2:3" ht="15.75" thickBot="1" x14ac:dyDescent="0.3">
      <c r="B123" s="366">
        <v>40912</v>
      </c>
      <c r="C123" s="370">
        <v>2.5750000000000002</v>
      </c>
    </row>
    <row r="124" spans="2:3" ht="15.75" thickBot="1" x14ac:dyDescent="0.3">
      <c r="B124" s="365">
        <v>40911</v>
      </c>
      <c r="C124" s="370">
        <v>2.5750000000000002</v>
      </c>
    </row>
    <row r="125" spans="2:3" ht="15.75" thickBot="1" x14ac:dyDescent="0.3">
      <c r="B125" s="366">
        <v>40910</v>
      </c>
      <c r="C125" s="370">
        <v>2.5750000000000002</v>
      </c>
    </row>
    <row r="126" spans="2:3" ht="15.75" thickBot="1" x14ac:dyDescent="0.3">
      <c r="B126" s="365">
        <v>40906</v>
      </c>
      <c r="C126" s="367">
        <v>2.5750000000000002</v>
      </c>
    </row>
    <row r="127" spans="2:3" ht="15.75" thickBot="1" x14ac:dyDescent="0.3">
      <c r="B127" s="366">
        <v>40905</v>
      </c>
      <c r="C127" s="368">
        <v>2.5750000000000002</v>
      </c>
    </row>
    <row r="128" spans="2:3" ht="15.75" thickBot="1" x14ac:dyDescent="0.3">
      <c r="B128" s="365">
        <v>40904</v>
      </c>
      <c r="C128" s="367">
        <v>2.5750000000000002</v>
      </c>
    </row>
    <row r="129" spans="2:3" ht="15.75" thickBot="1" x14ac:dyDescent="0.3">
      <c r="B129" s="366">
        <v>40903</v>
      </c>
      <c r="C129" s="368">
        <v>2.5750000000000002</v>
      </c>
    </row>
    <row r="130" spans="2:3" ht="15.75" thickBot="1" x14ac:dyDescent="0.3">
      <c r="B130" s="365">
        <v>40900</v>
      </c>
      <c r="C130" s="367">
        <v>2.5750000000000002</v>
      </c>
    </row>
    <row r="131" spans="2:3" ht="15.75" thickBot="1" x14ac:dyDescent="0.3">
      <c r="B131" s="366">
        <v>40899</v>
      </c>
      <c r="C131" s="368">
        <v>2.5750000000000002</v>
      </c>
    </row>
    <row r="132" spans="2:3" ht="15.75" thickBot="1" x14ac:dyDescent="0.3">
      <c r="B132" s="365">
        <v>40898</v>
      </c>
      <c r="C132" s="367">
        <v>2.5750000000000002</v>
      </c>
    </row>
    <row r="133" spans="2:3" ht="15.75" thickBot="1" x14ac:dyDescent="0.3">
      <c r="B133" s="366">
        <v>40897</v>
      </c>
      <c r="C133" s="368">
        <v>2.5750000000000002</v>
      </c>
    </row>
    <row r="134" spans="2:3" ht="15.75" thickBot="1" x14ac:dyDescent="0.3">
      <c r="B134" s="365">
        <v>40896</v>
      </c>
      <c r="C134" s="367">
        <v>2.5750000000000002</v>
      </c>
    </row>
    <row r="135" spans="2:3" ht="15.75" thickBot="1" x14ac:dyDescent="0.3">
      <c r="B135" s="366">
        <v>40893</v>
      </c>
      <c r="C135" s="368">
        <v>2.5750000000000002</v>
      </c>
    </row>
    <row r="136" spans="2:3" ht="15.75" thickBot="1" x14ac:dyDescent="0.3">
      <c r="B136" s="365">
        <v>40892</v>
      </c>
      <c r="C136" s="367">
        <v>2.5750000000000002</v>
      </c>
    </row>
    <row r="137" spans="2:3" ht="15.75" thickBot="1" x14ac:dyDescent="0.3">
      <c r="B137" s="366">
        <v>40891</v>
      </c>
      <c r="C137" s="368">
        <v>2.5750000000000002</v>
      </c>
    </row>
    <row r="138" spans="2:3" ht="15.75" thickBot="1" x14ac:dyDescent="0.3">
      <c r="B138" s="365">
        <v>40890</v>
      </c>
      <c r="C138" s="367">
        <v>2.5750000000000002</v>
      </c>
    </row>
    <row r="139" spans="2:3" ht="15.75" thickBot="1" x14ac:dyDescent="0.3">
      <c r="B139" s="366">
        <v>40889</v>
      </c>
      <c r="C139" s="368">
        <v>2.5750000000000002</v>
      </c>
    </row>
    <row r="140" spans="2:3" ht="15.75" thickBot="1" x14ac:dyDescent="0.3">
      <c r="B140" s="365">
        <v>40886</v>
      </c>
      <c r="C140" s="367">
        <v>2.5750000000000002</v>
      </c>
    </row>
    <row r="141" spans="2:3" ht="15.75" thickBot="1" x14ac:dyDescent="0.3">
      <c r="B141" s="366">
        <v>40882</v>
      </c>
      <c r="C141" s="368">
        <v>2.5750000000000002</v>
      </c>
    </row>
    <row r="142" spans="2:3" ht="15.75" thickBot="1" x14ac:dyDescent="0.3">
      <c r="B142" s="365">
        <v>40879</v>
      </c>
      <c r="C142" s="367">
        <v>2.5750000000000002</v>
      </c>
    </row>
    <row r="143" spans="2:3" ht="15.75" thickBot="1" x14ac:dyDescent="0.3">
      <c r="B143" s="366">
        <v>40878</v>
      </c>
      <c r="C143" s="368">
        <v>2.5750000000000002</v>
      </c>
    </row>
    <row r="144" spans="2:3" ht="15.75" thickBot="1" x14ac:dyDescent="0.3">
      <c r="B144" s="365">
        <v>40876</v>
      </c>
      <c r="C144" s="367">
        <v>2.5750000000000002</v>
      </c>
    </row>
    <row r="145" spans="2:3" ht="15.75" thickBot="1" x14ac:dyDescent="0.3">
      <c r="B145" s="366">
        <v>40875</v>
      </c>
      <c r="C145" s="368">
        <v>2.5750000000000002</v>
      </c>
    </row>
    <row r="146" spans="2:3" ht="15.75" thickBot="1" x14ac:dyDescent="0.3">
      <c r="B146" s="365">
        <v>40872</v>
      </c>
      <c r="C146" s="367">
        <v>2.5750000000000002</v>
      </c>
    </row>
    <row r="147" spans="2:3" ht="15.75" thickBot="1" x14ac:dyDescent="0.3">
      <c r="B147" s="366">
        <v>40871</v>
      </c>
      <c r="C147" s="368">
        <v>2.5750000000000002</v>
      </c>
    </row>
    <row r="148" spans="2:3" ht="15.75" thickBot="1" x14ac:dyDescent="0.3">
      <c r="B148" s="365">
        <v>40870</v>
      </c>
      <c r="C148" s="367">
        <v>2.5750000000000002</v>
      </c>
    </row>
    <row r="149" spans="2:3" ht="15.75" thickBot="1" x14ac:dyDescent="0.3">
      <c r="B149" s="366">
        <v>40869</v>
      </c>
      <c r="C149" s="368">
        <v>2.5750000000000002</v>
      </c>
    </row>
    <row r="150" spans="2:3" ht="15.75" thickBot="1" x14ac:dyDescent="0.3">
      <c r="B150" s="365">
        <v>40868</v>
      </c>
      <c r="C150" s="367">
        <v>2.5750000000000002</v>
      </c>
    </row>
    <row r="151" spans="2:3" ht="15.75" thickBot="1" x14ac:dyDescent="0.3">
      <c r="B151" s="366">
        <v>40865</v>
      </c>
      <c r="C151" s="368">
        <v>2.5750000000000002</v>
      </c>
    </row>
    <row r="152" spans="2:3" ht="15.75" thickBot="1" x14ac:dyDescent="0.3">
      <c r="B152" s="365">
        <v>40864</v>
      </c>
      <c r="C152" s="367">
        <v>2.63</v>
      </c>
    </row>
    <row r="153" spans="2:3" ht="15.75" thickBot="1" x14ac:dyDescent="0.3">
      <c r="B153" s="366">
        <v>40863</v>
      </c>
      <c r="C153" s="368">
        <v>2.63</v>
      </c>
    </row>
    <row r="154" spans="2:3" ht="15.75" thickBot="1" x14ac:dyDescent="0.3">
      <c r="B154" s="365">
        <v>40862</v>
      </c>
      <c r="C154" s="367">
        <v>2.7</v>
      </c>
    </row>
    <row r="155" spans="2:3" ht="15.75" thickBot="1" x14ac:dyDescent="0.3">
      <c r="B155" s="366">
        <v>40858</v>
      </c>
      <c r="C155" s="368">
        <v>2.62</v>
      </c>
    </row>
    <row r="156" spans="2:3" ht="15.75" thickBot="1" x14ac:dyDescent="0.3">
      <c r="B156" s="365">
        <v>40857</v>
      </c>
      <c r="C156" s="367">
        <v>2.5249999999999999</v>
      </c>
    </row>
    <row r="157" spans="2:3" ht="15.75" thickBot="1" x14ac:dyDescent="0.3">
      <c r="B157" s="366">
        <v>40856</v>
      </c>
      <c r="C157" s="368">
        <v>2.5249999999999999</v>
      </c>
    </row>
    <row r="158" spans="2:3" ht="15.75" thickBot="1" x14ac:dyDescent="0.3">
      <c r="B158" s="365">
        <v>40855</v>
      </c>
      <c r="C158" s="367">
        <v>2.5249999999999999</v>
      </c>
    </row>
    <row r="159" spans="2:3" ht="15.75" thickBot="1" x14ac:dyDescent="0.3">
      <c r="B159" s="366">
        <v>40851</v>
      </c>
      <c r="C159" s="368">
        <v>2.5249999999999999</v>
      </c>
    </row>
    <row r="160" spans="2:3" ht="15.75" thickBot="1" x14ac:dyDescent="0.3">
      <c r="B160" s="365">
        <v>40850</v>
      </c>
      <c r="C160" s="367">
        <v>2.5249999999999999</v>
      </c>
    </row>
    <row r="161" spans="2:3" ht="15.75" thickBot="1" x14ac:dyDescent="0.3">
      <c r="B161" s="366">
        <v>40849</v>
      </c>
      <c r="C161" s="368">
        <v>2.5249999999999999</v>
      </c>
    </row>
    <row r="162" spans="2:3" ht="15.75" thickBot="1" x14ac:dyDescent="0.3">
      <c r="B162" s="365">
        <v>40848</v>
      </c>
      <c r="C162" s="367">
        <v>2.5249999999999999</v>
      </c>
    </row>
    <row r="163" spans="2:3" ht="15.75" thickBot="1" x14ac:dyDescent="0.3">
      <c r="B163" s="366">
        <v>40847</v>
      </c>
      <c r="C163" s="368">
        <v>2.5249999999999999</v>
      </c>
    </row>
    <row r="164" spans="2:3" ht="15.75" thickBot="1" x14ac:dyDescent="0.3">
      <c r="B164" s="365">
        <v>40844</v>
      </c>
      <c r="C164" s="367">
        <v>2.5249999999999999</v>
      </c>
    </row>
    <row r="165" spans="2:3" ht="15.75" thickBot="1" x14ac:dyDescent="0.3">
      <c r="B165" s="366">
        <v>40843</v>
      </c>
      <c r="C165" s="368">
        <v>2.5249999999999999</v>
      </c>
    </row>
    <row r="166" spans="2:3" ht="15.75" thickBot="1" x14ac:dyDescent="0.3">
      <c r="B166" s="365">
        <v>40842</v>
      </c>
      <c r="C166" s="367">
        <v>2.5249999999999999</v>
      </c>
    </row>
    <row r="167" spans="2:3" ht="15.75" thickBot="1" x14ac:dyDescent="0.3">
      <c r="B167" s="366">
        <v>40841</v>
      </c>
      <c r="C167" s="368">
        <v>2.5249999999999999</v>
      </c>
    </row>
    <row r="168" spans="2:3" ht="15.75" thickBot="1" x14ac:dyDescent="0.3">
      <c r="B168" s="365">
        <v>40840</v>
      </c>
      <c r="C168" s="367">
        <v>2.5249999999999999</v>
      </c>
    </row>
    <row r="169" spans="2:3" ht="15.75" thickBot="1" x14ac:dyDescent="0.3">
      <c r="B169" s="366">
        <v>40837</v>
      </c>
      <c r="C169" s="368">
        <v>2.5249999999999999</v>
      </c>
    </row>
    <row r="170" spans="2:3" ht="15.75" thickBot="1" x14ac:dyDescent="0.3">
      <c r="B170" s="365">
        <v>40836</v>
      </c>
      <c r="C170" s="367">
        <v>2.5249999999999999</v>
      </c>
    </row>
    <row r="171" spans="2:3" ht="15.75" thickBot="1" x14ac:dyDescent="0.3">
      <c r="B171" s="366">
        <v>40835</v>
      </c>
      <c r="C171" s="368">
        <v>2.5249999999999999</v>
      </c>
    </row>
    <row r="172" spans="2:3" ht="15.75" thickBot="1" x14ac:dyDescent="0.3">
      <c r="B172" s="365">
        <v>40834</v>
      </c>
      <c r="C172" s="367">
        <v>2.5249999999999999</v>
      </c>
    </row>
    <row r="173" spans="2:3" ht="15.75" thickBot="1" x14ac:dyDescent="0.3">
      <c r="B173" s="366">
        <v>40830</v>
      </c>
      <c r="C173" s="368">
        <v>2.5249999999999999</v>
      </c>
    </row>
    <row r="174" spans="2:3" ht="15.75" thickBot="1" x14ac:dyDescent="0.3">
      <c r="B174" s="365">
        <v>40829</v>
      </c>
      <c r="C174" s="367">
        <v>2.5249999999999999</v>
      </c>
    </row>
    <row r="175" spans="2:3" ht="15.75" thickBot="1" x14ac:dyDescent="0.3">
      <c r="B175" s="366">
        <v>40828</v>
      </c>
      <c r="C175" s="368">
        <v>2.5249999999999999</v>
      </c>
    </row>
    <row r="176" spans="2:3" ht="15.75" thickBot="1" x14ac:dyDescent="0.3">
      <c r="B176" s="365">
        <v>40827</v>
      </c>
      <c r="C176" s="367">
        <v>2.5249999999999999</v>
      </c>
    </row>
    <row r="177" spans="2:3" ht="15.75" thickBot="1" x14ac:dyDescent="0.3">
      <c r="B177" s="366">
        <v>40826</v>
      </c>
      <c r="C177" s="368">
        <v>2.5249999999999999</v>
      </c>
    </row>
    <row r="178" spans="2:3" ht="15.75" thickBot="1" x14ac:dyDescent="0.3">
      <c r="B178" s="365">
        <v>40823</v>
      </c>
      <c r="C178" s="367">
        <v>2.5249999999999999</v>
      </c>
    </row>
    <row r="179" spans="2:3" ht="15.75" thickBot="1" x14ac:dyDescent="0.3">
      <c r="B179" s="366">
        <v>40822</v>
      </c>
      <c r="C179" s="368">
        <v>2.63</v>
      </c>
    </row>
    <row r="180" spans="2:3" ht="15.75" thickBot="1" x14ac:dyDescent="0.3">
      <c r="B180" s="365">
        <v>40821</v>
      </c>
      <c r="C180" s="367">
        <v>2.63</v>
      </c>
    </row>
    <row r="181" spans="2:3" ht="15.75" thickBot="1" x14ac:dyDescent="0.3">
      <c r="B181" s="366">
        <v>40820</v>
      </c>
      <c r="C181" s="368">
        <v>2.63</v>
      </c>
    </row>
    <row r="182" spans="2:3" ht="15.75" thickBot="1" x14ac:dyDescent="0.3">
      <c r="B182" s="365">
        <v>40819</v>
      </c>
      <c r="C182" s="367">
        <v>2.63</v>
      </c>
    </row>
    <row r="183" spans="2:3" ht="15.75" thickBot="1" x14ac:dyDescent="0.3">
      <c r="B183" s="366">
        <v>40816</v>
      </c>
      <c r="C183" s="368">
        <v>2.63</v>
      </c>
    </row>
    <row r="184" spans="2:3" ht="15.75" thickBot="1" x14ac:dyDescent="0.3">
      <c r="B184" s="365">
        <v>40815</v>
      </c>
      <c r="C184" s="367">
        <v>2.63</v>
      </c>
    </row>
    <row r="185" spans="2:3" ht="15.75" thickBot="1" x14ac:dyDescent="0.3">
      <c r="B185" s="366">
        <v>40814</v>
      </c>
      <c r="C185" s="368">
        <v>2.63</v>
      </c>
    </row>
    <row r="186" spans="2:3" ht="15.75" thickBot="1" x14ac:dyDescent="0.3">
      <c r="B186" s="365">
        <v>40813</v>
      </c>
      <c r="C186" s="367">
        <v>2.63</v>
      </c>
    </row>
    <row r="187" spans="2:3" ht="15.75" thickBot="1" x14ac:dyDescent="0.3">
      <c r="B187" s="366">
        <v>40812</v>
      </c>
      <c r="C187" s="368">
        <v>2.63</v>
      </c>
    </row>
    <row r="188" spans="2:3" ht="15.75" thickBot="1" x14ac:dyDescent="0.3">
      <c r="B188" s="365">
        <v>40809</v>
      </c>
      <c r="C188" s="367">
        <v>2.63</v>
      </c>
    </row>
    <row r="189" spans="2:3" ht="15.75" thickBot="1" x14ac:dyDescent="0.3">
      <c r="B189" s="366">
        <v>40807</v>
      </c>
      <c r="C189" s="368">
        <v>2.63</v>
      </c>
    </row>
    <row r="190" spans="2:3" ht="15.75" thickBot="1" x14ac:dyDescent="0.3">
      <c r="B190" s="365">
        <v>40806</v>
      </c>
      <c r="C190" s="367">
        <v>2.63</v>
      </c>
    </row>
    <row r="191" spans="2:3" ht="15.75" thickBot="1" x14ac:dyDescent="0.3">
      <c r="B191" s="366">
        <v>40805</v>
      </c>
      <c r="C191" s="368">
        <v>2.63</v>
      </c>
    </row>
    <row r="192" spans="2:3" ht="15.75" thickBot="1" x14ac:dyDescent="0.3">
      <c r="B192" s="365">
        <v>40802</v>
      </c>
      <c r="C192" s="367">
        <v>2.63</v>
      </c>
    </row>
    <row r="193" spans="2:3" ht="15.75" thickBot="1" x14ac:dyDescent="0.3">
      <c r="B193" s="366">
        <v>40801</v>
      </c>
      <c r="C193" s="368">
        <v>2.63</v>
      </c>
    </row>
    <row r="194" spans="2:3" ht="15.75" thickBot="1" x14ac:dyDescent="0.3">
      <c r="B194" s="365">
        <v>40800</v>
      </c>
      <c r="C194" s="367">
        <v>2.63</v>
      </c>
    </row>
    <row r="195" spans="2:3" ht="15.75" thickBot="1" x14ac:dyDescent="0.3">
      <c r="B195" s="366">
        <v>40799</v>
      </c>
      <c r="C195" s="368">
        <v>2.63</v>
      </c>
    </row>
    <row r="196" spans="2:3" ht="15.75" thickBot="1" x14ac:dyDescent="0.3">
      <c r="B196" s="365">
        <v>40798</v>
      </c>
      <c r="C196" s="367">
        <v>2.63</v>
      </c>
    </row>
    <row r="197" spans="2:3" ht="15.75" thickBot="1" x14ac:dyDescent="0.3">
      <c r="B197" s="366">
        <v>40795</v>
      </c>
      <c r="C197" s="368">
        <v>2.63</v>
      </c>
    </row>
    <row r="198" spans="2:3" ht="15.75" thickBot="1" x14ac:dyDescent="0.3">
      <c r="B198" s="365">
        <v>40794</v>
      </c>
      <c r="C198" s="367">
        <v>2.63</v>
      </c>
    </row>
    <row r="199" spans="2:3" ht="15.75" thickBot="1" x14ac:dyDescent="0.3">
      <c r="B199" s="366">
        <v>40793</v>
      </c>
      <c r="C199" s="368">
        <v>2.63</v>
      </c>
    </row>
    <row r="200" spans="2:3" ht="15.75" thickBot="1" x14ac:dyDescent="0.3">
      <c r="B200" s="365">
        <v>40792</v>
      </c>
      <c r="C200" s="367">
        <v>2.63</v>
      </c>
    </row>
    <row r="201" spans="2:3" ht="15.75" thickBot="1" x14ac:dyDescent="0.3">
      <c r="B201" s="366">
        <v>40791</v>
      </c>
      <c r="C201" s="368">
        <v>2.63</v>
      </c>
    </row>
    <row r="202" spans="2:3" ht="15.75" thickBot="1" x14ac:dyDescent="0.3">
      <c r="B202" s="365">
        <v>40788</v>
      </c>
      <c r="C202" s="367">
        <v>2.63</v>
      </c>
    </row>
    <row r="203" spans="2:3" ht="15.75" thickBot="1" x14ac:dyDescent="0.3">
      <c r="B203" s="366">
        <v>40786</v>
      </c>
      <c r="C203" s="368">
        <v>2.63</v>
      </c>
    </row>
    <row r="204" spans="2:3" ht="15.75" thickBot="1" x14ac:dyDescent="0.3">
      <c r="B204" s="365">
        <v>40785</v>
      </c>
      <c r="C204" s="367">
        <v>2.63</v>
      </c>
    </row>
    <row r="205" spans="2:3" ht="15.75" thickBot="1" x14ac:dyDescent="0.3">
      <c r="B205" s="366">
        <v>40784</v>
      </c>
      <c r="C205" s="368">
        <v>2.63</v>
      </c>
    </row>
    <row r="206" spans="2:3" ht="15.75" thickBot="1" x14ac:dyDescent="0.3">
      <c r="B206" s="365">
        <v>40781</v>
      </c>
      <c r="C206" s="367">
        <v>2.63</v>
      </c>
    </row>
    <row r="207" spans="2:3" ht="15.75" thickBot="1" x14ac:dyDescent="0.3">
      <c r="B207" s="366">
        <v>40780</v>
      </c>
      <c r="C207" s="368">
        <v>2.63</v>
      </c>
    </row>
    <row r="208" spans="2:3" ht="15.75" thickBot="1" x14ac:dyDescent="0.3">
      <c r="B208" s="365">
        <v>40779</v>
      </c>
      <c r="C208" s="367">
        <v>2.625</v>
      </c>
    </row>
    <row r="209" spans="2:3" ht="15.75" thickBot="1" x14ac:dyDescent="0.3">
      <c r="B209" s="366">
        <v>40778</v>
      </c>
      <c r="C209" s="368">
        <v>2.6349999999999998</v>
      </c>
    </row>
    <row r="210" spans="2:3" ht="15.75" thickBot="1" x14ac:dyDescent="0.3">
      <c r="B210" s="365">
        <v>40777</v>
      </c>
      <c r="C210" s="367">
        <v>2.63</v>
      </c>
    </row>
    <row r="211" spans="2:3" ht="15.75" thickBot="1" x14ac:dyDescent="0.3">
      <c r="B211" s="366">
        <v>40773</v>
      </c>
      <c r="C211" s="368">
        <v>2.75</v>
      </c>
    </row>
    <row r="212" spans="2:3" ht="15.75" thickBot="1" x14ac:dyDescent="0.3">
      <c r="B212" s="365">
        <v>40772</v>
      </c>
      <c r="C212" s="367">
        <v>2.75</v>
      </c>
    </row>
    <row r="213" spans="2:3" ht="15.75" thickBot="1" x14ac:dyDescent="0.3">
      <c r="B213" s="366">
        <v>40771</v>
      </c>
      <c r="C213" s="368">
        <v>2.75</v>
      </c>
    </row>
    <row r="214" spans="2:3" ht="15.75" thickBot="1" x14ac:dyDescent="0.3">
      <c r="B214" s="365">
        <v>40767</v>
      </c>
      <c r="C214" s="367">
        <v>2.75</v>
      </c>
    </row>
    <row r="215" spans="2:3" ht="15.75" thickBot="1" x14ac:dyDescent="0.3">
      <c r="B215" s="366">
        <v>40766</v>
      </c>
      <c r="C215" s="368">
        <v>2.75</v>
      </c>
    </row>
    <row r="216" spans="2:3" ht="15.75" thickBot="1" x14ac:dyDescent="0.3">
      <c r="B216" s="365">
        <v>40765</v>
      </c>
      <c r="C216" s="367">
        <v>2.75</v>
      </c>
    </row>
    <row r="217" spans="2:3" ht="15.75" thickBot="1" x14ac:dyDescent="0.3">
      <c r="B217" s="366">
        <v>40764</v>
      </c>
      <c r="C217" s="368">
        <v>2.75</v>
      </c>
    </row>
    <row r="218" spans="2:3" ht="15.75" thickBot="1" x14ac:dyDescent="0.3">
      <c r="B218" s="365">
        <v>40763</v>
      </c>
      <c r="C218" s="367">
        <v>2.75</v>
      </c>
    </row>
    <row r="219" spans="2:3" ht="15.75" thickBot="1" x14ac:dyDescent="0.3">
      <c r="B219" s="366">
        <v>40760</v>
      </c>
      <c r="C219" s="368">
        <v>2.75</v>
      </c>
    </row>
    <row r="220" spans="2:3" ht="15.75" thickBot="1" x14ac:dyDescent="0.3">
      <c r="B220" s="365">
        <v>40759</v>
      </c>
      <c r="C220" s="367">
        <v>2.75</v>
      </c>
    </row>
    <row r="221" spans="2:3" ht="15.75" thickBot="1" x14ac:dyDescent="0.3">
      <c r="B221" s="366">
        <v>40758</v>
      </c>
      <c r="C221" s="368">
        <v>2.75</v>
      </c>
    </row>
    <row r="222" spans="2:3" ht="15.75" thickBot="1" x14ac:dyDescent="0.3">
      <c r="B222" s="365">
        <v>40757</v>
      </c>
      <c r="C222" s="367">
        <v>2.75</v>
      </c>
    </row>
    <row r="223" spans="2:3" ht="15.75" thickBot="1" x14ac:dyDescent="0.3">
      <c r="B223" s="366">
        <v>40756</v>
      </c>
      <c r="C223" s="368">
        <v>2.75</v>
      </c>
    </row>
    <row r="224" spans="2:3" ht="15.75" thickBot="1" x14ac:dyDescent="0.3">
      <c r="B224" s="365">
        <v>40753</v>
      </c>
      <c r="C224" s="367">
        <v>2.75</v>
      </c>
    </row>
    <row r="225" spans="2:3" ht="15.75" thickBot="1" x14ac:dyDescent="0.3">
      <c r="B225" s="366">
        <v>40752</v>
      </c>
      <c r="C225" s="368">
        <v>2.75</v>
      </c>
    </row>
    <row r="226" spans="2:3" ht="15.75" thickBot="1" x14ac:dyDescent="0.3">
      <c r="B226" s="365">
        <v>40751</v>
      </c>
      <c r="C226" s="367">
        <v>2.75</v>
      </c>
    </row>
    <row r="227" spans="2:3" ht="15.75" thickBot="1" x14ac:dyDescent="0.3">
      <c r="B227" s="366">
        <v>40750</v>
      </c>
      <c r="C227" s="368">
        <v>2.75</v>
      </c>
    </row>
    <row r="228" spans="2:3" ht="15.75" thickBot="1" x14ac:dyDescent="0.3">
      <c r="B228" s="365">
        <v>40749</v>
      </c>
      <c r="C228" s="367">
        <v>2.75</v>
      </c>
    </row>
    <row r="229" spans="2:3" ht="15.75" thickBot="1" x14ac:dyDescent="0.3">
      <c r="B229" s="366">
        <v>40746</v>
      </c>
      <c r="C229" s="368">
        <v>2.75</v>
      </c>
    </row>
    <row r="230" spans="2:3" ht="15.75" thickBot="1" x14ac:dyDescent="0.3">
      <c r="B230" s="365">
        <v>40745</v>
      </c>
      <c r="C230" s="367">
        <v>2.75</v>
      </c>
    </row>
    <row r="231" spans="2:3" ht="15.75" thickBot="1" x14ac:dyDescent="0.3">
      <c r="B231" s="366">
        <v>40743</v>
      </c>
      <c r="C231" s="368">
        <v>2.75</v>
      </c>
    </row>
    <row r="232" spans="2:3" ht="15.75" thickBot="1" x14ac:dyDescent="0.3">
      <c r="B232" s="365">
        <v>40742</v>
      </c>
      <c r="C232" s="367">
        <v>2.75</v>
      </c>
    </row>
    <row r="233" spans="2:3" ht="15.75" thickBot="1" x14ac:dyDescent="0.3">
      <c r="B233" s="366">
        <v>40739</v>
      </c>
      <c r="C233" s="368">
        <v>2.75</v>
      </c>
    </row>
    <row r="234" spans="2:3" ht="15.75" thickBot="1" x14ac:dyDescent="0.3">
      <c r="B234" s="365">
        <v>40738</v>
      </c>
      <c r="C234" s="367">
        <v>2.7349999999999999</v>
      </c>
    </row>
    <row r="235" spans="2:3" ht="15.75" thickBot="1" x14ac:dyDescent="0.3">
      <c r="B235" s="366">
        <v>40737</v>
      </c>
      <c r="C235" s="368">
        <v>2.8450000000000002</v>
      </c>
    </row>
    <row r="236" spans="2:3" ht="15.75" thickBot="1" x14ac:dyDescent="0.3">
      <c r="B236" s="365">
        <v>40736</v>
      </c>
      <c r="C236" s="367">
        <v>2.8450000000000002</v>
      </c>
    </row>
    <row r="237" spans="2:3" ht="15.75" thickBot="1" x14ac:dyDescent="0.3">
      <c r="B237" s="366">
        <v>40735</v>
      </c>
      <c r="C237" s="368">
        <v>2.8450000000000002</v>
      </c>
    </row>
    <row r="238" spans="2:3" ht="15.75" thickBot="1" x14ac:dyDescent="0.3">
      <c r="B238" s="365">
        <v>40732</v>
      </c>
      <c r="C238" s="367">
        <v>2.8450000000000002</v>
      </c>
    </row>
    <row r="239" spans="2:3" ht="15.75" thickBot="1" x14ac:dyDescent="0.3">
      <c r="B239" s="366">
        <v>40731</v>
      </c>
      <c r="C239" s="368">
        <v>2.8450000000000002</v>
      </c>
    </row>
    <row r="240" spans="2:3" ht="15.75" thickBot="1" x14ac:dyDescent="0.3">
      <c r="B240" s="365">
        <v>40730</v>
      </c>
      <c r="C240" s="367">
        <v>2.8450000000000002</v>
      </c>
    </row>
    <row r="241" spans="2:3" ht="15.75" thickBot="1" x14ac:dyDescent="0.3">
      <c r="B241" s="366">
        <v>40729</v>
      </c>
      <c r="C241" s="368">
        <v>2.8450000000000002</v>
      </c>
    </row>
    <row r="242" spans="2:3" ht="15.75" thickBot="1" x14ac:dyDescent="0.3">
      <c r="B242" s="365">
        <v>40725</v>
      </c>
      <c r="C242" s="367">
        <v>2.8450000000000002</v>
      </c>
    </row>
    <row r="243" spans="2:3" ht="15.75" thickBot="1" x14ac:dyDescent="0.3">
      <c r="B243" s="366">
        <v>40724</v>
      </c>
      <c r="C243" s="368">
        <v>2.8450000000000002</v>
      </c>
    </row>
    <row r="244" spans="2:3" ht="15.75" thickBot="1" x14ac:dyDescent="0.3">
      <c r="B244" s="365">
        <v>40723</v>
      </c>
      <c r="C244" s="367">
        <v>2.8450000000000002</v>
      </c>
    </row>
    <row r="245" spans="2:3" ht="15.75" thickBot="1" x14ac:dyDescent="0.3">
      <c r="B245" s="366">
        <v>40722</v>
      </c>
      <c r="C245" s="368">
        <v>2.8450000000000002</v>
      </c>
    </row>
    <row r="246" spans="2:3" ht="15.75" thickBot="1" x14ac:dyDescent="0.3">
      <c r="B246" s="365">
        <v>40718</v>
      </c>
      <c r="C246" s="367">
        <v>2.8450000000000002</v>
      </c>
    </row>
    <row r="247" spans="2:3" ht="15.75" thickBot="1" x14ac:dyDescent="0.3">
      <c r="B247" s="366">
        <v>40717</v>
      </c>
      <c r="C247" s="368">
        <v>2.8450000000000002</v>
      </c>
    </row>
    <row r="248" spans="2:3" ht="15.75" thickBot="1" x14ac:dyDescent="0.3">
      <c r="B248" s="365">
        <v>40716</v>
      </c>
      <c r="C248" s="367">
        <v>2.8450000000000002</v>
      </c>
    </row>
    <row r="249" spans="2:3" ht="15.75" thickBot="1" x14ac:dyDescent="0.3">
      <c r="B249" s="366">
        <v>40715</v>
      </c>
      <c r="C249" s="368">
        <v>2.8450000000000002</v>
      </c>
    </row>
    <row r="250" spans="2:3" ht="15.75" thickBot="1" x14ac:dyDescent="0.3">
      <c r="B250" s="365">
        <v>40714</v>
      </c>
      <c r="C250" s="367">
        <v>2.8450000000000002</v>
      </c>
    </row>
    <row r="251" spans="2:3" ht="15.75" thickBot="1" x14ac:dyDescent="0.3">
      <c r="B251" s="366">
        <v>40711</v>
      </c>
      <c r="C251" s="368">
        <v>2.8450000000000002</v>
      </c>
    </row>
    <row r="252" spans="2:3" ht="15.75" thickBot="1" x14ac:dyDescent="0.3">
      <c r="B252" s="365">
        <v>40710</v>
      </c>
      <c r="C252" s="367">
        <v>2.8450000000000002</v>
      </c>
    </row>
    <row r="253" spans="2:3" ht="15.75" thickBot="1" x14ac:dyDescent="0.3">
      <c r="B253" s="366">
        <v>40709</v>
      </c>
      <c r="C253" s="368">
        <v>2.8450000000000002</v>
      </c>
    </row>
    <row r="254" spans="2:3" ht="15.75" thickBot="1" x14ac:dyDescent="0.3">
      <c r="B254" s="365">
        <v>40708</v>
      </c>
      <c r="C254" s="367">
        <v>2.8450000000000002</v>
      </c>
    </row>
    <row r="255" spans="2:3" ht="15.75" thickBot="1" x14ac:dyDescent="0.3">
      <c r="B255" s="366">
        <v>40707</v>
      </c>
      <c r="C255" s="368">
        <v>2.8450000000000002</v>
      </c>
    </row>
    <row r="256" spans="2:3" ht="15.75" thickBot="1" x14ac:dyDescent="0.3">
      <c r="B256" s="365">
        <v>40704</v>
      </c>
      <c r="C256" s="367">
        <v>2.8450000000000002</v>
      </c>
    </row>
    <row r="257" spans="2:3" ht="15.75" thickBot="1" x14ac:dyDescent="0.3">
      <c r="B257" s="366">
        <v>40703</v>
      </c>
      <c r="C257" s="368">
        <v>2.8450000000000002</v>
      </c>
    </row>
    <row r="258" spans="2:3" ht="15.75" thickBot="1" x14ac:dyDescent="0.3">
      <c r="B258" s="365">
        <v>40702</v>
      </c>
      <c r="C258" s="367">
        <v>2.8450000000000002</v>
      </c>
    </row>
    <row r="259" spans="2:3" ht="15.75" thickBot="1" x14ac:dyDescent="0.3">
      <c r="B259" s="366">
        <v>40701</v>
      </c>
      <c r="C259" s="368">
        <v>2.85</v>
      </c>
    </row>
    <row r="260" spans="2:3" ht="15.75" thickBot="1" x14ac:dyDescent="0.3">
      <c r="B260" s="365">
        <v>40697</v>
      </c>
      <c r="C260" s="367">
        <v>2.85</v>
      </c>
    </row>
    <row r="261" spans="2:3" ht="15.75" thickBot="1" x14ac:dyDescent="0.3">
      <c r="B261" s="366">
        <v>40696</v>
      </c>
      <c r="C261" s="368">
        <v>2.7749999999999999</v>
      </c>
    </row>
    <row r="262" spans="2:3" ht="15.75" thickBot="1" x14ac:dyDescent="0.3">
      <c r="B262" s="365">
        <v>40695</v>
      </c>
      <c r="C262" s="367">
        <v>2.7749999999999999</v>
      </c>
    </row>
    <row r="263" spans="2:3" ht="15.75" thickBot="1" x14ac:dyDescent="0.3">
      <c r="B263" s="366">
        <v>40694</v>
      </c>
      <c r="C263" s="368">
        <v>2.7749999999999999</v>
      </c>
    </row>
    <row r="264" spans="2:3" ht="15.75" thickBot="1" x14ac:dyDescent="0.3">
      <c r="B264" s="365">
        <v>40693</v>
      </c>
      <c r="C264" s="367">
        <v>2.7749999999999999</v>
      </c>
    </row>
    <row r="265" spans="2:3" ht="15.75" thickBot="1" x14ac:dyDescent="0.3">
      <c r="B265" s="366">
        <v>40690</v>
      </c>
      <c r="C265" s="368">
        <v>2.7749999999999999</v>
      </c>
    </row>
    <row r="266" spans="2:3" ht="15.75" thickBot="1" x14ac:dyDescent="0.3">
      <c r="B266" s="365">
        <v>40689</v>
      </c>
      <c r="C266" s="367">
        <v>2.7749999999999999</v>
      </c>
    </row>
    <row r="267" spans="2:3" ht="15.75" thickBot="1" x14ac:dyDescent="0.3">
      <c r="B267" s="366">
        <v>40688</v>
      </c>
      <c r="C267" s="368">
        <v>2.89</v>
      </c>
    </row>
    <row r="268" spans="2:3" ht="15.75" thickBot="1" x14ac:dyDescent="0.3">
      <c r="B268" s="365">
        <v>40686</v>
      </c>
      <c r="C268" s="367">
        <v>2.89</v>
      </c>
    </row>
    <row r="269" spans="2:3" ht="15.75" thickBot="1" x14ac:dyDescent="0.3">
      <c r="B269" s="366">
        <v>40683</v>
      </c>
      <c r="C269" s="368">
        <v>2.89</v>
      </c>
    </row>
    <row r="270" spans="2:3" ht="15.75" thickBot="1" x14ac:dyDescent="0.3">
      <c r="B270" s="365">
        <v>40682</v>
      </c>
      <c r="C270" s="367">
        <v>2.89</v>
      </c>
    </row>
    <row r="271" spans="2:3" ht="15.75" thickBot="1" x14ac:dyDescent="0.3">
      <c r="B271" s="366">
        <v>40681</v>
      </c>
      <c r="C271" s="368">
        <v>2.89</v>
      </c>
    </row>
    <row r="272" spans="2:3" ht="15.75" thickBot="1" x14ac:dyDescent="0.3">
      <c r="B272" s="365">
        <v>40680</v>
      </c>
      <c r="C272" s="367">
        <v>2.89</v>
      </c>
    </row>
    <row r="273" spans="2:3" ht="15.75" thickBot="1" x14ac:dyDescent="0.3">
      <c r="B273" s="366">
        <v>40679</v>
      </c>
      <c r="C273" s="368">
        <v>2.7949999999999999</v>
      </c>
    </row>
    <row r="274" spans="2:3" ht="15.75" thickBot="1" x14ac:dyDescent="0.3">
      <c r="B274" s="365">
        <v>40676</v>
      </c>
      <c r="C274" s="367">
        <v>2.7949999999999999</v>
      </c>
    </row>
    <row r="275" spans="2:3" ht="15.75" thickBot="1" x14ac:dyDescent="0.3">
      <c r="B275" s="366">
        <v>40675</v>
      </c>
      <c r="C275" s="368">
        <v>2.7949999999999999</v>
      </c>
    </row>
    <row r="276" spans="2:3" ht="15.75" thickBot="1" x14ac:dyDescent="0.3">
      <c r="B276" s="365">
        <v>40674</v>
      </c>
      <c r="C276" s="367">
        <v>2.7949999999999999</v>
      </c>
    </row>
    <row r="277" spans="2:3" ht="15.75" thickBot="1" x14ac:dyDescent="0.3">
      <c r="B277" s="366">
        <v>40673</v>
      </c>
      <c r="C277" s="368">
        <v>2.7949999999999999</v>
      </c>
    </row>
    <row r="278" spans="2:3" ht="15.75" thickBot="1" x14ac:dyDescent="0.3">
      <c r="B278" s="365">
        <v>40672</v>
      </c>
      <c r="C278" s="367">
        <v>2.7949999999999999</v>
      </c>
    </row>
    <row r="279" spans="2:3" ht="15.75" thickBot="1" x14ac:dyDescent="0.3">
      <c r="B279" s="366">
        <v>40669</v>
      </c>
      <c r="C279" s="368">
        <v>2.7949999999999999</v>
      </c>
    </row>
    <row r="280" spans="2:3" ht="15.75" thickBot="1" x14ac:dyDescent="0.3">
      <c r="B280" s="365">
        <v>40668</v>
      </c>
      <c r="C280" s="367">
        <v>2.855</v>
      </c>
    </row>
    <row r="281" spans="2:3" ht="15.75" thickBot="1" x14ac:dyDescent="0.3">
      <c r="B281" s="366">
        <v>40667</v>
      </c>
      <c r="C281" s="368">
        <v>2.855</v>
      </c>
    </row>
    <row r="282" spans="2:3" ht="15.75" thickBot="1" x14ac:dyDescent="0.3">
      <c r="B282" s="365">
        <v>40666</v>
      </c>
      <c r="C282" s="367">
        <v>2.855</v>
      </c>
    </row>
    <row r="283" spans="2:3" ht="15.75" thickBot="1" x14ac:dyDescent="0.3">
      <c r="B283" s="366">
        <v>40665</v>
      </c>
      <c r="C283" s="368">
        <v>2.855</v>
      </c>
    </row>
    <row r="284" spans="2:3" ht="15.75" thickBot="1" x14ac:dyDescent="0.3">
      <c r="B284" s="365">
        <v>40662</v>
      </c>
      <c r="C284" s="367">
        <v>2.855</v>
      </c>
    </row>
    <row r="285" spans="2:3" ht="15.75" thickBot="1" x14ac:dyDescent="0.3">
      <c r="B285" s="366">
        <v>40661</v>
      </c>
      <c r="C285" s="368">
        <v>2.9</v>
      </c>
    </row>
    <row r="286" spans="2:3" ht="15.75" thickBot="1" x14ac:dyDescent="0.3">
      <c r="B286" s="365">
        <v>40660</v>
      </c>
      <c r="C286" s="367">
        <v>2.9</v>
      </c>
    </row>
    <row r="287" spans="2:3" ht="15.75" thickBot="1" x14ac:dyDescent="0.3">
      <c r="B287" s="366">
        <v>40659</v>
      </c>
      <c r="C287" s="368">
        <v>2.9</v>
      </c>
    </row>
    <row r="288" spans="2:3" ht="15.75" thickBot="1" x14ac:dyDescent="0.3">
      <c r="B288" s="365">
        <v>40658</v>
      </c>
      <c r="C288" s="367">
        <v>2.9</v>
      </c>
    </row>
    <row r="289" spans="2:3" ht="15.75" thickBot="1" x14ac:dyDescent="0.3">
      <c r="B289" s="366">
        <v>40653</v>
      </c>
      <c r="C289" s="368">
        <v>2.91</v>
      </c>
    </row>
    <row r="290" spans="2:3" ht="15.75" thickBot="1" x14ac:dyDescent="0.3">
      <c r="B290" s="365">
        <v>40652</v>
      </c>
      <c r="C290" s="367">
        <v>2.85</v>
      </c>
    </row>
    <row r="291" spans="2:3" ht="15.75" thickBot="1" x14ac:dyDescent="0.3">
      <c r="B291" s="366">
        <v>40651</v>
      </c>
      <c r="C291" s="368">
        <v>2.85</v>
      </c>
    </row>
    <row r="292" spans="2:3" ht="15.75" thickBot="1" x14ac:dyDescent="0.3">
      <c r="B292" s="365">
        <v>40648</v>
      </c>
      <c r="C292" s="367">
        <v>2.85</v>
      </c>
    </row>
    <row r="293" spans="2:3" ht="15.75" thickBot="1" x14ac:dyDescent="0.3">
      <c r="B293" s="366">
        <v>40647</v>
      </c>
      <c r="C293" s="368">
        <v>2.81</v>
      </c>
    </row>
    <row r="294" spans="2:3" ht="15.75" thickBot="1" x14ac:dyDescent="0.3">
      <c r="B294" s="365">
        <v>40646</v>
      </c>
      <c r="C294" s="367">
        <v>2.75</v>
      </c>
    </row>
    <row r="295" spans="2:3" ht="15.75" thickBot="1" x14ac:dyDescent="0.3">
      <c r="B295" s="366">
        <v>40645</v>
      </c>
      <c r="C295" s="368">
        <v>2.67</v>
      </c>
    </row>
    <row r="296" spans="2:3" ht="15.75" thickBot="1" x14ac:dyDescent="0.3">
      <c r="B296" s="365">
        <v>40644</v>
      </c>
      <c r="C296" s="367">
        <v>2.68</v>
      </c>
    </row>
    <row r="297" spans="2:3" ht="15.75" thickBot="1" x14ac:dyDescent="0.3">
      <c r="B297" s="366">
        <v>40641</v>
      </c>
      <c r="C297" s="368">
        <v>2.6</v>
      </c>
    </row>
    <row r="298" spans="2:3" ht="15.75" thickBot="1" x14ac:dyDescent="0.3">
      <c r="B298" s="365">
        <v>40639</v>
      </c>
      <c r="C298" s="367">
        <v>2.585</v>
      </c>
    </row>
    <row r="299" spans="2:3" ht="15.75" thickBot="1" x14ac:dyDescent="0.3">
      <c r="B299" s="366">
        <v>40638</v>
      </c>
      <c r="C299" s="368">
        <v>2.5950000000000002</v>
      </c>
    </row>
    <row r="300" spans="2:3" ht="15.75" thickBot="1" x14ac:dyDescent="0.3">
      <c r="B300" s="365">
        <v>40637</v>
      </c>
      <c r="C300" s="367">
        <v>2.5950000000000002</v>
      </c>
    </row>
    <row r="301" spans="2:3" ht="15.75" thickBot="1" x14ac:dyDescent="0.3">
      <c r="B301" s="366">
        <v>40634</v>
      </c>
      <c r="C301" s="368">
        <v>2.5950000000000002</v>
      </c>
    </row>
    <row r="302" spans="2:3" ht="15.75" thickBot="1" x14ac:dyDescent="0.3">
      <c r="B302" s="365">
        <v>40633</v>
      </c>
      <c r="C302" s="367">
        <v>2.59</v>
      </c>
    </row>
    <row r="303" spans="2:3" ht="15.75" thickBot="1" x14ac:dyDescent="0.3">
      <c r="B303" s="366">
        <v>40632</v>
      </c>
      <c r="C303" s="368">
        <v>2.59</v>
      </c>
    </row>
    <row r="304" spans="2:3" ht="15.75" thickBot="1" x14ac:dyDescent="0.3">
      <c r="B304" s="365">
        <v>40631</v>
      </c>
      <c r="C304" s="367">
        <v>2.59</v>
      </c>
    </row>
    <row r="305" spans="2:3" ht="15.75" thickBot="1" x14ac:dyDescent="0.3">
      <c r="B305" s="366">
        <v>40630</v>
      </c>
      <c r="C305" s="368">
        <v>2.59</v>
      </c>
    </row>
    <row r="306" spans="2:3" ht="15.75" thickBot="1" x14ac:dyDescent="0.3">
      <c r="B306" s="365">
        <v>40627</v>
      </c>
      <c r="C306" s="367">
        <v>2.59</v>
      </c>
    </row>
    <row r="307" spans="2:3" ht="15.75" thickBot="1" x14ac:dyDescent="0.3">
      <c r="B307" s="366">
        <v>40626</v>
      </c>
      <c r="C307" s="368">
        <v>2.5950000000000002</v>
      </c>
    </row>
    <row r="308" spans="2:3" ht="15.75" thickBot="1" x14ac:dyDescent="0.3">
      <c r="B308" s="365">
        <v>40625</v>
      </c>
      <c r="C308" s="367">
        <v>2.59</v>
      </c>
    </row>
    <row r="309" spans="2:3" ht="15.75" thickBot="1" x14ac:dyDescent="0.3">
      <c r="B309" s="366">
        <v>40624</v>
      </c>
      <c r="C309" s="368">
        <v>2.5950000000000002</v>
      </c>
    </row>
    <row r="310" spans="2:3" ht="15.75" thickBot="1" x14ac:dyDescent="0.3">
      <c r="B310" s="365">
        <v>40620</v>
      </c>
      <c r="C310" s="367">
        <v>2.5950000000000002</v>
      </c>
    </row>
    <row r="311" spans="2:3" ht="15.75" thickBot="1" x14ac:dyDescent="0.3">
      <c r="B311" s="366">
        <v>40619</v>
      </c>
      <c r="C311" s="368">
        <v>2.5950000000000002</v>
      </c>
    </row>
    <row r="312" spans="2:3" ht="15.75" thickBot="1" x14ac:dyDescent="0.3">
      <c r="B312" s="365">
        <v>40618</v>
      </c>
      <c r="C312" s="367">
        <v>2.59</v>
      </c>
    </row>
    <row r="313" spans="2:3" ht="15.75" thickBot="1" x14ac:dyDescent="0.3">
      <c r="B313" s="366">
        <v>40617</v>
      </c>
      <c r="C313" s="368">
        <v>2.5950000000000002</v>
      </c>
    </row>
    <row r="314" spans="2:3" ht="15.75" thickBot="1" x14ac:dyDescent="0.3">
      <c r="B314" s="365">
        <v>40616</v>
      </c>
      <c r="C314" s="367">
        <v>2.585</v>
      </c>
    </row>
    <row r="315" spans="2:3" ht="15.75" thickBot="1" x14ac:dyDescent="0.3">
      <c r="B315" s="366">
        <v>40613</v>
      </c>
      <c r="C315" s="368">
        <v>2.585</v>
      </c>
    </row>
    <row r="316" spans="2:3" ht="15.75" thickBot="1" x14ac:dyDescent="0.3">
      <c r="B316" s="365">
        <v>40612</v>
      </c>
      <c r="C316" s="367">
        <v>2.585</v>
      </c>
    </row>
    <row r="317" spans="2:3" ht="15.75" thickBot="1" x14ac:dyDescent="0.3">
      <c r="B317" s="366">
        <v>40611</v>
      </c>
      <c r="C317" s="368">
        <v>2.5750000000000002</v>
      </c>
    </row>
    <row r="318" spans="2:3" ht="15.75" thickBot="1" x14ac:dyDescent="0.3">
      <c r="B318" s="365">
        <v>40609</v>
      </c>
      <c r="C318" s="367">
        <v>2.58</v>
      </c>
    </row>
    <row r="319" spans="2:3" ht="15.75" thickBot="1" x14ac:dyDescent="0.3">
      <c r="B319" s="366">
        <v>40606</v>
      </c>
      <c r="C319" s="368">
        <v>2.58</v>
      </c>
    </row>
    <row r="320" spans="2:3" ht="15.75" thickBot="1" x14ac:dyDescent="0.3">
      <c r="B320" s="365">
        <v>40605</v>
      </c>
      <c r="C320" s="367">
        <v>2.585</v>
      </c>
    </row>
    <row r="321" spans="2:3" ht="15.75" thickBot="1" x14ac:dyDescent="0.3">
      <c r="B321" s="366">
        <v>40604</v>
      </c>
      <c r="C321" s="368">
        <v>2.585</v>
      </c>
    </row>
    <row r="322" spans="2:3" ht="15.75" thickBot="1" x14ac:dyDescent="0.3">
      <c r="B322" s="365">
        <v>40603</v>
      </c>
      <c r="C322" s="367">
        <v>2.585</v>
      </c>
    </row>
    <row r="323" spans="2:3" ht="15.75" thickBot="1" x14ac:dyDescent="0.3">
      <c r="B323" s="366">
        <v>40602</v>
      </c>
      <c r="C323" s="368">
        <v>2.585</v>
      </c>
    </row>
    <row r="324" spans="2:3" ht="15.75" thickBot="1" x14ac:dyDescent="0.3">
      <c r="B324" s="365">
        <v>40599</v>
      </c>
      <c r="C324" s="367">
        <v>2.58</v>
      </c>
    </row>
    <row r="325" spans="2:3" ht="15.75" thickBot="1" x14ac:dyDescent="0.3">
      <c r="B325" s="366">
        <v>40598</v>
      </c>
      <c r="C325" s="368">
        <v>2.585</v>
      </c>
    </row>
    <row r="326" spans="2:3" ht="15.75" thickBot="1" x14ac:dyDescent="0.3">
      <c r="B326" s="365">
        <v>40597</v>
      </c>
      <c r="C326" s="367">
        <v>2.58</v>
      </c>
    </row>
    <row r="327" spans="2:3" ht="15.75" thickBot="1" x14ac:dyDescent="0.3">
      <c r="B327" s="366">
        <v>40596</v>
      </c>
      <c r="C327" s="368">
        <v>2.58</v>
      </c>
    </row>
    <row r="328" spans="2:3" ht="15.75" thickBot="1" x14ac:dyDescent="0.3">
      <c r="B328" s="365">
        <v>40595</v>
      </c>
      <c r="C328" s="367">
        <v>2.585</v>
      </c>
    </row>
    <row r="329" spans="2:3" ht="15.75" thickBot="1" x14ac:dyDescent="0.3">
      <c r="B329" s="366">
        <v>40592</v>
      </c>
      <c r="C329" s="368">
        <v>2.585</v>
      </c>
    </row>
    <row r="330" spans="2:3" ht="15.75" thickBot="1" x14ac:dyDescent="0.3">
      <c r="B330" s="365">
        <v>40591</v>
      </c>
      <c r="C330" s="367">
        <v>2.59</v>
      </c>
    </row>
    <row r="331" spans="2:3" ht="15.75" thickBot="1" x14ac:dyDescent="0.3">
      <c r="B331" s="366">
        <v>40590</v>
      </c>
      <c r="C331" s="368">
        <v>2.585</v>
      </c>
    </row>
    <row r="332" spans="2:3" ht="15.75" thickBot="1" x14ac:dyDescent="0.3">
      <c r="B332" s="365">
        <v>40589</v>
      </c>
      <c r="C332" s="367">
        <v>2.585</v>
      </c>
    </row>
    <row r="333" spans="2:3" ht="15.75" thickBot="1" x14ac:dyDescent="0.3">
      <c r="B333" s="366">
        <v>40588</v>
      </c>
      <c r="C333" s="368">
        <v>2.58</v>
      </c>
    </row>
    <row r="334" spans="2:3" ht="15.75" thickBot="1" x14ac:dyDescent="0.3">
      <c r="B334" s="365">
        <v>40585</v>
      </c>
      <c r="C334" s="367">
        <v>2.59</v>
      </c>
    </row>
    <row r="335" spans="2:3" ht="15.75" thickBot="1" x14ac:dyDescent="0.3">
      <c r="B335" s="366">
        <v>40584</v>
      </c>
      <c r="C335" s="368">
        <v>2.5750000000000002</v>
      </c>
    </row>
    <row r="336" spans="2:3" ht="15.75" thickBot="1" x14ac:dyDescent="0.3">
      <c r="B336" s="365">
        <v>40583</v>
      </c>
      <c r="C336" s="367">
        <v>2.59</v>
      </c>
    </row>
    <row r="337" spans="2:3" ht="15.75" thickBot="1" x14ac:dyDescent="0.3">
      <c r="B337" s="366">
        <v>40582</v>
      </c>
      <c r="C337" s="368">
        <v>2.59</v>
      </c>
    </row>
    <row r="338" spans="2:3" ht="15.75" thickBot="1" x14ac:dyDescent="0.3">
      <c r="B338" s="365">
        <v>40581</v>
      </c>
      <c r="C338" s="367">
        <v>2.58</v>
      </c>
    </row>
    <row r="339" spans="2:3" ht="15.75" thickBot="1" x14ac:dyDescent="0.3">
      <c r="B339" s="366">
        <v>40578</v>
      </c>
      <c r="C339" s="368">
        <v>2.585</v>
      </c>
    </row>
    <row r="340" spans="2:3" ht="15.75" thickBot="1" x14ac:dyDescent="0.3">
      <c r="B340" s="365">
        <v>40577</v>
      </c>
      <c r="C340" s="367">
        <v>2.585</v>
      </c>
    </row>
    <row r="341" spans="2:3" ht="15.75" thickBot="1" x14ac:dyDescent="0.3">
      <c r="B341" s="366">
        <v>40576</v>
      </c>
      <c r="C341" s="368">
        <v>2.5750000000000002</v>
      </c>
    </row>
    <row r="342" spans="2:3" ht="15.75" thickBot="1" x14ac:dyDescent="0.3">
      <c r="B342" s="365">
        <v>40575</v>
      </c>
      <c r="C342" s="367">
        <v>2.585</v>
      </c>
    </row>
    <row r="343" spans="2:3" ht="15.75" thickBot="1" x14ac:dyDescent="0.3">
      <c r="B343" s="366">
        <v>40574</v>
      </c>
      <c r="C343" s="368">
        <v>2.59</v>
      </c>
    </row>
    <row r="344" spans="2:3" ht="15.75" thickBot="1" x14ac:dyDescent="0.3">
      <c r="B344" s="365">
        <v>40571</v>
      </c>
      <c r="C344" s="367">
        <v>2.5499999999999998</v>
      </c>
    </row>
    <row r="345" spans="2:3" ht="15.75" thickBot="1" x14ac:dyDescent="0.3">
      <c r="B345" s="366">
        <v>40570</v>
      </c>
      <c r="C345" s="368">
        <v>2.48</v>
      </c>
    </row>
    <row r="346" spans="2:3" ht="15.75" thickBot="1" x14ac:dyDescent="0.3">
      <c r="B346" s="365">
        <v>40569</v>
      </c>
      <c r="C346" s="367">
        <v>2.4849999999999999</v>
      </c>
    </row>
    <row r="347" spans="2:3" ht="15.75" thickBot="1" x14ac:dyDescent="0.3">
      <c r="B347" s="366">
        <v>40568</v>
      </c>
      <c r="C347" s="368">
        <v>2.5550000000000002</v>
      </c>
    </row>
    <row r="348" spans="2:3" ht="15.75" thickBot="1" x14ac:dyDescent="0.3">
      <c r="B348" s="365">
        <v>40567</v>
      </c>
      <c r="C348" s="367">
        <v>2.5550000000000002</v>
      </c>
    </row>
    <row r="349" spans="2:3" ht="15.75" thickBot="1" x14ac:dyDescent="0.3">
      <c r="B349" s="366">
        <v>40564</v>
      </c>
      <c r="C349" s="368">
        <v>2.5550000000000002</v>
      </c>
    </row>
    <row r="350" spans="2:3" ht="15.75" thickBot="1" x14ac:dyDescent="0.3">
      <c r="B350" s="365">
        <v>40563</v>
      </c>
      <c r="C350" s="367">
        <v>2.5299999999999998</v>
      </c>
    </row>
    <row r="351" spans="2:3" ht="15.75" thickBot="1" x14ac:dyDescent="0.3">
      <c r="B351" s="366">
        <v>40562</v>
      </c>
      <c r="C351" s="368">
        <v>2.5499999999999998</v>
      </c>
    </row>
    <row r="352" spans="2:3" ht="15.75" thickBot="1" x14ac:dyDescent="0.3">
      <c r="B352" s="365">
        <v>40561</v>
      </c>
      <c r="C352" s="367">
        <v>2.5550000000000002</v>
      </c>
    </row>
    <row r="353" spans="2:3" ht="15.75" thickBot="1" x14ac:dyDescent="0.3">
      <c r="B353" s="366">
        <v>40560</v>
      </c>
      <c r="C353" s="368">
        <v>2.5550000000000002</v>
      </c>
    </row>
    <row r="354" spans="2:3" ht="15.75" thickBot="1" x14ac:dyDescent="0.3">
      <c r="B354" s="365">
        <v>40557</v>
      </c>
      <c r="C354" s="367">
        <v>2.54</v>
      </c>
    </row>
    <row r="355" spans="2:3" ht="15.75" thickBot="1" x14ac:dyDescent="0.3">
      <c r="B355" s="366">
        <v>40556</v>
      </c>
      <c r="C355" s="368">
        <v>2.59</v>
      </c>
    </row>
    <row r="356" spans="2:3" ht="15.75" thickBot="1" x14ac:dyDescent="0.3">
      <c r="B356" s="365">
        <v>40555</v>
      </c>
      <c r="C356" s="367">
        <v>2.57</v>
      </c>
    </row>
    <row r="357" spans="2:3" ht="15.75" thickBot="1" x14ac:dyDescent="0.3">
      <c r="B357" s="366">
        <v>40554</v>
      </c>
      <c r="C357" s="368">
        <v>2.59</v>
      </c>
    </row>
    <row r="358" spans="2:3" ht="15.75" thickBot="1" x14ac:dyDescent="0.3">
      <c r="B358" s="365">
        <v>40550</v>
      </c>
      <c r="C358" s="367">
        <v>2.59</v>
      </c>
    </row>
    <row r="359" spans="2:3" ht="15.75" thickBot="1" x14ac:dyDescent="0.3">
      <c r="B359" s="366">
        <v>40549</v>
      </c>
      <c r="C359" s="368">
        <v>2.58</v>
      </c>
    </row>
    <row r="360" spans="2:3" ht="15.75" thickBot="1" x14ac:dyDescent="0.3">
      <c r="B360" s="365">
        <v>40548</v>
      </c>
      <c r="C360" s="367">
        <v>2.5750000000000002</v>
      </c>
    </row>
    <row r="361" spans="2:3" ht="15.75" thickBot="1" x14ac:dyDescent="0.3">
      <c r="B361" s="366">
        <v>40547</v>
      </c>
      <c r="C361" s="368">
        <v>2.59</v>
      </c>
    </row>
    <row r="362" spans="2:3" ht="15.75" thickBot="1" x14ac:dyDescent="0.3">
      <c r="B362" s="365">
        <v>40546</v>
      </c>
      <c r="C362" s="367">
        <v>2.5950000000000002</v>
      </c>
    </row>
    <row r="363" spans="2:3" ht="15.75" thickBot="1" x14ac:dyDescent="0.3">
      <c r="B363" s="366">
        <v>40542</v>
      </c>
      <c r="C363" s="368">
        <v>2.58</v>
      </c>
    </row>
    <row r="364" spans="2:3" ht="15.75" thickBot="1" x14ac:dyDescent="0.3">
      <c r="B364" s="365">
        <v>40541</v>
      </c>
      <c r="C364" s="367">
        <v>2.5</v>
      </c>
    </row>
    <row r="365" spans="2:3" ht="15.75" thickBot="1" x14ac:dyDescent="0.3">
      <c r="B365" s="366">
        <v>40540</v>
      </c>
      <c r="C365" s="368">
        <v>2.4900000000000002</v>
      </c>
    </row>
    <row r="366" spans="2:3" ht="15.75" thickBot="1" x14ac:dyDescent="0.3">
      <c r="B366" s="365">
        <v>40539</v>
      </c>
      <c r="C366" s="367">
        <v>2.4900000000000002</v>
      </c>
    </row>
    <row r="367" spans="2:3" ht="15.75" thickBot="1" x14ac:dyDescent="0.3">
      <c r="B367" s="366">
        <v>40536</v>
      </c>
      <c r="C367" s="368">
        <v>2.4449999999999998</v>
      </c>
    </row>
    <row r="368" spans="2:3" ht="15.75" thickBot="1" x14ac:dyDescent="0.3">
      <c r="B368" s="365">
        <v>40535</v>
      </c>
      <c r="C368" s="367">
        <v>2.41</v>
      </c>
    </row>
    <row r="369" spans="2:3" ht="15.75" thickBot="1" x14ac:dyDescent="0.3">
      <c r="B369" s="366">
        <v>40534</v>
      </c>
      <c r="C369" s="368">
        <v>2.38</v>
      </c>
    </row>
    <row r="370" spans="2:3" ht="15.75" thickBot="1" x14ac:dyDescent="0.3">
      <c r="B370" s="365">
        <v>40533</v>
      </c>
      <c r="C370" s="367">
        <v>2.2999999999999998</v>
      </c>
    </row>
    <row r="371" spans="2:3" ht="15.75" thickBot="1" x14ac:dyDescent="0.3">
      <c r="B371" s="366">
        <v>40532</v>
      </c>
      <c r="C371" s="368">
        <v>2.2549999999999999</v>
      </c>
    </row>
    <row r="372" spans="2:3" ht="15.75" thickBot="1" x14ac:dyDescent="0.3">
      <c r="B372" s="365">
        <v>40529</v>
      </c>
      <c r="C372" s="367">
        <v>2.15</v>
      </c>
    </row>
    <row r="373" spans="2:3" ht="15.75" thickBot="1" x14ac:dyDescent="0.3">
      <c r="B373" s="366">
        <v>40528</v>
      </c>
      <c r="C373" s="368">
        <v>2.1</v>
      </c>
    </row>
    <row r="374" spans="2:3" ht="15.75" thickBot="1" x14ac:dyDescent="0.3">
      <c r="B374" s="365">
        <v>40527</v>
      </c>
      <c r="C374" s="367">
        <v>2.0449999999999999</v>
      </c>
    </row>
    <row r="375" spans="2:3" ht="15.75" thickBot="1" x14ac:dyDescent="0.3">
      <c r="B375" s="366">
        <v>40526</v>
      </c>
      <c r="C375" s="368">
        <v>2.0249999999999999</v>
      </c>
    </row>
    <row r="376" spans="2:3" ht="15.75" thickBot="1" x14ac:dyDescent="0.3">
      <c r="B376" s="365">
        <v>40525</v>
      </c>
      <c r="C376" s="367">
        <v>2.06</v>
      </c>
    </row>
    <row r="377" spans="2:3" ht="15.75" thickBot="1" x14ac:dyDescent="0.3">
      <c r="B377" s="366">
        <v>40522</v>
      </c>
      <c r="C377" s="368">
        <v>2.0750000000000002</v>
      </c>
    </row>
    <row r="378" spans="2:3" ht="15.75" thickBot="1" x14ac:dyDescent="0.3">
      <c r="B378" s="365">
        <v>40521</v>
      </c>
      <c r="C378" s="367">
        <v>2.0750000000000002</v>
      </c>
    </row>
    <row r="379" spans="2:3" ht="15.75" thickBot="1" x14ac:dyDescent="0.3">
      <c r="B379" s="366">
        <v>40519</v>
      </c>
      <c r="C379" s="368">
        <v>2.0750000000000002</v>
      </c>
    </row>
    <row r="380" spans="2:3" ht="15.75" thickBot="1" x14ac:dyDescent="0.3">
      <c r="B380" s="365">
        <v>40518</v>
      </c>
      <c r="C380" s="367">
        <v>2.09</v>
      </c>
    </row>
    <row r="381" spans="2:3" ht="15.75" thickBot="1" x14ac:dyDescent="0.3">
      <c r="B381" s="366">
        <v>40515</v>
      </c>
      <c r="C381" s="368">
        <v>2.12</v>
      </c>
    </row>
    <row r="382" spans="2:3" ht="15.75" thickBot="1" x14ac:dyDescent="0.3">
      <c r="B382" s="365">
        <v>40514</v>
      </c>
      <c r="C382" s="367">
        <v>2.17</v>
      </c>
    </row>
    <row r="383" spans="2:3" ht="15.75" thickBot="1" x14ac:dyDescent="0.3">
      <c r="B383" s="366">
        <v>40513</v>
      </c>
      <c r="C383" s="368">
        <v>2.17</v>
      </c>
    </row>
    <row r="384" spans="2:3" ht="15.75" thickBot="1" x14ac:dyDescent="0.3">
      <c r="B384" s="365">
        <v>40512</v>
      </c>
      <c r="C384" s="367">
        <v>2.1549999999999998</v>
      </c>
    </row>
    <row r="385" spans="2:3" ht="15.75" thickBot="1" x14ac:dyDescent="0.3">
      <c r="B385" s="366">
        <v>40511</v>
      </c>
      <c r="C385" s="368">
        <v>2.1549999999999998</v>
      </c>
    </row>
    <row r="386" spans="2:3" ht="15.75" thickBot="1" x14ac:dyDescent="0.3">
      <c r="B386" s="365">
        <v>40508</v>
      </c>
      <c r="C386" s="367">
        <v>2.1549999999999998</v>
      </c>
    </row>
    <row r="387" spans="2:3" ht="15.75" thickBot="1" x14ac:dyDescent="0.3">
      <c r="B387" s="366">
        <v>40507</v>
      </c>
      <c r="C387" s="368">
        <v>2.1549999999999998</v>
      </c>
    </row>
    <row r="388" spans="2:3" ht="15.75" thickBot="1" x14ac:dyDescent="0.3">
      <c r="B388" s="365">
        <v>40506</v>
      </c>
      <c r="C388" s="367">
        <v>2.1549999999999998</v>
      </c>
    </row>
    <row r="389" spans="2:3" ht="15.75" thickBot="1" x14ac:dyDescent="0.3">
      <c r="B389" s="366">
        <v>40505</v>
      </c>
      <c r="C389" s="368">
        <v>2.1850000000000001</v>
      </c>
    </row>
    <row r="390" spans="2:3" ht="15.75" thickBot="1" x14ac:dyDescent="0.3">
      <c r="B390" s="365">
        <v>40504</v>
      </c>
      <c r="C390" s="367">
        <v>2.1850000000000001</v>
      </c>
    </row>
    <row r="391" spans="2:3" ht="15.75" thickBot="1" x14ac:dyDescent="0.3">
      <c r="B391" s="366">
        <v>40501</v>
      </c>
      <c r="C391" s="368">
        <v>2.1850000000000001</v>
      </c>
    </row>
    <row r="392" spans="2:3" ht="15.75" thickBot="1" x14ac:dyDescent="0.3">
      <c r="B392" s="365">
        <v>40500</v>
      </c>
      <c r="C392" s="367">
        <v>2.1850000000000001</v>
      </c>
    </row>
    <row r="393" spans="2:3" ht="15.75" thickBot="1" x14ac:dyDescent="0.3">
      <c r="B393" s="366">
        <v>40499</v>
      </c>
      <c r="C393" s="368">
        <v>2.1850000000000001</v>
      </c>
    </row>
    <row r="394" spans="2:3" ht="15.75" thickBot="1" x14ac:dyDescent="0.3">
      <c r="B394" s="365">
        <v>40498</v>
      </c>
      <c r="C394" s="367">
        <v>2.1850000000000001</v>
      </c>
    </row>
    <row r="395" spans="2:3" ht="15.75" thickBot="1" x14ac:dyDescent="0.3">
      <c r="B395" s="366">
        <v>40493</v>
      </c>
      <c r="C395" s="368">
        <v>2.1850000000000001</v>
      </c>
    </row>
    <row r="396" spans="2:3" ht="15.75" thickBot="1" x14ac:dyDescent="0.3">
      <c r="B396" s="365">
        <v>40492</v>
      </c>
      <c r="C396" s="367">
        <v>2.1850000000000001</v>
      </c>
    </row>
    <row r="397" spans="2:3" ht="15.75" thickBot="1" x14ac:dyDescent="0.3">
      <c r="B397" s="366">
        <v>40491</v>
      </c>
      <c r="C397" s="368">
        <v>2.1949999999999998</v>
      </c>
    </row>
    <row r="398" spans="2:3" ht="15.75" thickBot="1" x14ac:dyDescent="0.3">
      <c r="B398" s="365">
        <v>40490</v>
      </c>
      <c r="C398" s="367">
        <v>2.1949999999999998</v>
      </c>
    </row>
    <row r="399" spans="2:3" ht="15.75" thickBot="1" x14ac:dyDescent="0.3">
      <c r="B399" s="366">
        <v>40487</v>
      </c>
      <c r="C399" s="368">
        <v>2.1949999999999998</v>
      </c>
    </row>
    <row r="400" spans="2:3" ht="15.75" thickBot="1" x14ac:dyDescent="0.3">
      <c r="B400" s="365">
        <v>40486</v>
      </c>
      <c r="C400" s="367">
        <v>2.1949999999999998</v>
      </c>
    </row>
    <row r="401" spans="2:3" ht="15.75" thickBot="1" x14ac:dyDescent="0.3">
      <c r="B401" s="366">
        <v>40485</v>
      </c>
      <c r="C401" s="368">
        <v>2.1949999999999998</v>
      </c>
    </row>
    <row r="402" spans="2:3" ht="15.75" thickBot="1" x14ac:dyDescent="0.3">
      <c r="B402" s="365">
        <v>40484</v>
      </c>
      <c r="C402" s="367">
        <v>2.1949999999999998</v>
      </c>
    </row>
    <row r="403" spans="2:3" ht="15.75" thickBot="1" x14ac:dyDescent="0.3">
      <c r="B403" s="366">
        <v>40480</v>
      </c>
      <c r="C403" s="368">
        <v>2.2000000000000002</v>
      </c>
    </row>
    <row r="404" spans="2:3" ht="15.75" thickBot="1" x14ac:dyDescent="0.3">
      <c r="B404" s="365">
        <v>40479</v>
      </c>
      <c r="C404" s="367">
        <v>2.2000000000000002</v>
      </c>
    </row>
    <row r="405" spans="2:3" ht="15.75" thickBot="1" x14ac:dyDescent="0.3">
      <c r="B405" s="366">
        <v>40478</v>
      </c>
      <c r="C405" s="368">
        <v>2.2000000000000002</v>
      </c>
    </row>
    <row r="406" spans="2:3" ht="15.75" thickBot="1" x14ac:dyDescent="0.3">
      <c r="B406" s="365">
        <v>40477</v>
      </c>
      <c r="C406" s="367">
        <v>2.2000000000000002</v>
      </c>
    </row>
    <row r="407" spans="2:3" ht="15.75" thickBot="1" x14ac:dyDescent="0.3">
      <c r="B407" s="366">
        <v>40476</v>
      </c>
      <c r="C407" s="368">
        <v>2.2000000000000002</v>
      </c>
    </row>
    <row r="408" spans="2:3" ht="15.75" thickBot="1" x14ac:dyDescent="0.3">
      <c r="B408" s="365">
        <v>40473</v>
      </c>
      <c r="C408" s="367">
        <v>2.17</v>
      </c>
    </row>
    <row r="409" spans="2:3" ht="15.75" thickBot="1" x14ac:dyDescent="0.3">
      <c r="B409" s="366">
        <v>40472</v>
      </c>
      <c r="C409" s="368">
        <v>2.17</v>
      </c>
    </row>
    <row r="410" spans="2:3" ht="15.75" thickBot="1" x14ac:dyDescent="0.3">
      <c r="B410" s="365">
        <v>40471</v>
      </c>
      <c r="C410" s="367">
        <v>2.2000000000000002</v>
      </c>
    </row>
    <row r="411" spans="2:3" ht="15.75" thickBot="1" x14ac:dyDescent="0.3">
      <c r="B411" s="366">
        <v>40470</v>
      </c>
      <c r="C411" s="368">
        <v>2.19</v>
      </c>
    </row>
    <row r="412" spans="2:3" ht="15.75" thickBot="1" x14ac:dyDescent="0.3">
      <c r="B412" s="365">
        <v>40466</v>
      </c>
      <c r="C412" s="367">
        <v>2.19</v>
      </c>
    </row>
    <row r="413" spans="2:3" ht="15.75" thickBot="1" x14ac:dyDescent="0.3">
      <c r="B413" s="366">
        <v>40465</v>
      </c>
      <c r="C413" s="368">
        <v>2.19</v>
      </c>
    </row>
    <row r="414" spans="2:3" ht="15.75" thickBot="1" x14ac:dyDescent="0.3">
      <c r="B414" s="365">
        <v>40464</v>
      </c>
      <c r="C414" s="367">
        <v>2.19</v>
      </c>
    </row>
    <row r="415" spans="2:3" ht="15.75" thickBot="1" x14ac:dyDescent="0.3">
      <c r="B415" s="366">
        <v>40463</v>
      </c>
      <c r="C415" s="368">
        <v>2.19</v>
      </c>
    </row>
    <row r="416" spans="2:3" ht="15.75" thickBot="1" x14ac:dyDescent="0.3">
      <c r="B416" s="365">
        <v>40462</v>
      </c>
      <c r="C416" s="367">
        <v>2.19</v>
      </c>
    </row>
    <row r="417" spans="2:3" ht="15.75" thickBot="1" x14ac:dyDescent="0.3">
      <c r="B417" s="366">
        <v>40459</v>
      </c>
      <c r="C417" s="368">
        <v>2.19</v>
      </c>
    </row>
    <row r="418" spans="2:3" ht="15.75" thickBot="1" x14ac:dyDescent="0.3">
      <c r="B418" s="365">
        <v>40458</v>
      </c>
      <c r="C418" s="367">
        <v>2.19</v>
      </c>
    </row>
    <row r="419" spans="2:3" ht="15.75" thickBot="1" x14ac:dyDescent="0.3">
      <c r="B419" s="366">
        <v>40457</v>
      </c>
      <c r="C419" s="368">
        <v>2.19</v>
      </c>
    </row>
    <row r="420" spans="2:3" ht="15.75" thickBot="1" x14ac:dyDescent="0.3">
      <c r="B420" s="365">
        <v>40456</v>
      </c>
      <c r="C420" s="367">
        <v>2.2400000000000002</v>
      </c>
    </row>
    <row r="421" spans="2:3" ht="15.75" thickBot="1" x14ac:dyDescent="0.3">
      <c r="B421" s="366">
        <v>40455</v>
      </c>
      <c r="C421" s="368">
        <v>2.2400000000000002</v>
      </c>
    </row>
    <row r="422" spans="2:3" ht="15.75" thickBot="1" x14ac:dyDescent="0.3">
      <c r="B422" s="365">
        <v>40452</v>
      </c>
      <c r="C422" s="367">
        <v>2.2400000000000002</v>
      </c>
    </row>
    <row r="423" spans="2:3" ht="15.75" thickBot="1" x14ac:dyDescent="0.3">
      <c r="B423" s="366">
        <v>40451</v>
      </c>
      <c r="C423" s="368">
        <v>2.2400000000000002</v>
      </c>
    </row>
    <row r="424" spans="2:3" ht="15.75" thickBot="1" x14ac:dyDescent="0.3">
      <c r="B424" s="365">
        <v>40450</v>
      </c>
      <c r="C424" s="367">
        <v>2.2400000000000002</v>
      </c>
    </row>
    <row r="425" spans="2:3" ht="15.75" thickBot="1" x14ac:dyDescent="0.3">
      <c r="B425" s="366">
        <v>40449</v>
      </c>
      <c r="C425" s="368">
        <v>2.2149999999999999</v>
      </c>
    </row>
    <row r="426" spans="2:3" ht="15.75" thickBot="1" x14ac:dyDescent="0.3">
      <c r="B426" s="365">
        <v>40448</v>
      </c>
      <c r="C426" s="367">
        <v>2.2149999999999999</v>
      </c>
    </row>
    <row r="427" spans="2:3" ht="15.75" thickBot="1" x14ac:dyDescent="0.3">
      <c r="B427" s="366">
        <v>40445</v>
      </c>
      <c r="C427" s="368">
        <v>2.2149999999999999</v>
      </c>
    </row>
    <row r="428" spans="2:3" ht="15.75" thickBot="1" x14ac:dyDescent="0.3">
      <c r="B428" s="365">
        <v>40444</v>
      </c>
      <c r="C428" s="367">
        <v>2.2149999999999999</v>
      </c>
    </row>
    <row r="429" spans="2:3" ht="15.75" thickBot="1" x14ac:dyDescent="0.3">
      <c r="B429" s="366">
        <v>40443</v>
      </c>
      <c r="C429" s="368">
        <v>2.2450000000000001</v>
      </c>
    </row>
    <row r="430" spans="2:3" ht="15.75" thickBot="1" x14ac:dyDescent="0.3">
      <c r="B430" s="365">
        <v>40442</v>
      </c>
      <c r="C430" s="367">
        <v>2.2450000000000001</v>
      </c>
    </row>
    <row r="431" spans="2:3" ht="15.75" thickBot="1" x14ac:dyDescent="0.3">
      <c r="B431" s="366">
        <v>40441</v>
      </c>
      <c r="C431" s="368">
        <v>2.2450000000000001</v>
      </c>
    </row>
    <row r="432" spans="2:3" ht="15.75" thickBot="1" x14ac:dyDescent="0.3">
      <c r="B432" s="365">
        <v>40438</v>
      </c>
      <c r="C432" s="367">
        <v>2.2450000000000001</v>
      </c>
    </row>
    <row r="433" spans="2:3" ht="15.75" thickBot="1" x14ac:dyDescent="0.3">
      <c r="B433" s="366">
        <v>40437</v>
      </c>
      <c r="C433" s="368">
        <v>2.2349999999999999</v>
      </c>
    </row>
    <row r="434" spans="2:3" ht="15.75" thickBot="1" x14ac:dyDescent="0.3">
      <c r="B434" s="365">
        <v>40436</v>
      </c>
      <c r="C434" s="367">
        <v>2.2349999999999999</v>
      </c>
    </row>
    <row r="435" spans="2:3" ht="15.75" thickBot="1" x14ac:dyDescent="0.3">
      <c r="B435" s="366">
        <v>40435</v>
      </c>
      <c r="C435" s="368">
        <v>2.25</v>
      </c>
    </row>
    <row r="436" spans="2:3" ht="15.75" thickBot="1" x14ac:dyDescent="0.3">
      <c r="B436" s="365">
        <v>40434</v>
      </c>
      <c r="C436" s="367">
        <v>2.25</v>
      </c>
    </row>
    <row r="437" spans="2:3" ht="15.75" thickBot="1" x14ac:dyDescent="0.3">
      <c r="B437" s="366">
        <v>40431</v>
      </c>
      <c r="C437" s="368">
        <v>2.2749999999999999</v>
      </c>
    </row>
    <row r="438" spans="2:3" ht="15.75" thickBot="1" x14ac:dyDescent="0.3">
      <c r="B438" s="365">
        <v>40430</v>
      </c>
      <c r="C438" s="367">
        <v>2.2749999999999999</v>
      </c>
    </row>
    <row r="439" spans="2:3" ht="15.75" thickBot="1" x14ac:dyDescent="0.3">
      <c r="B439" s="366">
        <v>40429</v>
      </c>
      <c r="C439" s="368">
        <v>2.2450000000000001</v>
      </c>
    </row>
    <row r="440" spans="2:3" ht="15.75" thickBot="1" x14ac:dyDescent="0.3">
      <c r="B440" s="365">
        <v>40428</v>
      </c>
      <c r="C440" s="367">
        <v>2.2450000000000001</v>
      </c>
    </row>
    <row r="441" spans="2:3" ht="15.75" thickBot="1" x14ac:dyDescent="0.3">
      <c r="B441" s="366">
        <v>40427</v>
      </c>
      <c r="C441" s="368">
        <v>2.2450000000000001</v>
      </c>
    </row>
    <row r="442" spans="2:3" ht="15.75" thickBot="1" x14ac:dyDescent="0.3">
      <c r="B442" s="365">
        <v>40424</v>
      </c>
      <c r="C442" s="367">
        <v>2.25</v>
      </c>
    </row>
    <row r="443" spans="2:3" ht="15.75" thickBot="1" x14ac:dyDescent="0.3">
      <c r="B443" s="366">
        <v>40423</v>
      </c>
      <c r="C443" s="368">
        <v>2.25</v>
      </c>
    </row>
    <row r="444" spans="2:3" ht="15.75" thickBot="1" x14ac:dyDescent="0.3">
      <c r="B444" s="365">
        <v>40422</v>
      </c>
      <c r="C444" s="367">
        <v>2.25</v>
      </c>
    </row>
    <row r="445" spans="2:3" ht="15.75" thickBot="1" x14ac:dyDescent="0.3">
      <c r="B445" s="366">
        <v>40421</v>
      </c>
      <c r="C445" s="368">
        <v>2.27</v>
      </c>
    </row>
    <row r="446" spans="2:3" ht="15.75" thickBot="1" x14ac:dyDescent="0.3">
      <c r="B446" s="365">
        <v>40420</v>
      </c>
      <c r="C446" s="367">
        <v>2.2200000000000002</v>
      </c>
    </row>
    <row r="447" spans="2:3" ht="15.75" thickBot="1" x14ac:dyDescent="0.3">
      <c r="B447" s="366">
        <v>40417</v>
      </c>
      <c r="C447" s="368">
        <v>2.2799999999999998</v>
      </c>
    </row>
    <row r="448" spans="2:3" ht="15.75" thickBot="1" x14ac:dyDescent="0.3">
      <c r="B448" s="365">
        <v>40416</v>
      </c>
      <c r="C448" s="367">
        <v>2.2799999999999998</v>
      </c>
    </row>
    <row r="449" spans="2:3" ht="15.75" thickBot="1" x14ac:dyDescent="0.3">
      <c r="B449" s="366">
        <v>40415</v>
      </c>
      <c r="C449" s="368">
        <v>2.2650000000000001</v>
      </c>
    </row>
    <row r="450" spans="2:3" ht="15.75" thickBot="1" x14ac:dyDescent="0.3">
      <c r="B450" s="365">
        <v>40414</v>
      </c>
      <c r="C450" s="367">
        <v>2.2650000000000001</v>
      </c>
    </row>
    <row r="451" spans="2:3" ht="15.75" thickBot="1" x14ac:dyDescent="0.3">
      <c r="B451" s="366">
        <v>40413</v>
      </c>
      <c r="C451" s="368">
        <v>2.2949999999999999</v>
      </c>
    </row>
    <row r="452" spans="2:3" ht="15.75" thickBot="1" x14ac:dyDescent="0.3">
      <c r="B452" s="365">
        <v>40410</v>
      </c>
      <c r="C452" s="367">
        <v>2.335</v>
      </c>
    </row>
    <row r="453" spans="2:3" ht="15.75" thickBot="1" x14ac:dyDescent="0.3">
      <c r="B453" s="366">
        <v>40409</v>
      </c>
      <c r="C453" s="368">
        <v>2.335</v>
      </c>
    </row>
    <row r="454" spans="2:3" ht="15.75" thickBot="1" x14ac:dyDescent="0.3">
      <c r="B454" s="365">
        <v>40408</v>
      </c>
      <c r="C454" s="367">
        <v>2.335</v>
      </c>
    </row>
    <row r="455" spans="2:3" ht="15.75" thickBot="1" x14ac:dyDescent="0.3">
      <c r="B455" s="366">
        <v>40407</v>
      </c>
      <c r="C455" s="368">
        <v>2.31</v>
      </c>
    </row>
    <row r="456" spans="2:3" ht="15.75" thickBot="1" x14ac:dyDescent="0.3">
      <c r="B456" s="365">
        <v>40403</v>
      </c>
      <c r="C456" s="367">
        <v>2.23</v>
      </c>
    </row>
    <row r="457" spans="2:3" ht="15.75" thickBot="1" x14ac:dyDescent="0.3">
      <c r="B457" s="366">
        <v>40402</v>
      </c>
      <c r="C457" s="368">
        <v>2.27</v>
      </c>
    </row>
    <row r="458" spans="2:3" ht="15.75" thickBot="1" x14ac:dyDescent="0.3">
      <c r="B458" s="365">
        <v>40401</v>
      </c>
      <c r="C458" s="367">
        <v>2.2749999999999999</v>
      </c>
    </row>
    <row r="459" spans="2:3" ht="15.75" thickBot="1" x14ac:dyDescent="0.3">
      <c r="B459" s="366">
        <v>40400</v>
      </c>
      <c r="C459" s="368">
        <v>2.29</v>
      </c>
    </row>
    <row r="460" spans="2:3" ht="15.75" thickBot="1" x14ac:dyDescent="0.3">
      <c r="B460" s="365">
        <v>40399</v>
      </c>
      <c r="C460" s="367">
        <v>2.29</v>
      </c>
    </row>
    <row r="461" spans="2:3" ht="15.75" thickBot="1" x14ac:dyDescent="0.3">
      <c r="B461" s="366">
        <v>40394</v>
      </c>
      <c r="C461" s="368">
        <v>2.29</v>
      </c>
    </row>
    <row r="462" spans="2:3" ht="15.75" thickBot="1" x14ac:dyDescent="0.3">
      <c r="B462" s="365">
        <v>40393</v>
      </c>
      <c r="C462" s="367">
        <v>2.2250000000000001</v>
      </c>
    </row>
    <row r="463" spans="2:3" ht="15.75" thickBot="1" x14ac:dyDescent="0.3">
      <c r="B463" s="366">
        <v>40392</v>
      </c>
      <c r="C463" s="368">
        <v>2.2949999999999999</v>
      </c>
    </row>
    <row r="464" spans="2:3" ht="15.75" thickBot="1" x14ac:dyDescent="0.3">
      <c r="B464" s="365">
        <v>40388</v>
      </c>
      <c r="C464" s="367">
        <v>2.2999999999999998</v>
      </c>
    </row>
    <row r="465" spans="2:3" ht="15.75" thickBot="1" x14ac:dyDescent="0.3">
      <c r="B465" s="366">
        <v>40387</v>
      </c>
      <c r="C465" s="368">
        <v>2.2999999999999998</v>
      </c>
    </row>
    <row r="466" spans="2:3" ht="15.75" thickBot="1" x14ac:dyDescent="0.3">
      <c r="B466" s="365">
        <v>40386</v>
      </c>
      <c r="C466" s="367">
        <v>2.34</v>
      </c>
    </row>
    <row r="467" spans="2:3" ht="15.75" thickBot="1" x14ac:dyDescent="0.3">
      <c r="B467" s="366">
        <v>40385</v>
      </c>
      <c r="C467" s="368">
        <v>2.34</v>
      </c>
    </row>
    <row r="468" spans="2:3" ht="15.75" thickBot="1" x14ac:dyDescent="0.3">
      <c r="B468" s="365">
        <v>40381</v>
      </c>
      <c r="C468" s="367">
        <v>2.3199999999999998</v>
      </c>
    </row>
    <row r="469" spans="2:3" ht="15.75" thickBot="1" x14ac:dyDescent="0.3">
      <c r="B469" s="366">
        <v>40380</v>
      </c>
      <c r="C469" s="368">
        <v>2.2850000000000001</v>
      </c>
    </row>
    <row r="470" spans="2:3" ht="15.75" thickBot="1" x14ac:dyDescent="0.3">
      <c r="B470" s="365">
        <v>40378</v>
      </c>
      <c r="C470" s="367">
        <v>2.2850000000000001</v>
      </c>
    </row>
    <row r="471" spans="2:3" ht="15.75" thickBot="1" x14ac:dyDescent="0.3">
      <c r="B471" s="366">
        <v>40375</v>
      </c>
      <c r="C471" s="368">
        <v>2.2850000000000001</v>
      </c>
    </row>
    <row r="472" spans="2:3" ht="15.75" thickBot="1" x14ac:dyDescent="0.3">
      <c r="B472" s="365">
        <v>40374</v>
      </c>
      <c r="C472" s="367">
        <v>2.31</v>
      </c>
    </row>
    <row r="473" spans="2:3" ht="15.75" thickBot="1" x14ac:dyDescent="0.3">
      <c r="B473" s="366">
        <v>40373</v>
      </c>
      <c r="C473" s="368">
        <v>2.31</v>
      </c>
    </row>
    <row r="474" spans="2:3" ht="15.75" thickBot="1" x14ac:dyDescent="0.3">
      <c r="B474" s="365">
        <v>40372</v>
      </c>
      <c r="C474" s="367">
        <v>2.31</v>
      </c>
    </row>
    <row r="475" spans="2:3" ht="15.75" thickBot="1" x14ac:dyDescent="0.3">
      <c r="B475" s="366">
        <v>40371</v>
      </c>
      <c r="C475" s="368">
        <v>2.31</v>
      </c>
    </row>
    <row r="476" spans="2:3" ht="15.75" thickBot="1" x14ac:dyDescent="0.3">
      <c r="B476" s="365">
        <v>40368</v>
      </c>
      <c r="C476" s="367">
        <v>2.31</v>
      </c>
    </row>
    <row r="477" spans="2:3" ht="15.75" thickBot="1" x14ac:dyDescent="0.3">
      <c r="B477" s="366">
        <v>40367</v>
      </c>
      <c r="C477" s="368">
        <v>2.31</v>
      </c>
    </row>
    <row r="478" spans="2:3" ht="15.75" thickBot="1" x14ac:dyDescent="0.3">
      <c r="B478" s="365">
        <v>40365</v>
      </c>
      <c r="C478" s="367">
        <v>2.31</v>
      </c>
    </row>
    <row r="479" spans="2:3" ht="15.75" thickBot="1" x14ac:dyDescent="0.3">
      <c r="B479" s="366">
        <v>40361</v>
      </c>
      <c r="C479" s="368">
        <v>2.37</v>
      </c>
    </row>
    <row r="480" spans="2:3" ht="15.75" thickBot="1" x14ac:dyDescent="0.3">
      <c r="B480" s="365">
        <v>40360</v>
      </c>
      <c r="C480" s="367">
        <v>2.37</v>
      </c>
    </row>
    <row r="481" spans="2:3" ht="15.75" thickBot="1" x14ac:dyDescent="0.3">
      <c r="B481" s="366">
        <v>40358</v>
      </c>
      <c r="C481" s="368">
        <v>2.37</v>
      </c>
    </row>
    <row r="482" spans="2:3" ht="15.75" thickBot="1" x14ac:dyDescent="0.3">
      <c r="B482" s="365">
        <v>40353</v>
      </c>
      <c r="C482" s="367">
        <v>2.335</v>
      </c>
    </row>
    <row r="483" spans="2:3" ht="15.75" thickBot="1" x14ac:dyDescent="0.3">
      <c r="B483" s="366">
        <v>40352</v>
      </c>
      <c r="C483" s="368">
        <v>2.34</v>
      </c>
    </row>
    <row r="484" spans="2:3" ht="15.75" thickBot="1" x14ac:dyDescent="0.3">
      <c r="B484" s="365">
        <v>40347</v>
      </c>
      <c r="C484" s="367">
        <v>2.335</v>
      </c>
    </row>
    <row r="485" spans="2:3" ht="15.75" thickBot="1" x14ac:dyDescent="0.3">
      <c r="B485" s="366">
        <v>40345</v>
      </c>
      <c r="C485" s="368">
        <v>2.375</v>
      </c>
    </row>
    <row r="486" spans="2:3" ht="15.75" thickBot="1" x14ac:dyDescent="0.3">
      <c r="B486" s="365">
        <v>40344</v>
      </c>
      <c r="C486" s="367">
        <v>2.375</v>
      </c>
    </row>
    <row r="487" spans="2:3" ht="15.75" thickBot="1" x14ac:dyDescent="0.3">
      <c r="B487" s="366">
        <v>40340</v>
      </c>
      <c r="C487" s="368">
        <v>2.375</v>
      </c>
    </row>
    <row r="488" spans="2:3" ht="15.75" thickBot="1" x14ac:dyDescent="0.3">
      <c r="B488" s="365">
        <v>40339</v>
      </c>
      <c r="C488" s="367">
        <v>2.375</v>
      </c>
    </row>
    <row r="489" spans="2:3" ht="15.75" thickBot="1" x14ac:dyDescent="0.3">
      <c r="B489" s="366">
        <v>40338</v>
      </c>
      <c r="C489" s="368">
        <v>2.375</v>
      </c>
    </row>
    <row r="490" spans="2:3" ht="15.75" thickBot="1" x14ac:dyDescent="0.3">
      <c r="B490" s="365">
        <v>40337</v>
      </c>
      <c r="C490" s="367">
        <v>2.2599999999999998</v>
      </c>
    </row>
    <row r="491" spans="2:3" ht="15.75" thickBot="1" x14ac:dyDescent="0.3">
      <c r="B491" s="366">
        <v>40333</v>
      </c>
      <c r="C491" s="368">
        <v>2.2599999999999998</v>
      </c>
    </row>
    <row r="492" spans="2:3" ht="15.75" thickBot="1" x14ac:dyDescent="0.3">
      <c r="B492" s="365">
        <v>40332</v>
      </c>
      <c r="C492" s="367">
        <v>2.21</v>
      </c>
    </row>
    <row r="493" spans="2:3" ht="15.75" thickBot="1" x14ac:dyDescent="0.3">
      <c r="B493" s="366">
        <v>40331</v>
      </c>
      <c r="C493" s="368">
        <v>2.2949999999999999</v>
      </c>
    </row>
    <row r="494" spans="2:3" ht="15.75" thickBot="1" x14ac:dyDescent="0.3">
      <c r="B494" s="365">
        <v>40326</v>
      </c>
      <c r="C494" s="367">
        <v>2.39</v>
      </c>
    </row>
    <row r="495" spans="2:3" ht="15.75" thickBot="1" x14ac:dyDescent="0.3">
      <c r="B495" s="366">
        <v>40324</v>
      </c>
      <c r="C495" s="368">
        <v>2.3450000000000002</v>
      </c>
    </row>
    <row r="496" spans="2:3" ht="15.75" thickBot="1" x14ac:dyDescent="0.3">
      <c r="B496" s="365">
        <v>40323</v>
      </c>
      <c r="C496" s="367">
        <v>2.2799999999999998</v>
      </c>
    </row>
    <row r="497" spans="2:3" ht="15.75" thickBot="1" x14ac:dyDescent="0.3">
      <c r="B497" s="366">
        <v>40322</v>
      </c>
      <c r="C497" s="368">
        <v>2.2799999999999998</v>
      </c>
    </row>
    <row r="498" spans="2:3" ht="15.75" thickBot="1" x14ac:dyDescent="0.3">
      <c r="B498" s="365">
        <v>40319</v>
      </c>
      <c r="C498" s="367">
        <v>2.23</v>
      </c>
    </row>
    <row r="499" spans="2:3" ht="15.75" thickBot="1" x14ac:dyDescent="0.3">
      <c r="B499" s="366">
        <v>40311</v>
      </c>
      <c r="C499" s="368">
        <v>2.2549999999999999</v>
      </c>
    </row>
    <row r="500" spans="2:3" ht="15.75" thickBot="1" x14ac:dyDescent="0.3">
      <c r="B500" s="365">
        <v>40310</v>
      </c>
      <c r="C500" s="367">
        <v>2.1749999999999998</v>
      </c>
    </row>
    <row r="501" spans="2:3" ht="15.75" thickBot="1" x14ac:dyDescent="0.3">
      <c r="B501" s="366">
        <v>40309</v>
      </c>
      <c r="C501" s="368">
        <v>2.1</v>
      </c>
    </row>
    <row r="502" spans="2:3" ht="15.75" thickBot="1" x14ac:dyDescent="0.3">
      <c r="B502" s="365">
        <v>40308</v>
      </c>
      <c r="C502" s="367">
        <v>2.08</v>
      </c>
    </row>
    <row r="503" spans="2:3" ht="15.75" thickBot="1" x14ac:dyDescent="0.3">
      <c r="B503" s="366">
        <v>40305</v>
      </c>
      <c r="C503" s="368">
        <v>2.13</v>
      </c>
    </row>
    <row r="504" spans="2:3" ht="15.75" thickBot="1" x14ac:dyDescent="0.3">
      <c r="B504" s="365">
        <v>40304</v>
      </c>
      <c r="C504" s="367">
        <v>2.2000000000000002</v>
      </c>
    </row>
    <row r="505" spans="2:3" ht="15.75" thickBot="1" x14ac:dyDescent="0.3">
      <c r="B505" s="366">
        <v>40303</v>
      </c>
      <c r="C505" s="368">
        <v>2.2650000000000001</v>
      </c>
    </row>
    <row r="506" spans="2:3" ht="15.75" thickBot="1" x14ac:dyDescent="0.3">
      <c r="B506" s="365">
        <v>40302</v>
      </c>
      <c r="C506" s="367">
        <v>2.2999999999999998</v>
      </c>
    </row>
    <row r="507" spans="2:3" ht="15.75" thickBot="1" x14ac:dyDescent="0.3">
      <c r="B507" s="366">
        <v>40301</v>
      </c>
      <c r="C507" s="368">
        <v>2.2999999999999998</v>
      </c>
    </row>
    <row r="508" spans="2:3" ht="15.75" thickBot="1" x14ac:dyDescent="0.3">
      <c r="B508" s="365">
        <v>40298</v>
      </c>
      <c r="C508" s="367">
        <v>2.2799999999999998</v>
      </c>
    </row>
    <row r="509" spans="2:3" ht="15.75" thickBot="1" x14ac:dyDescent="0.3">
      <c r="B509" s="366">
        <v>40297</v>
      </c>
      <c r="C509" s="368">
        <v>2.2999999999999998</v>
      </c>
    </row>
    <row r="510" spans="2:3" ht="15.75" thickBot="1" x14ac:dyDescent="0.3">
      <c r="B510" s="365">
        <v>40295</v>
      </c>
      <c r="C510" s="367">
        <v>2.3199999999999998</v>
      </c>
    </row>
    <row r="511" spans="2:3" ht="15.75" thickBot="1" x14ac:dyDescent="0.3">
      <c r="B511" s="366">
        <v>40294</v>
      </c>
      <c r="C511" s="368">
        <v>2.35</v>
      </c>
    </row>
    <row r="512" spans="2:3" ht="15.75" thickBot="1" x14ac:dyDescent="0.3">
      <c r="B512" s="365">
        <v>40291</v>
      </c>
      <c r="C512" s="367">
        <v>2.35</v>
      </c>
    </row>
    <row r="513" spans="2:3" ht="15.75" thickBot="1" x14ac:dyDescent="0.3">
      <c r="B513" s="366">
        <v>40290</v>
      </c>
      <c r="C513" s="368">
        <v>2.35</v>
      </c>
    </row>
    <row r="514" spans="2:3" ht="15.75" thickBot="1" x14ac:dyDescent="0.3">
      <c r="B514" s="365">
        <v>40289</v>
      </c>
      <c r="C514" s="367">
        <v>2.35</v>
      </c>
    </row>
    <row r="515" spans="2:3" ht="15.75" thickBot="1" x14ac:dyDescent="0.3">
      <c r="B515" s="366">
        <v>40288</v>
      </c>
      <c r="C515" s="368">
        <v>2.36</v>
      </c>
    </row>
    <row r="516" spans="2:3" ht="15.75" thickBot="1" x14ac:dyDescent="0.3">
      <c r="B516" s="365">
        <v>40287</v>
      </c>
      <c r="C516" s="367">
        <v>2.395</v>
      </c>
    </row>
    <row r="517" spans="2:3" ht="15.75" thickBot="1" x14ac:dyDescent="0.3">
      <c r="B517" s="366">
        <v>40283</v>
      </c>
      <c r="C517" s="368">
        <v>2.38</v>
      </c>
    </row>
    <row r="518" spans="2:3" ht="15.75" thickBot="1" x14ac:dyDescent="0.3">
      <c r="B518" s="365">
        <v>40282</v>
      </c>
      <c r="C518" s="367">
        <v>2.35</v>
      </c>
    </row>
    <row r="519" spans="2:3" ht="15.75" thickBot="1" x14ac:dyDescent="0.3">
      <c r="B519" s="366">
        <v>40281</v>
      </c>
      <c r="C519" s="368">
        <v>2.38</v>
      </c>
    </row>
    <row r="520" spans="2:3" ht="15.75" thickBot="1" x14ac:dyDescent="0.3">
      <c r="B520" s="365">
        <v>40277</v>
      </c>
      <c r="C520" s="367">
        <v>2.2999999999999998</v>
      </c>
    </row>
    <row r="521" spans="2:3" ht="15.75" thickBot="1" x14ac:dyDescent="0.3">
      <c r="B521" s="366">
        <v>40276</v>
      </c>
      <c r="C521" s="368">
        <v>2.35</v>
      </c>
    </row>
    <row r="522" spans="2:3" ht="15.75" thickBot="1" x14ac:dyDescent="0.3">
      <c r="B522" s="365">
        <v>40275</v>
      </c>
      <c r="C522" s="367">
        <v>2.35</v>
      </c>
    </row>
    <row r="523" spans="2:3" ht="15.75" thickBot="1" x14ac:dyDescent="0.3">
      <c r="B523" s="366">
        <v>40274</v>
      </c>
      <c r="C523" s="368">
        <v>2.46</v>
      </c>
    </row>
    <row r="524" spans="2:3" ht="15.75" thickBot="1" x14ac:dyDescent="0.3">
      <c r="B524" s="365">
        <v>40273</v>
      </c>
      <c r="C524" s="367">
        <v>2.46</v>
      </c>
    </row>
    <row r="525" spans="2:3" ht="15.75" thickBot="1" x14ac:dyDescent="0.3">
      <c r="B525" s="366">
        <v>40268</v>
      </c>
      <c r="C525" s="368">
        <v>2.46</v>
      </c>
    </row>
    <row r="526" spans="2:3" ht="15.75" thickBot="1" x14ac:dyDescent="0.3">
      <c r="B526" s="365">
        <v>40267</v>
      </c>
      <c r="C526" s="367">
        <v>2.44</v>
      </c>
    </row>
    <row r="527" spans="2:3" ht="15.75" thickBot="1" x14ac:dyDescent="0.3">
      <c r="B527" s="366">
        <v>40263</v>
      </c>
      <c r="C527" s="368">
        <v>2.4449999999999998</v>
      </c>
    </row>
    <row r="528" spans="2:3" ht="15.75" thickBot="1" x14ac:dyDescent="0.3">
      <c r="B528" s="365">
        <v>40260</v>
      </c>
      <c r="C528" s="367">
        <v>2.4449999999999998</v>
      </c>
    </row>
    <row r="529" spans="2:3" ht="15.75" thickBot="1" x14ac:dyDescent="0.3">
      <c r="B529" s="366">
        <v>40256</v>
      </c>
      <c r="C529" s="368">
        <v>2.4449999999999998</v>
      </c>
    </row>
    <row r="530" spans="2:3" ht="15.75" thickBot="1" x14ac:dyDescent="0.3">
      <c r="B530" s="365">
        <v>40253</v>
      </c>
      <c r="C530" s="367">
        <v>2.46</v>
      </c>
    </row>
    <row r="531" spans="2:3" ht="15.75" thickBot="1" x14ac:dyDescent="0.3">
      <c r="B531" s="366">
        <v>40249</v>
      </c>
      <c r="C531" s="368">
        <v>2.4</v>
      </c>
    </row>
    <row r="532" spans="2:3" ht="15.75" thickBot="1" x14ac:dyDescent="0.3">
      <c r="B532" s="365">
        <v>40248</v>
      </c>
      <c r="C532" s="367">
        <v>2.4</v>
      </c>
    </row>
    <row r="533" spans="2:3" ht="15.75" thickBot="1" x14ac:dyDescent="0.3">
      <c r="B533" s="366">
        <v>40247</v>
      </c>
      <c r="C533" s="368">
        <v>2.4249999999999998</v>
      </c>
    </row>
    <row r="534" spans="2:3" ht="15.75" thickBot="1" x14ac:dyDescent="0.3">
      <c r="B534" s="365">
        <v>40246</v>
      </c>
      <c r="C534" s="367">
        <v>2.5099999999999998</v>
      </c>
    </row>
    <row r="535" spans="2:3" ht="15.75" thickBot="1" x14ac:dyDescent="0.3">
      <c r="B535" s="366">
        <v>40245</v>
      </c>
      <c r="C535" s="368">
        <v>2.4750000000000001</v>
      </c>
    </row>
    <row r="536" spans="2:3" ht="15.75" thickBot="1" x14ac:dyDescent="0.3">
      <c r="B536" s="365">
        <v>40242</v>
      </c>
      <c r="C536" s="367">
        <v>2.42</v>
      </c>
    </row>
    <row r="537" spans="2:3" ht="15.75" thickBot="1" x14ac:dyDescent="0.3">
      <c r="B537" s="366">
        <v>40241</v>
      </c>
      <c r="C537" s="368">
        <v>2.4049999999999998</v>
      </c>
    </row>
    <row r="538" spans="2:3" ht="15.75" thickBot="1" x14ac:dyDescent="0.3">
      <c r="B538" s="365">
        <v>40240</v>
      </c>
      <c r="C538" s="367">
        <v>2.4300000000000002</v>
      </c>
    </row>
    <row r="539" spans="2:3" ht="15.75" thickBot="1" x14ac:dyDescent="0.3">
      <c r="B539" s="366">
        <v>40239</v>
      </c>
      <c r="C539" s="368">
        <v>2.44</v>
      </c>
    </row>
    <row r="540" spans="2:3" ht="15.75" thickBot="1" x14ac:dyDescent="0.3">
      <c r="B540" s="365">
        <v>40238</v>
      </c>
      <c r="C540" s="367">
        <v>2.4950000000000001</v>
      </c>
    </row>
    <row r="541" spans="2:3" ht="15.75" thickBot="1" x14ac:dyDescent="0.3">
      <c r="B541" s="366">
        <v>40235</v>
      </c>
      <c r="C541" s="368">
        <v>2.4950000000000001</v>
      </c>
    </row>
    <row r="542" spans="2:3" ht="15.75" thickBot="1" x14ac:dyDescent="0.3">
      <c r="B542" s="365">
        <v>40234</v>
      </c>
      <c r="C542" s="367">
        <v>2.4649999999999999</v>
      </c>
    </row>
    <row r="543" spans="2:3" ht="15.75" thickBot="1" x14ac:dyDescent="0.3">
      <c r="B543" s="366">
        <v>40233</v>
      </c>
      <c r="C543" s="368">
        <v>2.4750000000000001</v>
      </c>
    </row>
    <row r="544" spans="2:3" ht="15.75" thickBot="1" x14ac:dyDescent="0.3">
      <c r="B544" s="365">
        <v>40232</v>
      </c>
      <c r="C544" s="367">
        <v>2.5350000000000001</v>
      </c>
    </row>
    <row r="545" spans="2:3" ht="15.75" thickBot="1" x14ac:dyDescent="0.3">
      <c r="B545" s="366">
        <v>40231</v>
      </c>
      <c r="C545" s="368">
        <v>2.63</v>
      </c>
    </row>
    <row r="546" spans="2:3" ht="15.75" thickBot="1" x14ac:dyDescent="0.3">
      <c r="B546" s="365">
        <v>40228</v>
      </c>
      <c r="C546" s="367">
        <v>2.61</v>
      </c>
    </row>
    <row r="547" spans="2:3" ht="15.75" thickBot="1" x14ac:dyDescent="0.3">
      <c r="B547" s="366">
        <v>40227</v>
      </c>
      <c r="C547" s="368">
        <v>2.62</v>
      </c>
    </row>
    <row r="548" spans="2:3" ht="15.75" thickBot="1" x14ac:dyDescent="0.3">
      <c r="B548" s="365">
        <v>40226</v>
      </c>
      <c r="C548" s="367">
        <v>2.62</v>
      </c>
    </row>
    <row r="549" spans="2:3" ht="15.75" thickBot="1" x14ac:dyDescent="0.3">
      <c r="B549" s="366">
        <v>40225</v>
      </c>
      <c r="C549" s="368">
        <v>2.665</v>
      </c>
    </row>
    <row r="550" spans="2:3" ht="15.75" thickBot="1" x14ac:dyDescent="0.3">
      <c r="B550" s="365">
        <v>40224</v>
      </c>
      <c r="C550" s="367">
        <v>2.645</v>
      </c>
    </row>
    <row r="551" spans="2:3" ht="15.75" thickBot="1" x14ac:dyDescent="0.3">
      <c r="B551" s="366">
        <v>40221</v>
      </c>
      <c r="C551" s="368">
        <v>2.645</v>
      </c>
    </row>
    <row r="552" spans="2:3" ht="15.75" thickBot="1" x14ac:dyDescent="0.3">
      <c r="B552" s="365">
        <v>40220</v>
      </c>
      <c r="C552" s="367">
        <v>2.62</v>
      </c>
    </row>
    <row r="553" spans="2:3" ht="15.75" thickBot="1" x14ac:dyDescent="0.3">
      <c r="B553" s="366">
        <v>40219</v>
      </c>
      <c r="C553" s="368">
        <v>2.62</v>
      </c>
    </row>
    <row r="554" spans="2:3" ht="15.75" thickBot="1" x14ac:dyDescent="0.3">
      <c r="B554" s="365">
        <v>40218</v>
      </c>
      <c r="C554" s="367">
        <v>2.6150000000000002</v>
      </c>
    </row>
    <row r="555" spans="2:3" ht="15.75" thickBot="1" x14ac:dyDescent="0.3">
      <c r="B555" s="366">
        <v>40217</v>
      </c>
      <c r="C555" s="368">
        <v>2.63</v>
      </c>
    </row>
    <row r="556" spans="2:3" ht="15.75" thickBot="1" x14ac:dyDescent="0.3">
      <c r="B556" s="365">
        <v>40214</v>
      </c>
      <c r="C556" s="367">
        <v>2.605</v>
      </c>
    </row>
    <row r="557" spans="2:3" ht="15.75" thickBot="1" x14ac:dyDescent="0.3">
      <c r="B557" s="366">
        <v>40212</v>
      </c>
      <c r="C557" s="368">
        <v>2.54</v>
      </c>
    </row>
    <row r="558" spans="2:3" ht="15.75" thickBot="1" x14ac:dyDescent="0.3">
      <c r="B558" s="365">
        <v>40210</v>
      </c>
      <c r="C558" s="367">
        <v>2.64</v>
      </c>
    </row>
    <row r="559" spans="2:3" ht="15.75" thickBot="1" x14ac:dyDescent="0.3">
      <c r="B559" s="366">
        <v>40207</v>
      </c>
      <c r="C559" s="368">
        <v>2.665</v>
      </c>
    </row>
    <row r="560" spans="2:3" ht="15.75" thickBot="1" x14ac:dyDescent="0.3">
      <c r="B560" s="365">
        <v>40206</v>
      </c>
      <c r="C560" s="367">
        <v>2.5950000000000002</v>
      </c>
    </row>
    <row r="561" spans="2:3" ht="15.75" thickBot="1" x14ac:dyDescent="0.3">
      <c r="B561" s="366">
        <v>40205</v>
      </c>
      <c r="C561" s="368">
        <v>2.6</v>
      </c>
    </row>
    <row r="562" spans="2:3" ht="15.75" thickBot="1" x14ac:dyDescent="0.3">
      <c r="B562" s="365">
        <v>40203</v>
      </c>
      <c r="C562" s="367">
        <v>2.63</v>
      </c>
    </row>
    <row r="563" spans="2:3" ht="15.75" thickBot="1" x14ac:dyDescent="0.3">
      <c r="B563" s="366">
        <v>40200</v>
      </c>
      <c r="C563" s="368">
        <v>2.63</v>
      </c>
    </row>
    <row r="564" spans="2:3" ht="15.75" thickBot="1" x14ac:dyDescent="0.3">
      <c r="B564" s="365">
        <v>40199</v>
      </c>
      <c r="C564" s="367">
        <v>2.63</v>
      </c>
    </row>
    <row r="565" spans="2:3" ht="15.75" thickBot="1" x14ac:dyDescent="0.3">
      <c r="B565" s="366">
        <v>40198</v>
      </c>
      <c r="C565" s="368">
        <v>2.6</v>
      </c>
    </row>
    <row r="566" spans="2:3" ht="15.75" thickBot="1" x14ac:dyDescent="0.3">
      <c r="B566" s="365">
        <v>40197</v>
      </c>
      <c r="C566" s="367">
        <v>2.64</v>
      </c>
    </row>
    <row r="567" spans="2:3" ht="15.75" thickBot="1" x14ac:dyDescent="0.3">
      <c r="B567" s="366">
        <v>40196</v>
      </c>
      <c r="C567" s="368">
        <v>2.6</v>
      </c>
    </row>
    <row r="568" spans="2:3" ht="15.75" thickBot="1" x14ac:dyDescent="0.3">
      <c r="B568" s="365">
        <v>40193</v>
      </c>
      <c r="C568" s="367">
        <v>2.6</v>
      </c>
    </row>
    <row r="569" spans="2:3" ht="15.75" thickBot="1" x14ac:dyDescent="0.3">
      <c r="B569" s="366">
        <v>40192</v>
      </c>
      <c r="C569" s="368">
        <v>2.6</v>
      </c>
    </row>
    <row r="570" spans="2:3" ht="15.75" thickBot="1" x14ac:dyDescent="0.3">
      <c r="B570" s="365">
        <v>40191</v>
      </c>
      <c r="C570" s="367">
        <v>2.6949999999999998</v>
      </c>
    </row>
    <row r="571" spans="2:3" ht="15.75" thickBot="1" x14ac:dyDescent="0.3">
      <c r="B571" s="366">
        <v>40186</v>
      </c>
      <c r="C571" s="368">
        <v>2.6949999999999998</v>
      </c>
    </row>
    <row r="572" spans="2:3" ht="15.75" thickBot="1" x14ac:dyDescent="0.3">
      <c r="B572" s="365">
        <v>40185</v>
      </c>
      <c r="C572" s="367">
        <v>2.6749999999999998</v>
      </c>
    </row>
    <row r="573" spans="2:3" ht="15.75" thickBot="1" x14ac:dyDescent="0.3">
      <c r="B573" s="366">
        <v>40183</v>
      </c>
      <c r="C573" s="368">
        <v>2.6749999999999998</v>
      </c>
    </row>
    <row r="574" spans="2:3" ht="15.75" thickBot="1" x14ac:dyDescent="0.3">
      <c r="B574" s="365">
        <v>40182</v>
      </c>
      <c r="C574" s="367">
        <v>2.65</v>
      </c>
    </row>
    <row r="575" spans="2:3" ht="15.75" thickBot="1" x14ac:dyDescent="0.3">
      <c r="B575" s="366">
        <v>40177</v>
      </c>
      <c r="C575" s="368">
        <v>2.65</v>
      </c>
    </row>
    <row r="576" spans="2:3" ht="15.75" thickBot="1" x14ac:dyDescent="0.3">
      <c r="B576" s="365">
        <v>40175</v>
      </c>
      <c r="C576" s="367">
        <v>2.6</v>
      </c>
    </row>
    <row r="577" spans="2:3" ht="15.75" thickBot="1" x14ac:dyDescent="0.3">
      <c r="B577" s="366">
        <v>40171</v>
      </c>
      <c r="C577" s="368">
        <v>2.5950000000000002</v>
      </c>
    </row>
    <row r="578" spans="2:3" ht="15.75" thickBot="1" x14ac:dyDescent="0.3">
      <c r="B578" s="365">
        <v>40170</v>
      </c>
      <c r="C578" s="367">
        <v>2.35</v>
      </c>
    </row>
    <row r="579" spans="2:3" ht="15.75" thickBot="1" x14ac:dyDescent="0.3">
      <c r="B579" s="366">
        <v>40169</v>
      </c>
      <c r="C579" s="368">
        <v>2.36</v>
      </c>
    </row>
    <row r="580" spans="2:3" ht="15.75" thickBot="1" x14ac:dyDescent="0.3">
      <c r="B580" s="365">
        <v>40168</v>
      </c>
      <c r="C580" s="367">
        <v>2.4350000000000001</v>
      </c>
    </row>
    <row r="581" spans="2:3" ht="15.75" thickBot="1" x14ac:dyDescent="0.3">
      <c r="B581" s="366">
        <v>40165</v>
      </c>
      <c r="C581" s="368">
        <v>2.54</v>
      </c>
    </row>
    <row r="582" spans="2:3" ht="15.75" thickBot="1" x14ac:dyDescent="0.3">
      <c r="B582" s="365">
        <v>40164</v>
      </c>
      <c r="C582" s="367">
        <v>2.5950000000000002</v>
      </c>
    </row>
    <row r="583" spans="2:3" ht="15.75" thickBot="1" x14ac:dyDescent="0.3">
      <c r="B583" s="366">
        <v>40162</v>
      </c>
      <c r="C583" s="368">
        <v>2.65</v>
      </c>
    </row>
    <row r="584" spans="2:3" ht="15.75" thickBot="1" x14ac:dyDescent="0.3">
      <c r="B584" s="365">
        <v>40161</v>
      </c>
      <c r="C584" s="367">
        <v>2.65</v>
      </c>
    </row>
    <row r="585" spans="2:3" ht="15.75" thickBot="1" x14ac:dyDescent="0.3">
      <c r="B585" s="366">
        <v>40158</v>
      </c>
      <c r="C585" s="368">
        <v>2.665</v>
      </c>
    </row>
    <row r="586" spans="2:3" ht="15.75" thickBot="1" x14ac:dyDescent="0.3">
      <c r="B586" s="365">
        <v>40157</v>
      </c>
      <c r="C586" s="367">
        <v>2.64</v>
      </c>
    </row>
    <row r="587" spans="2:3" ht="15.75" thickBot="1" x14ac:dyDescent="0.3">
      <c r="B587" s="366">
        <v>40156</v>
      </c>
      <c r="C587" s="368">
        <v>2.65</v>
      </c>
    </row>
    <row r="588" spans="2:3" ht="15.75" thickBot="1" x14ac:dyDescent="0.3">
      <c r="B588" s="365">
        <v>40148</v>
      </c>
      <c r="C588" s="367">
        <v>2.5950000000000002</v>
      </c>
    </row>
    <row r="589" spans="2:3" ht="15.75" thickBot="1" x14ac:dyDescent="0.3">
      <c r="B589" s="366">
        <v>40144</v>
      </c>
      <c r="C589" s="368">
        <v>2.6949999999999998</v>
      </c>
    </row>
    <row r="590" spans="2:3" ht="15.75" thickBot="1" x14ac:dyDescent="0.3">
      <c r="B590" s="365">
        <v>40143</v>
      </c>
      <c r="C590" s="367">
        <v>2.6150000000000002</v>
      </c>
    </row>
    <row r="591" spans="2:3" ht="15.75" thickBot="1" x14ac:dyDescent="0.3">
      <c r="B591" s="366">
        <v>40142</v>
      </c>
      <c r="C591" s="368">
        <v>2.7149999999999999</v>
      </c>
    </row>
    <row r="592" spans="2:3" ht="15.75" thickBot="1" x14ac:dyDescent="0.3">
      <c r="B592" s="365">
        <v>40140</v>
      </c>
      <c r="C592" s="367">
        <v>2.7149999999999999</v>
      </c>
    </row>
    <row r="593" spans="2:3" ht="15.75" thickBot="1" x14ac:dyDescent="0.3">
      <c r="B593" s="366">
        <v>40137</v>
      </c>
      <c r="C593" s="368">
        <v>2.76</v>
      </c>
    </row>
    <row r="594" spans="2:3" ht="15.75" thickBot="1" x14ac:dyDescent="0.3">
      <c r="B594" s="365">
        <v>40135</v>
      </c>
      <c r="C594" s="367">
        <v>2.71</v>
      </c>
    </row>
    <row r="595" spans="2:3" ht="15.75" thickBot="1" x14ac:dyDescent="0.3">
      <c r="B595" s="366">
        <v>40130</v>
      </c>
      <c r="C595" s="368">
        <v>2.7</v>
      </c>
    </row>
    <row r="596" spans="2:3" ht="15.75" thickBot="1" x14ac:dyDescent="0.3">
      <c r="B596" s="365">
        <v>40129</v>
      </c>
      <c r="C596" s="367">
        <v>2.6850000000000001</v>
      </c>
    </row>
    <row r="597" spans="2:3" ht="15.75" thickBot="1" x14ac:dyDescent="0.3">
      <c r="B597" s="366">
        <v>40128</v>
      </c>
      <c r="C597" s="368">
        <v>2.6749999999999998</v>
      </c>
    </row>
    <row r="598" spans="2:3" ht="15.75" thickBot="1" x14ac:dyDescent="0.3">
      <c r="B598" s="365">
        <v>40127</v>
      </c>
      <c r="C598" s="367">
        <v>2.6549999999999998</v>
      </c>
    </row>
    <row r="599" spans="2:3" ht="15.75" thickBot="1" x14ac:dyDescent="0.3">
      <c r="B599" s="366">
        <v>40126</v>
      </c>
      <c r="C599" s="368">
        <v>2.5950000000000002</v>
      </c>
    </row>
    <row r="600" spans="2:3" ht="15.75" thickBot="1" x14ac:dyDescent="0.3">
      <c r="B600" s="365">
        <v>40123</v>
      </c>
      <c r="C600" s="367">
        <v>2.6150000000000002</v>
      </c>
    </row>
    <row r="601" spans="2:3" ht="15.75" thickBot="1" x14ac:dyDescent="0.3">
      <c r="B601" s="366">
        <v>40122</v>
      </c>
      <c r="C601" s="368">
        <v>2.66</v>
      </c>
    </row>
    <row r="602" spans="2:3" ht="15.75" thickBot="1" x14ac:dyDescent="0.3">
      <c r="B602" s="365">
        <v>40121</v>
      </c>
      <c r="C602" s="367">
        <v>2.6349999999999998</v>
      </c>
    </row>
    <row r="603" spans="2:3" ht="15.75" thickBot="1" x14ac:dyDescent="0.3">
      <c r="B603" s="366">
        <v>40120</v>
      </c>
      <c r="C603" s="368">
        <v>2.6749999999999998</v>
      </c>
    </row>
    <row r="604" spans="2:3" ht="15.75" thickBot="1" x14ac:dyDescent="0.3">
      <c r="B604" s="365">
        <v>40116</v>
      </c>
      <c r="C604" s="367">
        <v>2.7450000000000001</v>
      </c>
    </row>
    <row r="605" spans="2:3" ht="15.75" thickBot="1" x14ac:dyDescent="0.3">
      <c r="B605" s="366">
        <v>40115</v>
      </c>
      <c r="C605" s="368">
        <v>2.77</v>
      </c>
    </row>
    <row r="606" spans="2:3" ht="15.75" thickBot="1" x14ac:dyDescent="0.3">
      <c r="B606" s="365">
        <v>40114</v>
      </c>
      <c r="C606" s="367">
        <v>2.7349999999999999</v>
      </c>
    </row>
    <row r="607" spans="2:3" ht="15.75" thickBot="1" x14ac:dyDescent="0.3">
      <c r="B607" s="366">
        <v>40113</v>
      </c>
      <c r="C607" s="368">
        <v>2.6850000000000001</v>
      </c>
    </row>
    <row r="608" spans="2:3" ht="15.75" thickBot="1" x14ac:dyDescent="0.3">
      <c r="B608" s="365">
        <v>40112</v>
      </c>
      <c r="C608" s="367">
        <v>2.6850000000000001</v>
      </c>
    </row>
    <row r="609" spans="2:3" ht="15.75" thickBot="1" x14ac:dyDescent="0.3">
      <c r="B609" s="366">
        <v>40109</v>
      </c>
      <c r="C609" s="368">
        <v>2.6549999999999998</v>
      </c>
    </row>
    <row r="610" spans="2:3" ht="15.75" thickBot="1" x14ac:dyDescent="0.3">
      <c r="B610" s="365">
        <v>40108</v>
      </c>
      <c r="C610" s="367">
        <v>2.69</v>
      </c>
    </row>
    <row r="611" spans="2:3" ht="15.75" thickBot="1" x14ac:dyDescent="0.3">
      <c r="B611" s="366">
        <v>40107</v>
      </c>
      <c r="C611" s="368">
        <v>2.67</v>
      </c>
    </row>
    <row r="612" spans="2:3" ht="15.75" thickBot="1" x14ac:dyDescent="0.3">
      <c r="B612" s="365">
        <v>40106</v>
      </c>
      <c r="C612" s="367">
        <v>2.64</v>
      </c>
    </row>
    <row r="613" spans="2:3" ht="15.75" thickBot="1" x14ac:dyDescent="0.3">
      <c r="B613" s="366">
        <v>40105</v>
      </c>
      <c r="C613" s="368">
        <v>2.6349999999999998</v>
      </c>
    </row>
    <row r="614" spans="2:3" ht="15.75" thickBot="1" x14ac:dyDescent="0.3">
      <c r="B614" s="365">
        <v>40102</v>
      </c>
      <c r="C614" s="367">
        <v>2.645</v>
      </c>
    </row>
    <row r="615" spans="2:3" ht="15.75" thickBot="1" x14ac:dyDescent="0.3">
      <c r="B615" s="366">
        <v>40101</v>
      </c>
      <c r="C615" s="368">
        <v>2.665</v>
      </c>
    </row>
    <row r="616" spans="2:3" ht="15.75" thickBot="1" x14ac:dyDescent="0.3">
      <c r="B616" s="365">
        <v>40100</v>
      </c>
      <c r="C616" s="367">
        <v>2.6749999999999998</v>
      </c>
    </row>
    <row r="617" spans="2:3" ht="15.75" thickBot="1" x14ac:dyDescent="0.3">
      <c r="B617" s="366">
        <v>40099</v>
      </c>
      <c r="C617" s="368">
        <v>2.66</v>
      </c>
    </row>
    <row r="618" spans="2:3" ht="15.75" thickBot="1" x14ac:dyDescent="0.3">
      <c r="B618" s="365">
        <v>40095</v>
      </c>
      <c r="C618" s="367">
        <v>2.6749999999999998</v>
      </c>
    </row>
    <row r="619" spans="2:3" ht="15.75" thickBot="1" x14ac:dyDescent="0.3">
      <c r="B619" s="366">
        <v>40094</v>
      </c>
      <c r="C619" s="368">
        <v>2.6850000000000001</v>
      </c>
    </row>
    <row r="620" spans="2:3" ht="15.75" thickBot="1" x14ac:dyDescent="0.3">
      <c r="B620" s="365">
        <v>40093</v>
      </c>
      <c r="C620" s="367">
        <v>2.7149999999999999</v>
      </c>
    </row>
    <row r="621" spans="2:3" ht="15.75" thickBot="1" x14ac:dyDescent="0.3">
      <c r="B621" s="366">
        <v>40092</v>
      </c>
      <c r="C621" s="368">
        <v>2.72</v>
      </c>
    </row>
    <row r="622" spans="2:3" ht="15.75" thickBot="1" x14ac:dyDescent="0.3">
      <c r="B622" s="365">
        <v>40091</v>
      </c>
      <c r="C622" s="367">
        <v>2.6749999999999998</v>
      </c>
    </row>
    <row r="623" spans="2:3" ht="15.75" thickBot="1" x14ac:dyDescent="0.3">
      <c r="B623" s="366">
        <v>40088</v>
      </c>
      <c r="C623" s="368">
        <v>2.7250000000000001</v>
      </c>
    </row>
    <row r="624" spans="2:3" ht="15.75" thickBot="1" x14ac:dyDescent="0.3">
      <c r="B624" s="365">
        <v>40087</v>
      </c>
      <c r="C624" s="367">
        <v>2.68</v>
      </c>
    </row>
    <row r="625" spans="2:3" ht="15.75" thickBot="1" x14ac:dyDescent="0.3">
      <c r="B625" s="366">
        <v>40086</v>
      </c>
      <c r="C625" s="368">
        <v>2.6949999999999998</v>
      </c>
    </row>
    <row r="626" spans="2:3" ht="15.75" thickBot="1" x14ac:dyDescent="0.3">
      <c r="B626" s="365">
        <v>40085</v>
      </c>
      <c r="C626" s="367">
        <v>2.7050000000000001</v>
      </c>
    </row>
    <row r="627" spans="2:3" ht="15.75" thickBot="1" x14ac:dyDescent="0.3">
      <c r="B627" s="366">
        <v>40084</v>
      </c>
      <c r="C627" s="368">
        <v>2.63</v>
      </c>
    </row>
    <row r="628" spans="2:3" ht="15.75" thickBot="1" x14ac:dyDescent="0.3">
      <c r="B628" s="365">
        <v>40081</v>
      </c>
      <c r="C628" s="367">
        <v>2.59</v>
      </c>
    </row>
    <row r="629" spans="2:3" ht="15.75" thickBot="1" x14ac:dyDescent="0.3">
      <c r="B629" s="366">
        <v>40080</v>
      </c>
      <c r="C629" s="368">
        <v>2.585</v>
      </c>
    </row>
    <row r="630" spans="2:3" ht="15.75" thickBot="1" x14ac:dyDescent="0.3">
      <c r="B630" s="365">
        <v>40079</v>
      </c>
      <c r="C630" s="367">
        <v>2.59</v>
      </c>
    </row>
    <row r="631" spans="2:3" ht="15.75" thickBot="1" x14ac:dyDescent="0.3">
      <c r="B631" s="366">
        <v>40078</v>
      </c>
      <c r="C631" s="368">
        <v>2.54</v>
      </c>
    </row>
    <row r="632" spans="2:3" ht="15.75" thickBot="1" x14ac:dyDescent="0.3">
      <c r="B632" s="365">
        <v>40077</v>
      </c>
      <c r="C632" s="367">
        <v>2.56</v>
      </c>
    </row>
    <row r="633" spans="2:3" ht="15.75" thickBot="1" x14ac:dyDescent="0.3">
      <c r="B633" s="366">
        <v>40074</v>
      </c>
      <c r="C633" s="368">
        <v>2.57</v>
      </c>
    </row>
    <row r="634" spans="2:3" ht="15.75" thickBot="1" x14ac:dyDescent="0.3">
      <c r="B634" s="365">
        <v>40073</v>
      </c>
      <c r="C634" s="367">
        <v>2.58</v>
      </c>
    </row>
    <row r="635" spans="2:3" ht="15.75" thickBot="1" x14ac:dyDescent="0.3">
      <c r="B635" s="366">
        <v>40072</v>
      </c>
      <c r="C635" s="368">
        <v>2.5649999999999999</v>
      </c>
    </row>
    <row r="636" spans="2:3" ht="15.75" thickBot="1" x14ac:dyDescent="0.3">
      <c r="B636" s="365">
        <v>40071</v>
      </c>
      <c r="C636" s="367">
        <v>2.5750000000000002</v>
      </c>
    </row>
    <row r="637" spans="2:3" ht="15.75" thickBot="1" x14ac:dyDescent="0.3">
      <c r="B637" s="366">
        <v>40070</v>
      </c>
      <c r="C637" s="368">
        <v>2.5750000000000002</v>
      </c>
    </row>
    <row r="638" spans="2:3" ht="15.75" thickBot="1" x14ac:dyDescent="0.3">
      <c r="B638" s="365">
        <v>40067</v>
      </c>
      <c r="C638" s="367">
        <v>2.59</v>
      </c>
    </row>
    <row r="639" spans="2:3" ht="15.75" thickBot="1" x14ac:dyDescent="0.3">
      <c r="B639" s="366">
        <v>40066</v>
      </c>
      <c r="C639" s="368">
        <v>2.6</v>
      </c>
    </row>
    <row r="640" spans="2:3" ht="15.75" thickBot="1" x14ac:dyDescent="0.3">
      <c r="B640" s="365">
        <v>40065</v>
      </c>
      <c r="C640" s="367">
        <v>2.605</v>
      </c>
    </row>
    <row r="641" spans="2:3" ht="15.75" thickBot="1" x14ac:dyDescent="0.3">
      <c r="B641" s="366">
        <v>40063</v>
      </c>
      <c r="C641" s="368">
        <v>2.63</v>
      </c>
    </row>
    <row r="642" spans="2:3" ht="15.75" thickBot="1" x14ac:dyDescent="0.3">
      <c r="B642" s="365">
        <v>40060</v>
      </c>
      <c r="C642" s="367">
        <v>2.63</v>
      </c>
    </row>
    <row r="643" spans="2:3" ht="15.75" thickBot="1" x14ac:dyDescent="0.3">
      <c r="B643" s="366">
        <v>40059</v>
      </c>
      <c r="C643" s="368">
        <v>2.64</v>
      </c>
    </row>
    <row r="644" spans="2:3" ht="15.75" thickBot="1" x14ac:dyDescent="0.3">
      <c r="B644" s="365">
        <v>40058</v>
      </c>
      <c r="C644" s="367">
        <v>2.64</v>
      </c>
    </row>
    <row r="645" spans="2:3" ht="15.75" thickBot="1" x14ac:dyDescent="0.3">
      <c r="B645" s="366">
        <v>40057</v>
      </c>
      <c r="C645" s="368">
        <v>2.67</v>
      </c>
    </row>
    <row r="646" spans="2:3" ht="15.75" thickBot="1" x14ac:dyDescent="0.3">
      <c r="B646" s="365">
        <v>40056</v>
      </c>
      <c r="C646" s="367">
        <v>2.6749999999999998</v>
      </c>
    </row>
    <row r="647" spans="2:3" ht="15.75" thickBot="1" x14ac:dyDescent="0.3">
      <c r="B647" s="366">
        <v>40053</v>
      </c>
      <c r="C647" s="368">
        <v>2.6949999999999998</v>
      </c>
    </row>
    <row r="648" spans="2:3" ht="15.75" thickBot="1" x14ac:dyDescent="0.3">
      <c r="B648" s="365">
        <v>40052</v>
      </c>
      <c r="C648" s="367">
        <v>2.62</v>
      </c>
    </row>
    <row r="649" spans="2:3" ht="15.75" thickBot="1" x14ac:dyDescent="0.3">
      <c r="B649" s="366">
        <v>40051</v>
      </c>
      <c r="C649" s="368">
        <v>2.5499999999999998</v>
      </c>
    </row>
    <row r="650" spans="2:3" ht="15.75" thickBot="1" x14ac:dyDescent="0.3">
      <c r="B650" s="365">
        <v>40050</v>
      </c>
      <c r="C650" s="367">
        <v>2.4950000000000001</v>
      </c>
    </row>
    <row r="651" spans="2:3" ht="15.75" thickBot="1" x14ac:dyDescent="0.3">
      <c r="B651" s="366">
        <v>40049</v>
      </c>
      <c r="C651" s="368">
        <v>2.4</v>
      </c>
    </row>
    <row r="652" spans="2:3" ht="15.75" thickBot="1" x14ac:dyDescent="0.3">
      <c r="B652" s="365">
        <v>40046</v>
      </c>
      <c r="C652" s="367">
        <v>2.3149999999999999</v>
      </c>
    </row>
    <row r="653" spans="2:3" ht="15.75" thickBot="1" x14ac:dyDescent="0.3">
      <c r="B653" s="366">
        <v>40045</v>
      </c>
      <c r="C653" s="368">
        <v>2.2400000000000002</v>
      </c>
    </row>
    <row r="654" spans="2:3" ht="15.75" thickBot="1" x14ac:dyDescent="0.3">
      <c r="B654" s="365">
        <v>40044</v>
      </c>
      <c r="C654" s="367">
        <v>2.17</v>
      </c>
    </row>
    <row r="655" spans="2:3" ht="15.75" thickBot="1" x14ac:dyDescent="0.3">
      <c r="B655" s="366">
        <v>40043</v>
      </c>
      <c r="C655" s="368">
        <v>2.13</v>
      </c>
    </row>
    <row r="656" spans="2:3" ht="15.75" thickBot="1" x14ac:dyDescent="0.3">
      <c r="B656" s="365">
        <v>40039</v>
      </c>
      <c r="C656" s="367">
        <v>2.15</v>
      </c>
    </row>
    <row r="657" spans="2:3" ht="15.75" thickBot="1" x14ac:dyDescent="0.3">
      <c r="B657" s="366">
        <v>40038</v>
      </c>
      <c r="C657" s="368">
        <v>2.16</v>
      </c>
    </row>
    <row r="658" spans="2:3" ht="15.75" thickBot="1" x14ac:dyDescent="0.3">
      <c r="B658" s="365">
        <v>40037</v>
      </c>
      <c r="C658" s="367">
        <v>2.17</v>
      </c>
    </row>
    <row r="659" spans="2:3" ht="15.75" thickBot="1" x14ac:dyDescent="0.3">
      <c r="B659" s="366">
        <v>40036</v>
      </c>
      <c r="C659" s="368">
        <v>2.2599999999999998</v>
      </c>
    </row>
    <row r="660" spans="2:3" ht="15.75" thickBot="1" x14ac:dyDescent="0.3">
      <c r="B660" s="365">
        <v>40035</v>
      </c>
      <c r="C660" s="367">
        <v>2.2749999999999999</v>
      </c>
    </row>
    <row r="661" spans="2:3" ht="15.75" thickBot="1" x14ac:dyDescent="0.3">
      <c r="B661" s="366">
        <v>40031</v>
      </c>
      <c r="C661" s="368">
        <v>2.1949999999999998</v>
      </c>
    </row>
    <row r="662" spans="2:3" ht="15.75" thickBot="1" x14ac:dyDescent="0.3">
      <c r="B662" s="365">
        <v>40030</v>
      </c>
      <c r="C662" s="367">
        <v>2.1949999999999998</v>
      </c>
    </row>
    <row r="663" spans="2:3" ht="15.75" thickBot="1" x14ac:dyDescent="0.3">
      <c r="B663" s="366">
        <v>40029</v>
      </c>
      <c r="C663" s="368">
        <v>2.2000000000000002</v>
      </c>
    </row>
    <row r="664" spans="2:3" ht="15.75" thickBot="1" x14ac:dyDescent="0.3">
      <c r="B664" s="365">
        <v>40028</v>
      </c>
      <c r="C664" s="367">
        <v>2.1949999999999998</v>
      </c>
    </row>
    <row r="665" spans="2:3" ht="15.75" thickBot="1" x14ac:dyDescent="0.3">
      <c r="B665" s="366">
        <v>40025</v>
      </c>
      <c r="C665" s="368">
        <v>2.2850000000000001</v>
      </c>
    </row>
    <row r="666" spans="2:3" ht="15.75" thickBot="1" x14ac:dyDescent="0.3">
      <c r="B666" s="365">
        <v>40024</v>
      </c>
      <c r="C666" s="367">
        <v>2.2999999999999998</v>
      </c>
    </row>
    <row r="667" spans="2:3" ht="15.75" thickBot="1" x14ac:dyDescent="0.3">
      <c r="B667" s="366">
        <v>40023</v>
      </c>
      <c r="C667" s="368">
        <v>2.33</v>
      </c>
    </row>
    <row r="668" spans="2:3" ht="15.75" thickBot="1" x14ac:dyDescent="0.3">
      <c r="B668" s="365">
        <v>40022</v>
      </c>
      <c r="C668" s="367">
        <v>2.335</v>
      </c>
    </row>
    <row r="669" spans="2:3" ht="15.75" thickBot="1" x14ac:dyDescent="0.3">
      <c r="B669" s="366">
        <v>40021</v>
      </c>
      <c r="C669" s="368">
        <v>2.34</v>
      </c>
    </row>
    <row r="670" spans="2:3" ht="15.75" thickBot="1" x14ac:dyDescent="0.3">
      <c r="B670" s="365">
        <v>40018</v>
      </c>
      <c r="C670" s="367">
        <v>2.34</v>
      </c>
    </row>
    <row r="671" spans="2:3" ht="15.75" thickBot="1" x14ac:dyDescent="0.3">
      <c r="B671" s="366">
        <v>40017</v>
      </c>
      <c r="C671" s="368">
        <v>2.3650000000000002</v>
      </c>
    </row>
    <row r="672" spans="2:3" ht="15.75" thickBot="1" x14ac:dyDescent="0.3">
      <c r="B672" s="365">
        <v>40016</v>
      </c>
      <c r="C672" s="367">
        <v>2.46</v>
      </c>
    </row>
    <row r="673" spans="2:3" ht="15.75" thickBot="1" x14ac:dyDescent="0.3">
      <c r="B673" s="366">
        <v>40015</v>
      </c>
      <c r="C673" s="368">
        <v>2.4849999999999999</v>
      </c>
    </row>
    <row r="674" spans="2:3" ht="15.75" thickBot="1" x14ac:dyDescent="0.3">
      <c r="B674" s="365">
        <v>40011</v>
      </c>
      <c r="C674" s="367">
        <v>2.5299999999999998</v>
      </c>
    </row>
    <row r="675" spans="2:3" ht="15.75" thickBot="1" x14ac:dyDescent="0.3">
      <c r="B675" s="366">
        <v>40010</v>
      </c>
      <c r="C675" s="368">
        <v>2.5049999999999999</v>
      </c>
    </row>
    <row r="676" spans="2:3" ht="15.75" thickBot="1" x14ac:dyDescent="0.3">
      <c r="B676" s="365">
        <v>40009</v>
      </c>
      <c r="C676" s="367">
        <v>2.5150000000000001</v>
      </c>
    </row>
    <row r="677" spans="2:3" ht="15.75" thickBot="1" x14ac:dyDescent="0.3">
      <c r="B677" s="366">
        <v>40008</v>
      </c>
      <c r="C677" s="368">
        <v>2.5299999999999998</v>
      </c>
    </row>
    <row r="678" spans="2:3" ht="15.75" thickBot="1" x14ac:dyDescent="0.3">
      <c r="B678" s="365">
        <v>40007</v>
      </c>
      <c r="C678" s="367">
        <v>2.54</v>
      </c>
    </row>
    <row r="679" spans="2:3" ht="15.75" thickBot="1" x14ac:dyDescent="0.3">
      <c r="B679" s="366">
        <v>40004</v>
      </c>
      <c r="C679" s="368">
        <v>2.4849999999999999</v>
      </c>
    </row>
    <row r="680" spans="2:3" ht="15.75" thickBot="1" x14ac:dyDescent="0.3">
      <c r="B680" s="365">
        <v>40003</v>
      </c>
      <c r="C680" s="367">
        <v>2.4</v>
      </c>
    </row>
    <row r="681" spans="2:3" ht="15.75" thickBot="1" x14ac:dyDescent="0.3">
      <c r="B681" s="366">
        <v>40002</v>
      </c>
      <c r="C681" s="368">
        <v>2.41</v>
      </c>
    </row>
    <row r="682" spans="2:3" ht="15.75" thickBot="1" x14ac:dyDescent="0.3">
      <c r="B682" s="365">
        <v>40001</v>
      </c>
      <c r="C682" s="367">
        <v>2.4</v>
      </c>
    </row>
    <row r="683" spans="2:3" ht="15.75" thickBot="1" x14ac:dyDescent="0.3">
      <c r="B683" s="366">
        <v>40000</v>
      </c>
      <c r="C683" s="368">
        <v>2.41</v>
      </c>
    </row>
    <row r="684" spans="2:3" ht="15.75" thickBot="1" x14ac:dyDescent="0.3">
      <c r="B684" s="365">
        <v>39997</v>
      </c>
      <c r="C684" s="367">
        <v>2.41</v>
      </c>
    </row>
    <row r="685" spans="2:3" ht="15.75" thickBot="1" x14ac:dyDescent="0.3">
      <c r="B685" s="366">
        <v>39996</v>
      </c>
      <c r="C685" s="368">
        <v>2.37</v>
      </c>
    </row>
    <row r="686" spans="2:3" ht="15.75" thickBot="1" x14ac:dyDescent="0.3">
      <c r="B686" s="365">
        <v>39995</v>
      </c>
      <c r="C686" s="367">
        <v>2.42</v>
      </c>
    </row>
    <row r="687" spans="2:3" ht="15.75" thickBot="1" x14ac:dyDescent="0.3">
      <c r="B687" s="366">
        <v>39994</v>
      </c>
      <c r="C687" s="368">
        <v>2.46</v>
      </c>
    </row>
    <row r="688" spans="2:3" ht="15.75" thickBot="1" x14ac:dyDescent="0.3">
      <c r="B688" s="365">
        <v>39990</v>
      </c>
      <c r="C688" s="367">
        <v>2.4750000000000001</v>
      </c>
    </row>
    <row r="689" spans="2:3" ht="15.75" thickBot="1" x14ac:dyDescent="0.3">
      <c r="B689" s="366">
        <v>39989</v>
      </c>
      <c r="C689" s="368">
        <v>2.48</v>
      </c>
    </row>
    <row r="690" spans="2:3" ht="15.75" thickBot="1" x14ac:dyDescent="0.3">
      <c r="B690" s="365">
        <v>39988</v>
      </c>
      <c r="C690" s="367">
        <v>2.48</v>
      </c>
    </row>
    <row r="691" spans="2:3" ht="15.75" thickBot="1" x14ac:dyDescent="0.3">
      <c r="B691" s="366">
        <v>39987</v>
      </c>
      <c r="C691" s="368">
        <v>2.5</v>
      </c>
    </row>
    <row r="692" spans="2:3" ht="15.75" thickBot="1" x14ac:dyDescent="0.3">
      <c r="B692" s="365">
        <v>39983</v>
      </c>
      <c r="C692" s="367">
        <v>2.5499999999999998</v>
      </c>
    </row>
    <row r="693" spans="2:3" ht="15.75" thickBot="1" x14ac:dyDescent="0.3">
      <c r="B693" s="366">
        <v>39982</v>
      </c>
      <c r="C693" s="368">
        <v>2.5499999999999998</v>
      </c>
    </row>
    <row r="694" spans="2:3" ht="15.75" thickBot="1" x14ac:dyDescent="0.3">
      <c r="B694" s="365">
        <v>39981</v>
      </c>
      <c r="C694" s="367">
        <v>2.5499999999999998</v>
      </c>
    </row>
    <row r="695" spans="2:3" ht="15.75" thickBot="1" x14ac:dyDescent="0.3">
      <c r="B695" s="366">
        <v>39980</v>
      </c>
      <c r="C695" s="368">
        <v>2.5499999999999998</v>
      </c>
    </row>
    <row r="696" spans="2:3" ht="15.75" thickBot="1" x14ac:dyDescent="0.3">
      <c r="B696" s="365">
        <v>39976</v>
      </c>
      <c r="C696" s="367">
        <v>2.5499999999999998</v>
      </c>
    </row>
    <row r="697" spans="2:3" ht="15.75" thickBot="1" x14ac:dyDescent="0.3">
      <c r="B697" s="366">
        <v>39975</v>
      </c>
      <c r="C697" s="368">
        <v>2.57</v>
      </c>
    </row>
    <row r="698" spans="2:3" ht="15.75" thickBot="1" x14ac:dyDescent="0.3">
      <c r="B698" s="365">
        <v>39974</v>
      </c>
      <c r="C698" s="367">
        <v>2.4950000000000001</v>
      </c>
    </row>
    <row r="699" spans="2:3" ht="15.75" thickBot="1" x14ac:dyDescent="0.3">
      <c r="B699" s="366">
        <v>39973</v>
      </c>
      <c r="C699" s="368">
        <v>2.5049999999999999</v>
      </c>
    </row>
    <row r="700" spans="2:3" ht="15.75" thickBot="1" x14ac:dyDescent="0.3">
      <c r="B700" s="365">
        <v>39972</v>
      </c>
      <c r="C700" s="367">
        <v>2.5049999999999999</v>
      </c>
    </row>
    <row r="701" spans="2:3" ht="15.75" thickBot="1" x14ac:dyDescent="0.3">
      <c r="B701" s="366">
        <v>39969</v>
      </c>
      <c r="C701" s="368">
        <v>2.5249999999999999</v>
      </c>
    </row>
    <row r="702" spans="2:3" ht="15.75" thickBot="1" x14ac:dyDescent="0.3">
      <c r="B702" s="365">
        <v>39968</v>
      </c>
      <c r="C702" s="367">
        <v>2.5299999999999998</v>
      </c>
    </row>
    <row r="703" spans="2:3" ht="15.75" thickBot="1" x14ac:dyDescent="0.3">
      <c r="B703" s="366">
        <v>39967</v>
      </c>
      <c r="C703" s="368">
        <v>2.5299999999999998</v>
      </c>
    </row>
    <row r="704" spans="2:3" ht="15.75" thickBot="1" x14ac:dyDescent="0.3">
      <c r="B704" s="365">
        <v>39966</v>
      </c>
      <c r="C704" s="367">
        <v>2.54</v>
      </c>
    </row>
    <row r="705" spans="2:3" ht="15.75" thickBot="1" x14ac:dyDescent="0.3">
      <c r="B705" s="366">
        <v>39962</v>
      </c>
      <c r="C705" s="368">
        <v>2.5299999999999998</v>
      </c>
    </row>
    <row r="706" spans="2:3" ht="15.75" thickBot="1" x14ac:dyDescent="0.3">
      <c r="B706" s="365">
        <v>39961</v>
      </c>
      <c r="C706" s="367">
        <v>2.5499999999999998</v>
      </c>
    </row>
    <row r="707" spans="2:3" ht="15.75" thickBot="1" x14ac:dyDescent="0.3">
      <c r="B707" s="366">
        <v>39960</v>
      </c>
      <c r="C707" s="368">
        <v>2.54</v>
      </c>
    </row>
    <row r="708" spans="2:3" ht="15.75" thickBot="1" x14ac:dyDescent="0.3">
      <c r="B708" s="365">
        <v>39959</v>
      </c>
      <c r="C708" s="367">
        <v>2.6</v>
      </c>
    </row>
    <row r="709" spans="2:3" ht="15.75" thickBot="1" x14ac:dyDescent="0.3">
      <c r="B709" s="366">
        <v>39955</v>
      </c>
      <c r="C709" s="368">
        <v>2.585</v>
      </c>
    </row>
    <row r="710" spans="2:3" ht="15.75" thickBot="1" x14ac:dyDescent="0.3">
      <c r="B710" s="365">
        <v>39954</v>
      </c>
      <c r="C710" s="367">
        <v>2.6</v>
      </c>
    </row>
    <row r="711" spans="2:3" ht="15.75" thickBot="1" x14ac:dyDescent="0.3">
      <c r="B711" s="366">
        <v>39953</v>
      </c>
      <c r="C711" s="368">
        <v>2.58</v>
      </c>
    </row>
    <row r="712" spans="2:3" ht="15.75" thickBot="1" x14ac:dyDescent="0.3">
      <c r="B712" s="365">
        <v>39952</v>
      </c>
      <c r="C712" s="367">
        <v>2.605</v>
      </c>
    </row>
    <row r="713" spans="2:3" ht="15.75" thickBot="1" x14ac:dyDescent="0.3">
      <c r="B713" s="366">
        <v>39951</v>
      </c>
      <c r="C713" s="368">
        <v>2.6749999999999998</v>
      </c>
    </row>
    <row r="714" spans="2:3" ht="15.75" thickBot="1" x14ac:dyDescent="0.3">
      <c r="B714" s="365">
        <v>39948</v>
      </c>
      <c r="C714" s="367">
        <v>2.58</v>
      </c>
    </row>
    <row r="715" spans="2:3" ht="15.75" thickBot="1" x14ac:dyDescent="0.3">
      <c r="B715" s="366">
        <v>39947</v>
      </c>
      <c r="C715" s="368">
        <v>2.585</v>
      </c>
    </row>
    <row r="716" spans="2:3" ht="15.75" thickBot="1" x14ac:dyDescent="0.3">
      <c r="B716" s="365">
        <v>39946</v>
      </c>
      <c r="C716" s="367">
        <v>2.6349999999999998</v>
      </c>
    </row>
    <row r="717" spans="2:3" ht="15.75" thickBot="1" x14ac:dyDescent="0.3">
      <c r="B717" s="366">
        <v>39945</v>
      </c>
      <c r="C717" s="368">
        <v>2.6</v>
      </c>
    </row>
    <row r="718" spans="2:3" ht="15.75" thickBot="1" x14ac:dyDescent="0.3">
      <c r="B718" s="365">
        <v>39944</v>
      </c>
      <c r="C718" s="367">
        <v>2.6349999999999998</v>
      </c>
    </row>
    <row r="719" spans="2:3" ht="15.75" thickBot="1" x14ac:dyDescent="0.3">
      <c r="B719" s="366">
        <v>39941</v>
      </c>
      <c r="C719" s="368">
        <v>2.6349999999999998</v>
      </c>
    </row>
    <row r="720" spans="2:3" ht="15.75" thickBot="1" x14ac:dyDescent="0.3">
      <c r="B720" s="365">
        <v>39940</v>
      </c>
      <c r="C720" s="367">
        <v>2.67</v>
      </c>
    </row>
    <row r="721" spans="2:3" ht="15.75" thickBot="1" x14ac:dyDescent="0.3">
      <c r="B721" s="366">
        <v>39939</v>
      </c>
      <c r="C721" s="368">
        <v>2.64</v>
      </c>
    </row>
    <row r="722" spans="2:3" ht="15.75" thickBot="1" x14ac:dyDescent="0.3">
      <c r="B722" s="365">
        <v>39938</v>
      </c>
      <c r="C722" s="367">
        <v>2.63</v>
      </c>
    </row>
    <row r="723" spans="2:3" ht="15.75" thickBot="1" x14ac:dyDescent="0.3">
      <c r="B723" s="366">
        <v>39937</v>
      </c>
      <c r="C723" s="368">
        <v>2.625</v>
      </c>
    </row>
    <row r="724" spans="2:3" ht="15.75" thickBot="1" x14ac:dyDescent="0.3">
      <c r="B724" s="365">
        <v>39933</v>
      </c>
      <c r="C724" s="367">
        <v>2.62</v>
      </c>
    </row>
    <row r="725" spans="2:3" ht="15.75" thickBot="1" x14ac:dyDescent="0.3">
      <c r="B725" s="366">
        <v>39932</v>
      </c>
      <c r="C725" s="368">
        <v>2.62</v>
      </c>
    </row>
    <row r="726" spans="2:3" ht="15.75" thickBot="1" x14ac:dyDescent="0.3">
      <c r="B726" s="365">
        <v>39931</v>
      </c>
      <c r="C726" s="367">
        <v>2.625</v>
      </c>
    </row>
    <row r="727" spans="2:3" ht="15.75" thickBot="1" x14ac:dyDescent="0.3">
      <c r="B727" s="366">
        <v>39930</v>
      </c>
      <c r="C727" s="368">
        <v>2.54</v>
      </c>
    </row>
    <row r="728" spans="2:3" ht="15.75" thickBot="1" x14ac:dyDescent="0.3">
      <c r="B728" s="365">
        <v>39927</v>
      </c>
      <c r="C728" s="367">
        <v>2.6</v>
      </c>
    </row>
    <row r="729" spans="2:3" ht="15.75" thickBot="1" x14ac:dyDescent="0.3">
      <c r="B729" s="366">
        <v>39926</v>
      </c>
      <c r="C729" s="368">
        <v>2.4474999999999998</v>
      </c>
    </row>
    <row r="730" spans="2:3" ht="15.75" thickBot="1" x14ac:dyDescent="0.3">
      <c r="B730" s="365">
        <v>39925</v>
      </c>
      <c r="C730" s="367">
        <v>19.579999999999998</v>
      </c>
    </row>
    <row r="731" spans="2:3" ht="15.75" thickBot="1" x14ac:dyDescent="0.3">
      <c r="B731" s="366">
        <v>39924</v>
      </c>
      <c r="C731" s="368">
        <v>19.34</v>
      </c>
    </row>
    <row r="732" spans="2:3" ht="15.75" thickBot="1" x14ac:dyDescent="0.3">
      <c r="B732" s="365">
        <v>39923</v>
      </c>
      <c r="C732" s="367">
        <v>19.32</v>
      </c>
    </row>
    <row r="733" spans="2:3" ht="15.75" thickBot="1" x14ac:dyDescent="0.3">
      <c r="B733" s="366">
        <v>39920</v>
      </c>
      <c r="C733" s="368">
        <v>19.36</v>
      </c>
    </row>
    <row r="734" spans="2:3" ht="15.75" thickBot="1" x14ac:dyDescent="0.3">
      <c r="B734" s="365">
        <v>39919</v>
      </c>
      <c r="C734" s="367">
        <v>19.28</v>
      </c>
    </row>
    <row r="735" spans="2:3" ht="15.75" thickBot="1" x14ac:dyDescent="0.3">
      <c r="B735" s="366">
        <v>39918</v>
      </c>
      <c r="C735" s="368">
        <v>19.18</v>
      </c>
    </row>
    <row r="736" spans="2:3" ht="15.75" thickBot="1" x14ac:dyDescent="0.3">
      <c r="B736" s="365">
        <v>39917</v>
      </c>
      <c r="C736" s="367">
        <v>19.2</v>
      </c>
    </row>
    <row r="737" spans="2:3" ht="15.75" thickBot="1" x14ac:dyDescent="0.3">
      <c r="B737" s="366">
        <v>39916</v>
      </c>
      <c r="C737" s="368">
        <v>19.18</v>
      </c>
    </row>
    <row r="738" spans="2:3" ht="15.75" thickBot="1" x14ac:dyDescent="0.3">
      <c r="B738" s="365">
        <v>39911</v>
      </c>
      <c r="C738" s="367">
        <v>19.059999999999999</v>
      </c>
    </row>
    <row r="739" spans="2:3" ht="15.75" thickBot="1" x14ac:dyDescent="0.3">
      <c r="B739" s="366">
        <v>39910</v>
      </c>
      <c r="C739" s="368">
        <v>18.440000000000001</v>
      </c>
    </row>
    <row r="740" spans="2:3" ht="15.75" thickBot="1" x14ac:dyDescent="0.3">
      <c r="B740" s="365">
        <v>39909</v>
      </c>
      <c r="C740" s="367">
        <v>18.34</v>
      </c>
    </row>
    <row r="741" spans="2:3" ht="15.75" thickBot="1" x14ac:dyDescent="0.3">
      <c r="B741" s="366">
        <v>39906</v>
      </c>
      <c r="C741" s="368">
        <v>18.18</v>
      </c>
    </row>
    <row r="742" spans="2:3" ht="15.75" thickBot="1" x14ac:dyDescent="0.3">
      <c r="B742" s="365">
        <v>39905</v>
      </c>
      <c r="C742" s="367">
        <v>18.14</v>
      </c>
    </row>
    <row r="743" spans="2:3" ht="15.75" thickBot="1" x14ac:dyDescent="0.3">
      <c r="B743" s="366">
        <v>39904</v>
      </c>
      <c r="C743" s="368">
        <v>17.600000000000001</v>
      </c>
    </row>
    <row r="744" spans="2:3" ht="15.75" thickBot="1" x14ac:dyDescent="0.3">
      <c r="B744" s="365">
        <v>39903</v>
      </c>
      <c r="C744" s="367">
        <v>16.98</v>
      </c>
    </row>
    <row r="745" spans="2:3" ht="15.75" thickBot="1" x14ac:dyDescent="0.3">
      <c r="B745" s="366">
        <v>39902</v>
      </c>
      <c r="C745" s="368">
        <v>16.920000000000002</v>
      </c>
    </row>
    <row r="746" spans="2:3" ht="15.75" thickBot="1" x14ac:dyDescent="0.3">
      <c r="B746" s="365">
        <v>39899</v>
      </c>
      <c r="C746" s="367">
        <v>16.98</v>
      </c>
    </row>
    <row r="747" spans="2:3" ht="15.75" thickBot="1" x14ac:dyDescent="0.3">
      <c r="B747" s="366">
        <v>39898</v>
      </c>
      <c r="C747" s="368">
        <v>16.8</v>
      </c>
    </row>
    <row r="748" spans="2:3" ht="15.75" thickBot="1" x14ac:dyDescent="0.3">
      <c r="B748" s="365">
        <v>39897</v>
      </c>
      <c r="C748" s="367">
        <v>16.48</v>
      </c>
    </row>
    <row r="749" spans="2:3" ht="15.75" thickBot="1" x14ac:dyDescent="0.3">
      <c r="B749" s="366">
        <v>39896</v>
      </c>
      <c r="C749" s="368">
        <v>16.48</v>
      </c>
    </row>
    <row r="750" spans="2:3" ht="15.75" thickBot="1" x14ac:dyDescent="0.3">
      <c r="B750" s="365">
        <v>39892</v>
      </c>
      <c r="C750" s="367">
        <v>16.14</v>
      </c>
    </row>
    <row r="751" spans="2:3" ht="15.75" thickBot="1" x14ac:dyDescent="0.3">
      <c r="B751" s="366">
        <v>39891</v>
      </c>
      <c r="C751" s="368">
        <v>16.100000000000001</v>
      </c>
    </row>
    <row r="752" spans="2:3" ht="15.75" thickBot="1" x14ac:dyDescent="0.3">
      <c r="B752" s="365">
        <v>39890</v>
      </c>
      <c r="C752" s="367">
        <v>15.98</v>
      </c>
    </row>
    <row r="753" spans="2:3" ht="15.75" thickBot="1" x14ac:dyDescent="0.3">
      <c r="B753" s="366">
        <v>39889</v>
      </c>
      <c r="C753" s="368">
        <v>15.84</v>
      </c>
    </row>
    <row r="754" spans="2:3" ht="15.75" thickBot="1" x14ac:dyDescent="0.3">
      <c r="B754" s="365">
        <v>39888</v>
      </c>
      <c r="C754" s="367">
        <v>15.86</v>
      </c>
    </row>
    <row r="755" spans="2:3" ht="15.75" thickBot="1" x14ac:dyDescent="0.3">
      <c r="B755" s="366">
        <v>39885</v>
      </c>
      <c r="C755" s="368">
        <v>15.9</v>
      </c>
    </row>
    <row r="756" spans="2:3" ht="15.75" thickBot="1" x14ac:dyDescent="0.3">
      <c r="B756" s="365">
        <v>39884</v>
      </c>
      <c r="C756" s="367">
        <v>15.9</v>
      </c>
    </row>
    <row r="757" spans="2:3" ht="15.75" thickBot="1" x14ac:dyDescent="0.3">
      <c r="B757" s="366">
        <v>39883</v>
      </c>
      <c r="C757" s="368">
        <v>15.86</v>
      </c>
    </row>
    <row r="758" spans="2:3" ht="15.75" thickBot="1" x14ac:dyDescent="0.3">
      <c r="B758" s="365">
        <v>39882</v>
      </c>
      <c r="C758" s="367">
        <v>15.88</v>
      </c>
    </row>
    <row r="759" spans="2:3" ht="15.75" thickBot="1" x14ac:dyDescent="0.3">
      <c r="B759" s="366">
        <v>39881</v>
      </c>
      <c r="C759" s="368">
        <v>15.88</v>
      </c>
    </row>
    <row r="760" spans="2:3" ht="15.75" thickBot="1" x14ac:dyDescent="0.3">
      <c r="B760" s="365">
        <v>39878</v>
      </c>
      <c r="C760" s="367">
        <v>15.9</v>
      </c>
    </row>
    <row r="761" spans="2:3" ht="15.75" thickBot="1" x14ac:dyDescent="0.3">
      <c r="B761" s="366">
        <v>39877</v>
      </c>
      <c r="C761" s="368">
        <v>15.9</v>
      </c>
    </row>
    <row r="762" spans="2:3" ht="15.75" thickBot="1" x14ac:dyDescent="0.3">
      <c r="B762" s="365">
        <v>39876</v>
      </c>
      <c r="C762" s="367">
        <v>15.92</v>
      </c>
    </row>
    <row r="763" spans="2:3" ht="15.75" thickBot="1" x14ac:dyDescent="0.3">
      <c r="B763" s="366">
        <v>39875</v>
      </c>
      <c r="C763" s="368">
        <v>15.96</v>
      </c>
    </row>
    <row r="764" spans="2:3" ht="15.75" thickBot="1" x14ac:dyDescent="0.3">
      <c r="B764" s="365">
        <v>39874</v>
      </c>
      <c r="C764" s="367">
        <v>15.96</v>
      </c>
    </row>
    <row r="765" spans="2:3" ht="15.75" thickBot="1" x14ac:dyDescent="0.3">
      <c r="B765" s="366">
        <v>39871</v>
      </c>
      <c r="C765" s="368">
        <v>15.98</v>
      </c>
    </row>
    <row r="766" spans="2:3" ht="15.75" thickBot="1" x14ac:dyDescent="0.3">
      <c r="B766" s="365">
        <v>39870</v>
      </c>
      <c r="C766" s="367">
        <v>15.94</v>
      </c>
    </row>
    <row r="767" spans="2:3" ht="15.75" thickBot="1" x14ac:dyDescent="0.3">
      <c r="B767" s="366">
        <v>39869</v>
      </c>
      <c r="C767" s="368">
        <v>15.92</v>
      </c>
    </row>
    <row r="768" spans="2:3" ht="15.75" thickBot="1" x14ac:dyDescent="0.3">
      <c r="B768" s="365">
        <v>39868</v>
      </c>
      <c r="C768" s="367">
        <v>15.98</v>
      </c>
    </row>
    <row r="769" spans="2:3" ht="15.75" thickBot="1" x14ac:dyDescent="0.3">
      <c r="B769" s="366">
        <v>39867</v>
      </c>
      <c r="C769" s="368">
        <v>15.98</v>
      </c>
    </row>
    <row r="770" spans="2:3" ht="15.75" thickBot="1" x14ac:dyDescent="0.3">
      <c r="B770" s="365">
        <v>39864</v>
      </c>
      <c r="C770" s="367">
        <v>15.82</v>
      </c>
    </row>
    <row r="771" spans="2:3" ht="15.75" thickBot="1" x14ac:dyDescent="0.3">
      <c r="B771" s="366">
        <v>39863</v>
      </c>
      <c r="C771" s="368">
        <v>15.68</v>
      </c>
    </row>
    <row r="772" spans="2:3" ht="15.75" thickBot="1" x14ac:dyDescent="0.3">
      <c r="B772" s="365">
        <v>39862</v>
      </c>
      <c r="C772" s="367">
        <v>15.78</v>
      </c>
    </row>
    <row r="773" spans="2:3" ht="15.75" thickBot="1" x14ac:dyDescent="0.3">
      <c r="B773" s="366">
        <v>39861</v>
      </c>
      <c r="C773" s="368">
        <v>15.86</v>
      </c>
    </row>
    <row r="774" spans="2:3" ht="15.75" thickBot="1" x14ac:dyDescent="0.3">
      <c r="B774" s="365">
        <v>39860</v>
      </c>
      <c r="C774" s="367">
        <v>15.98</v>
      </c>
    </row>
    <row r="775" spans="2:3" ht="15.75" thickBot="1" x14ac:dyDescent="0.3">
      <c r="B775" s="366">
        <v>39857</v>
      </c>
      <c r="C775" s="368">
        <v>15.98</v>
      </c>
    </row>
    <row r="776" spans="2:3" ht="15.75" thickBot="1" x14ac:dyDescent="0.3">
      <c r="B776" s="365">
        <v>39856</v>
      </c>
      <c r="C776" s="367">
        <v>15.98</v>
      </c>
    </row>
    <row r="777" spans="2:3" ht="15.75" thickBot="1" x14ac:dyDescent="0.3">
      <c r="B777" s="366">
        <v>39855</v>
      </c>
      <c r="C777" s="368">
        <v>16.04</v>
      </c>
    </row>
    <row r="778" spans="2:3" ht="15.75" thickBot="1" x14ac:dyDescent="0.3">
      <c r="B778" s="365">
        <v>39854</v>
      </c>
      <c r="C778" s="367">
        <v>16.079999999999998</v>
      </c>
    </row>
    <row r="779" spans="2:3" ht="15.75" thickBot="1" x14ac:dyDescent="0.3">
      <c r="B779" s="366">
        <v>39853</v>
      </c>
      <c r="C779" s="368">
        <v>16.100000000000001</v>
      </c>
    </row>
    <row r="780" spans="2:3" ht="15.75" thickBot="1" x14ac:dyDescent="0.3">
      <c r="B780" s="365">
        <v>39850</v>
      </c>
      <c r="C780" s="367">
        <v>15.9</v>
      </c>
    </row>
    <row r="781" spans="2:3" ht="15.75" thickBot="1" x14ac:dyDescent="0.3">
      <c r="B781" s="366">
        <v>39849</v>
      </c>
      <c r="C781" s="368">
        <v>16.059999999999999</v>
      </c>
    </row>
    <row r="782" spans="2:3" ht="15.75" thickBot="1" x14ac:dyDescent="0.3">
      <c r="B782" s="365">
        <v>39848</v>
      </c>
      <c r="C782" s="367">
        <v>16.059999999999999</v>
      </c>
    </row>
    <row r="783" spans="2:3" ht="15.75" thickBot="1" x14ac:dyDescent="0.3">
      <c r="B783" s="366">
        <v>39847</v>
      </c>
      <c r="C783" s="368">
        <v>16.059999999999999</v>
      </c>
    </row>
    <row r="784" spans="2:3" ht="15.75" thickBot="1" x14ac:dyDescent="0.3">
      <c r="B784" s="365">
        <v>39846</v>
      </c>
      <c r="C784" s="367">
        <v>16.100000000000001</v>
      </c>
    </row>
    <row r="785" spans="2:3" ht="15.75" thickBot="1" x14ac:dyDescent="0.3">
      <c r="B785" s="366">
        <v>39843</v>
      </c>
      <c r="C785" s="368">
        <v>16.100000000000001</v>
      </c>
    </row>
    <row r="786" spans="2:3" ht="15.75" thickBot="1" x14ac:dyDescent="0.3">
      <c r="B786" s="365">
        <v>39842</v>
      </c>
      <c r="C786" s="367">
        <v>16.079999999999998</v>
      </c>
    </row>
    <row r="787" spans="2:3" ht="15.75" thickBot="1" x14ac:dyDescent="0.3">
      <c r="B787" s="366">
        <v>39841</v>
      </c>
      <c r="C787" s="368">
        <v>15.92</v>
      </c>
    </row>
    <row r="788" spans="2:3" ht="15.75" thickBot="1" x14ac:dyDescent="0.3">
      <c r="B788" s="365">
        <v>39840</v>
      </c>
      <c r="C788" s="367">
        <v>15.9</v>
      </c>
    </row>
    <row r="789" spans="2:3" ht="15.75" thickBot="1" x14ac:dyDescent="0.3">
      <c r="B789" s="366">
        <v>39839</v>
      </c>
      <c r="C789" s="368">
        <v>15.86</v>
      </c>
    </row>
    <row r="790" spans="2:3" ht="15.75" thickBot="1" x14ac:dyDescent="0.3">
      <c r="B790" s="365">
        <v>39836</v>
      </c>
      <c r="C790" s="367">
        <v>15.86</v>
      </c>
    </row>
    <row r="791" spans="2:3" ht="15.75" thickBot="1" x14ac:dyDescent="0.3">
      <c r="B791" s="366">
        <v>39835</v>
      </c>
      <c r="C791" s="368">
        <v>15.86</v>
      </c>
    </row>
    <row r="792" spans="2:3" ht="15.75" thickBot="1" x14ac:dyDescent="0.3">
      <c r="B792" s="365">
        <v>39834</v>
      </c>
      <c r="C792" s="367">
        <v>15.88</v>
      </c>
    </row>
    <row r="793" spans="2:3" ht="15.75" thickBot="1" x14ac:dyDescent="0.3">
      <c r="B793" s="366">
        <v>39833</v>
      </c>
      <c r="C793" s="368">
        <v>15.88</v>
      </c>
    </row>
    <row r="794" spans="2:3" ht="15.75" thickBot="1" x14ac:dyDescent="0.3">
      <c r="B794" s="365">
        <v>39832</v>
      </c>
      <c r="C794" s="367">
        <v>15.92</v>
      </c>
    </row>
    <row r="795" spans="2:3" ht="15.75" thickBot="1" x14ac:dyDescent="0.3">
      <c r="B795" s="366">
        <v>39829</v>
      </c>
      <c r="C795" s="368">
        <v>15.9</v>
      </c>
    </row>
    <row r="796" spans="2:3" ht="15.75" thickBot="1" x14ac:dyDescent="0.3">
      <c r="B796" s="365">
        <v>39828</v>
      </c>
      <c r="C796" s="367">
        <v>15.5</v>
      </c>
    </row>
    <row r="797" spans="2:3" ht="15.75" thickBot="1" x14ac:dyDescent="0.3">
      <c r="B797" s="366">
        <v>39827</v>
      </c>
      <c r="C797" s="368">
        <v>15.8</v>
      </c>
    </row>
    <row r="798" spans="2:3" ht="15.75" thickBot="1" x14ac:dyDescent="0.3">
      <c r="B798" s="365">
        <v>39826</v>
      </c>
      <c r="C798" s="367">
        <v>15.88</v>
      </c>
    </row>
    <row r="799" spans="2:3" ht="15.75" thickBot="1" x14ac:dyDescent="0.3">
      <c r="B799" s="366">
        <v>39822</v>
      </c>
      <c r="C799" s="368">
        <v>15.86</v>
      </c>
    </row>
    <row r="800" spans="2:3" ht="15.75" thickBot="1" x14ac:dyDescent="0.3">
      <c r="B800" s="365">
        <v>39821</v>
      </c>
      <c r="C800" s="367">
        <v>15.86</v>
      </c>
    </row>
    <row r="801" spans="2:3" ht="15.75" thickBot="1" x14ac:dyDescent="0.3">
      <c r="B801" s="366">
        <v>39820</v>
      </c>
      <c r="C801" s="368">
        <v>15.64</v>
      </c>
    </row>
    <row r="802" spans="2:3" ht="15.75" thickBot="1" x14ac:dyDescent="0.3">
      <c r="B802" s="365">
        <v>39819</v>
      </c>
      <c r="C802" s="367">
        <v>15.5</v>
      </c>
    </row>
    <row r="803" spans="2:3" ht="15.75" thickBot="1" x14ac:dyDescent="0.3">
      <c r="B803" s="366">
        <v>39818</v>
      </c>
      <c r="C803" s="368">
        <v>15.5</v>
      </c>
    </row>
    <row r="804" spans="2:3" ht="15.75" thickBot="1" x14ac:dyDescent="0.3">
      <c r="B804" s="365">
        <v>39815</v>
      </c>
      <c r="C804" s="367">
        <v>15.48</v>
      </c>
    </row>
    <row r="805" spans="2:3" ht="15.75" thickBot="1" x14ac:dyDescent="0.3">
      <c r="B805" s="366">
        <v>39812</v>
      </c>
      <c r="C805" s="368">
        <v>15.48</v>
      </c>
    </row>
    <row r="806" spans="2:3" ht="15.75" thickBot="1" x14ac:dyDescent="0.3">
      <c r="B806" s="365">
        <v>39811</v>
      </c>
      <c r="C806" s="367">
        <v>15.3</v>
      </c>
    </row>
    <row r="807" spans="2:3" ht="15.75" thickBot="1" x14ac:dyDescent="0.3">
      <c r="B807" s="366">
        <v>39808</v>
      </c>
      <c r="C807" s="368">
        <v>15.2</v>
      </c>
    </row>
    <row r="808" spans="2:3" ht="15.75" thickBot="1" x14ac:dyDescent="0.3">
      <c r="B808" s="365">
        <v>39806</v>
      </c>
      <c r="C808" s="367">
        <v>14.94</v>
      </c>
    </row>
    <row r="809" spans="2:3" ht="15.75" thickBot="1" x14ac:dyDescent="0.3">
      <c r="B809" s="366">
        <v>39805</v>
      </c>
      <c r="C809" s="368">
        <v>14.94</v>
      </c>
    </row>
    <row r="810" spans="2:3" ht="15.75" thickBot="1" x14ac:dyDescent="0.3">
      <c r="B810" s="365">
        <v>39804</v>
      </c>
      <c r="C810" s="367">
        <v>14.84</v>
      </c>
    </row>
    <row r="811" spans="2:3" ht="15.75" thickBot="1" x14ac:dyDescent="0.3">
      <c r="B811" s="366">
        <v>39801</v>
      </c>
      <c r="C811" s="368">
        <v>14.5</v>
      </c>
    </row>
    <row r="812" spans="2:3" ht="15.75" thickBot="1" x14ac:dyDescent="0.3">
      <c r="B812" s="365">
        <v>39800</v>
      </c>
      <c r="C812" s="367">
        <v>14.64</v>
      </c>
    </row>
    <row r="813" spans="2:3" ht="15.75" thickBot="1" x14ac:dyDescent="0.3">
      <c r="B813" s="366">
        <v>39799</v>
      </c>
      <c r="C813" s="368">
        <v>14.62</v>
      </c>
    </row>
    <row r="814" spans="2:3" ht="15.75" thickBot="1" x14ac:dyDescent="0.3">
      <c r="B814" s="365">
        <v>39798</v>
      </c>
      <c r="C814" s="367">
        <v>14.64</v>
      </c>
    </row>
    <row r="815" spans="2:3" ht="15.75" thickBot="1" x14ac:dyDescent="0.3">
      <c r="B815" s="366">
        <v>39797</v>
      </c>
      <c r="C815" s="368">
        <v>14.64</v>
      </c>
    </row>
    <row r="816" spans="2:3" ht="15.75" thickBot="1" x14ac:dyDescent="0.3">
      <c r="B816" s="365">
        <v>39794</v>
      </c>
      <c r="C816" s="367">
        <v>14.62</v>
      </c>
    </row>
    <row r="817" spans="2:3" ht="15.75" thickBot="1" x14ac:dyDescent="0.3">
      <c r="B817" s="366">
        <v>39793</v>
      </c>
      <c r="C817" s="368">
        <v>14.62</v>
      </c>
    </row>
    <row r="818" spans="2:3" ht="15.75" thickBot="1" x14ac:dyDescent="0.3">
      <c r="B818" s="365">
        <v>39792</v>
      </c>
      <c r="C818" s="367">
        <v>14.64</v>
      </c>
    </row>
    <row r="819" spans="2:3" ht="15.75" thickBot="1" x14ac:dyDescent="0.3">
      <c r="B819" s="366">
        <v>39791</v>
      </c>
      <c r="C819" s="368">
        <v>14.6</v>
      </c>
    </row>
    <row r="820" spans="2:3" ht="15.75" thickBot="1" x14ac:dyDescent="0.3">
      <c r="B820" s="365">
        <v>39787</v>
      </c>
      <c r="C820" s="367">
        <v>14.66</v>
      </c>
    </row>
    <row r="821" spans="2:3" ht="15.75" thickBot="1" x14ac:dyDescent="0.3">
      <c r="B821" s="366">
        <v>39786</v>
      </c>
      <c r="C821" s="368">
        <v>14.8</v>
      </c>
    </row>
    <row r="822" spans="2:3" ht="15.75" thickBot="1" x14ac:dyDescent="0.3">
      <c r="B822" s="365">
        <v>39785</v>
      </c>
      <c r="C822" s="367">
        <v>14.68</v>
      </c>
    </row>
    <row r="823" spans="2:3" ht="15.75" thickBot="1" x14ac:dyDescent="0.3">
      <c r="B823" s="366">
        <v>39784</v>
      </c>
      <c r="C823" s="368">
        <v>14.9</v>
      </c>
    </row>
    <row r="824" spans="2:3" ht="15.75" thickBot="1" x14ac:dyDescent="0.3">
      <c r="B824" s="365">
        <v>39783</v>
      </c>
      <c r="C824" s="367">
        <v>14.88</v>
      </c>
    </row>
    <row r="825" spans="2:3" ht="15.75" thickBot="1" x14ac:dyDescent="0.3">
      <c r="B825" s="366">
        <v>39780</v>
      </c>
      <c r="C825" s="368">
        <v>14.92</v>
      </c>
    </row>
    <row r="826" spans="2:3" ht="15.75" thickBot="1" x14ac:dyDescent="0.3">
      <c r="B826" s="365">
        <v>39779</v>
      </c>
      <c r="C826" s="367">
        <v>14.9</v>
      </c>
    </row>
    <row r="827" spans="2:3" ht="15.75" thickBot="1" x14ac:dyDescent="0.3">
      <c r="B827" s="366">
        <v>39778</v>
      </c>
      <c r="C827" s="368">
        <v>14.8</v>
      </c>
    </row>
    <row r="828" spans="2:3" ht="15.75" thickBot="1" x14ac:dyDescent="0.3">
      <c r="B828" s="365">
        <v>39777</v>
      </c>
      <c r="C828" s="367">
        <v>14.86</v>
      </c>
    </row>
    <row r="829" spans="2:3" ht="15.75" thickBot="1" x14ac:dyDescent="0.3">
      <c r="B829" s="366">
        <v>39776</v>
      </c>
      <c r="C829" s="368">
        <v>14.78</v>
      </c>
    </row>
    <row r="830" spans="2:3" ht="15.75" thickBot="1" x14ac:dyDescent="0.3">
      <c r="B830" s="365">
        <v>39773</v>
      </c>
      <c r="C830" s="367">
        <v>14.96</v>
      </c>
    </row>
    <row r="831" spans="2:3" ht="15.75" thickBot="1" x14ac:dyDescent="0.3">
      <c r="B831" s="366">
        <v>39772</v>
      </c>
      <c r="C831" s="368">
        <v>14.96</v>
      </c>
    </row>
    <row r="832" spans="2:3" ht="15.75" thickBot="1" x14ac:dyDescent="0.3">
      <c r="B832" s="365">
        <v>39771</v>
      </c>
      <c r="C832" s="367">
        <v>14.98</v>
      </c>
    </row>
    <row r="833" spans="2:3" ht="15.75" thickBot="1" x14ac:dyDescent="0.3">
      <c r="B833" s="366">
        <v>39770</v>
      </c>
      <c r="C833" s="368">
        <v>15</v>
      </c>
    </row>
    <row r="834" spans="2:3" ht="15.75" thickBot="1" x14ac:dyDescent="0.3">
      <c r="B834" s="365">
        <v>39766</v>
      </c>
      <c r="C834" s="367">
        <v>15.5</v>
      </c>
    </row>
    <row r="835" spans="2:3" ht="15.75" thickBot="1" x14ac:dyDescent="0.3">
      <c r="B835" s="366">
        <v>39765</v>
      </c>
      <c r="C835" s="368">
        <v>15.14</v>
      </c>
    </row>
    <row r="836" spans="2:3" ht="15.75" thickBot="1" x14ac:dyDescent="0.3">
      <c r="B836" s="365">
        <v>39764</v>
      </c>
      <c r="C836" s="367">
        <v>15.38</v>
      </c>
    </row>
    <row r="837" spans="2:3" ht="15.75" thickBot="1" x14ac:dyDescent="0.3">
      <c r="B837" s="366">
        <v>39763</v>
      </c>
      <c r="C837" s="368">
        <v>15.64</v>
      </c>
    </row>
    <row r="838" spans="2:3" ht="15.75" thickBot="1" x14ac:dyDescent="0.3">
      <c r="B838" s="365">
        <v>39762</v>
      </c>
      <c r="C838" s="367">
        <v>15.74</v>
      </c>
    </row>
    <row r="839" spans="2:3" ht="15.75" thickBot="1" x14ac:dyDescent="0.3">
      <c r="B839" s="366">
        <v>39759</v>
      </c>
      <c r="C839" s="368">
        <v>15.72</v>
      </c>
    </row>
    <row r="840" spans="2:3" ht="15.75" thickBot="1" x14ac:dyDescent="0.3">
      <c r="B840" s="365">
        <v>39758</v>
      </c>
      <c r="C840" s="367">
        <v>15.74</v>
      </c>
    </row>
    <row r="841" spans="2:3" ht="15.75" thickBot="1" x14ac:dyDescent="0.3">
      <c r="B841" s="366">
        <v>39757</v>
      </c>
      <c r="C841" s="368">
        <v>15.74</v>
      </c>
    </row>
    <row r="842" spans="2:3" ht="15.75" thickBot="1" x14ac:dyDescent="0.3">
      <c r="B842" s="365">
        <v>39756</v>
      </c>
      <c r="C842" s="367">
        <v>15.82</v>
      </c>
    </row>
    <row r="843" spans="2:3" ht="15.75" thickBot="1" x14ac:dyDescent="0.3">
      <c r="B843" s="366">
        <v>39752</v>
      </c>
      <c r="C843" s="368">
        <v>15.82</v>
      </c>
    </row>
    <row r="844" spans="2:3" ht="15.75" thickBot="1" x14ac:dyDescent="0.3">
      <c r="B844" s="365">
        <v>39751</v>
      </c>
      <c r="C844" s="367">
        <v>15.8</v>
      </c>
    </row>
    <row r="845" spans="2:3" ht="15.75" thickBot="1" x14ac:dyDescent="0.3">
      <c r="B845" s="366">
        <v>39750</v>
      </c>
      <c r="C845" s="368">
        <v>15.74</v>
      </c>
    </row>
    <row r="846" spans="2:3" ht="15.75" thickBot="1" x14ac:dyDescent="0.3">
      <c r="B846" s="365">
        <v>39749</v>
      </c>
      <c r="C846" s="367">
        <v>15.58</v>
      </c>
    </row>
    <row r="847" spans="2:3" ht="15.75" thickBot="1" x14ac:dyDescent="0.3">
      <c r="B847" s="366">
        <v>39748</v>
      </c>
      <c r="C847" s="368">
        <v>15.56</v>
      </c>
    </row>
    <row r="848" spans="2:3" ht="15.75" thickBot="1" x14ac:dyDescent="0.3">
      <c r="B848" s="365">
        <v>39745</v>
      </c>
      <c r="C848" s="367">
        <v>15.28</v>
      </c>
    </row>
    <row r="849" spans="2:3" ht="15.75" thickBot="1" x14ac:dyDescent="0.3">
      <c r="B849" s="366">
        <v>39744</v>
      </c>
      <c r="C849" s="368">
        <v>15.46</v>
      </c>
    </row>
    <row r="850" spans="2:3" ht="15.75" thickBot="1" x14ac:dyDescent="0.3">
      <c r="B850" s="365">
        <v>39743</v>
      </c>
      <c r="C850" s="367">
        <v>15.56</v>
      </c>
    </row>
    <row r="851" spans="2:3" ht="15.75" thickBot="1" x14ac:dyDescent="0.3">
      <c r="B851" s="366">
        <v>39742</v>
      </c>
      <c r="C851" s="368">
        <v>15.8</v>
      </c>
    </row>
    <row r="852" spans="2:3" ht="15.75" thickBot="1" x14ac:dyDescent="0.3">
      <c r="B852" s="365">
        <v>39741</v>
      </c>
      <c r="C852" s="367">
        <v>15.86</v>
      </c>
    </row>
    <row r="853" spans="2:3" ht="15.75" thickBot="1" x14ac:dyDescent="0.3">
      <c r="B853" s="366">
        <v>39738</v>
      </c>
      <c r="C853" s="368">
        <v>15.88</v>
      </c>
    </row>
    <row r="854" spans="2:3" ht="15.75" thickBot="1" x14ac:dyDescent="0.3">
      <c r="B854" s="365">
        <v>39737</v>
      </c>
      <c r="C854" s="367">
        <v>15.9</v>
      </c>
    </row>
    <row r="855" spans="2:3" ht="15.75" thickBot="1" x14ac:dyDescent="0.3">
      <c r="B855" s="366">
        <v>39736</v>
      </c>
      <c r="C855" s="368">
        <v>15.9</v>
      </c>
    </row>
    <row r="856" spans="2:3" ht="15.75" thickBot="1" x14ac:dyDescent="0.3">
      <c r="B856" s="365">
        <v>39735</v>
      </c>
      <c r="C856" s="367">
        <v>15.96</v>
      </c>
    </row>
    <row r="857" spans="2:3" ht="15.75" thickBot="1" x14ac:dyDescent="0.3">
      <c r="B857" s="366">
        <v>39731</v>
      </c>
      <c r="C857" s="368">
        <v>15.92</v>
      </c>
    </row>
    <row r="858" spans="2:3" ht="15.75" thickBot="1" x14ac:dyDescent="0.3">
      <c r="B858" s="365">
        <v>39730</v>
      </c>
      <c r="C858" s="367">
        <v>15.96</v>
      </c>
    </row>
    <row r="859" spans="2:3" ht="15.75" thickBot="1" x14ac:dyDescent="0.3">
      <c r="B859" s="366">
        <v>39729</v>
      </c>
      <c r="C859" s="368">
        <v>15.98</v>
      </c>
    </row>
    <row r="860" spans="2:3" ht="15.75" thickBot="1" x14ac:dyDescent="0.3">
      <c r="B860" s="365">
        <v>39728</v>
      </c>
      <c r="C860" s="367">
        <v>15.98</v>
      </c>
    </row>
    <row r="861" spans="2:3" ht="15.75" thickBot="1" x14ac:dyDescent="0.3">
      <c r="B861" s="366">
        <v>39727</v>
      </c>
      <c r="C861" s="368">
        <v>16</v>
      </c>
    </row>
    <row r="862" spans="2:3" ht="15.75" thickBot="1" x14ac:dyDescent="0.3">
      <c r="B862" s="365">
        <v>39724</v>
      </c>
      <c r="C862" s="367">
        <v>16</v>
      </c>
    </row>
    <row r="863" spans="2:3" ht="15.75" thickBot="1" x14ac:dyDescent="0.3">
      <c r="B863" s="366">
        <v>39723</v>
      </c>
      <c r="C863" s="368">
        <v>16</v>
      </c>
    </row>
    <row r="864" spans="2:3" ht="15.75" thickBot="1" x14ac:dyDescent="0.3">
      <c r="B864" s="365">
        <v>39722</v>
      </c>
      <c r="C864" s="367">
        <v>16</v>
      </c>
    </row>
    <row r="865" spans="2:3" ht="15.75" thickBot="1" x14ac:dyDescent="0.3">
      <c r="B865" s="366">
        <v>39721</v>
      </c>
      <c r="C865" s="368">
        <v>16</v>
      </c>
    </row>
    <row r="866" spans="2:3" ht="15.75" thickBot="1" x14ac:dyDescent="0.3">
      <c r="B866" s="365">
        <v>39720</v>
      </c>
      <c r="C866" s="367">
        <v>16</v>
      </c>
    </row>
    <row r="867" spans="2:3" ht="15.75" thickBot="1" x14ac:dyDescent="0.3">
      <c r="B867" s="366">
        <v>39717</v>
      </c>
      <c r="C867" s="368">
        <v>16.260000000000002</v>
      </c>
    </row>
    <row r="868" spans="2:3" ht="15.75" thickBot="1" x14ac:dyDescent="0.3">
      <c r="B868" s="365">
        <v>39716</v>
      </c>
      <c r="C868" s="367">
        <v>16</v>
      </c>
    </row>
    <row r="869" spans="2:3" ht="15.75" thickBot="1" x14ac:dyDescent="0.3">
      <c r="B869" s="366">
        <v>39715</v>
      </c>
      <c r="C869" s="368">
        <v>16</v>
      </c>
    </row>
    <row r="870" spans="2:3" ht="15.75" thickBot="1" x14ac:dyDescent="0.3">
      <c r="B870" s="365">
        <v>39714</v>
      </c>
      <c r="C870" s="367">
        <v>16</v>
      </c>
    </row>
    <row r="871" spans="2:3" ht="15.75" thickBot="1" x14ac:dyDescent="0.3">
      <c r="B871" s="366">
        <v>39713</v>
      </c>
      <c r="C871" s="368">
        <v>16</v>
      </c>
    </row>
    <row r="872" spans="2:3" ht="15.75" thickBot="1" x14ac:dyDescent="0.3">
      <c r="B872" s="365">
        <v>39710</v>
      </c>
      <c r="C872" s="367">
        <v>16.02</v>
      </c>
    </row>
    <row r="873" spans="2:3" ht="15.75" thickBot="1" x14ac:dyDescent="0.3">
      <c r="B873" s="366">
        <v>39709</v>
      </c>
      <c r="C873" s="368">
        <v>16.04</v>
      </c>
    </row>
    <row r="874" spans="2:3" ht="15.75" thickBot="1" x14ac:dyDescent="0.3">
      <c r="B874" s="365">
        <v>39708</v>
      </c>
      <c r="C874" s="367">
        <v>16</v>
      </c>
    </row>
    <row r="875" spans="2:3" ht="15.75" thickBot="1" x14ac:dyDescent="0.3">
      <c r="B875" s="366">
        <v>39707</v>
      </c>
      <c r="C875" s="368">
        <v>16.420000000000002</v>
      </c>
    </row>
    <row r="876" spans="2:3" ht="15.75" thickBot="1" x14ac:dyDescent="0.3">
      <c r="B876" s="365">
        <v>39706</v>
      </c>
      <c r="C876" s="367">
        <v>17</v>
      </c>
    </row>
    <row r="877" spans="2:3" ht="15.75" thickBot="1" x14ac:dyDescent="0.3">
      <c r="B877" s="366">
        <v>39703</v>
      </c>
      <c r="C877" s="368">
        <v>15.8</v>
      </c>
    </row>
    <row r="878" spans="2:3" ht="15.75" thickBot="1" x14ac:dyDescent="0.3">
      <c r="B878" s="365">
        <v>39702</v>
      </c>
      <c r="C878" s="367">
        <v>15.72</v>
      </c>
    </row>
    <row r="879" spans="2:3" ht="15.75" thickBot="1" x14ac:dyDescent="0.3">
      <c r="B879" s="366">
        <v>39701</v>
      </c>
      <c r="C879" s="368">
        <v>14.4</v>
      </c>
    </row>
    <row r="880" spans="2:3" ht="15.75" thickBot="1" x14ac:dyDescent="0.3">
      <c r="B880" s="365">
        <v>39700</v>
      </c>
      <c r="C880" s="367">
        <v>13.54</v>
      </c>
    </row>
    <row r="881" spans="2:3" ht="15.75" thickBot="1" x14ac:dyDescent="0.3">
      <c r="B881" s="366">
        <v>39699</v>
      </c>
      <c r="C881" s="368">
        <v>12.3</v>
      </c>
    </row>
    <row r="882" spans="2:3" ht="15.75" thickBot="1" x14ac:dyDescent="0.3">
      <c r="B882" s="365">
        <v>39696</v>
      </c>
      <c r="C882" s="367">
        <v>12.02</v>
      </c>
    </row>
    <row r="883" spans="2:3" ht="15.75" thickBot="1" x14ac:dyDescent="0.3">
      <c r="B883" s="366">
        <v>39695</v>
      </c>
      <c r="C883" s="368">
        <v>11.08</v>
      </c>
    </row>
    <row r="884" spans="2:3" ht="15.75" thickBot="1" x14ac:dyDescent="0.3">
      <c r="B884" s="365">
        <v>39694</v>
      </c>
      <c r="C884" s="367">
        <v>10.76</v>
      </c>
    </row>
    <row r="885" spans="2:3" ht="15.75" thickBot="1" x14ac:dyDescent="0.3">
      <c r="B885" s="366">
        <v>39693</v>
      </c>
      <c r="C885" s="368">
        <v>9.9</v>
      </c>
    </row>
    <row r="886" spans="2:3" ht="15.75" thickBot="1" x14ac:dyDescent="0.3">
      <c r="B886" s="365">
        <v>39692</v>
      </c>
      <c r="C886" s="367">
        <v>9.65</v>
      </c>
    </row>
    <row r="887" spans="2:3" ht="15.75" thickBot="1" x14ac:dyDescent="0.3">
      <c r="B887" s="366">
        <v>39689</v>
      </c>
      <c r="C887" s="368">
        <v>9.52</v>
      </c>
    </row>
    <row r="888" spans="2:3" ht="15.75" thickBot="1" x14ac:dyDescent="0.3">
      <c r="B888" s="365">
        <v>39687</v>
      </c>
      <c r="C888" s="367">
        <v>9.5</v>
      </c>
    </row>
    <row r="889" spans="2:3" ht="15.75" thickBot="1" x14ac:dyDescent="0.3">
      <c r="B889" s="366">
        <v>39685</v>
      </c>
      <c r="C889" s="368">
        <v>9.26</v>
      </c>
    </row>
    <row r="890" spans="2:3" ht="15.75" thickBot="1" x14ac:dyDescent="0.3">
      <c r="B890" s="365">
        <v>39681</v>
      </c>
      <c r="C890" s="367">
        <v>9.4</v>
      </c>
    </row>
    <row r="891" spans="2:3" ht="15.75" thickBot="1" x14ac:dyDescent="0.3">
      <c r="B891" s="366">
        <v>39680</v>
      </c>
      <c r="C891" s="368">
        <v>9.1999999999999993</v>
      </c>
    </row>
    <row r="892" spans="2:3" ht="15.75" thickBot="1" x14ac:dyDescent="0.3">
      <c r="B892" s="365">
        <v>39679</v>
      </c>
      <c r="C892" s="367">
        <v>9.31</v>
      </c>
    </row>
    <row r="893" spans="2:3" ht="15.75" thickBot="1" x14ac:dyDescent="0.3">
      <c r="B893" s="366">
        <v>39675</v>
      </c>
      <c r="C893" s="368">
        <v>9.3000000000000007</v>
      </c>
    </row>
    <row r="894" spans="2:3" ht="15.75" thickBot="1" x14ac:dyDescent="0.3">
      <c r="B894" s="365">
        <v>39674</v>
      </c>
      <c r="C894" s="367">
        <v>9.3000000000000007</v>
      </c>
    </row>
    <row r="895" spans="2:3" ht="15.75" thickBot="1" x14ac:dyDescent="0.3">
      <c r="B895" s="366">
        <v>39673</v>
      </c>
      <c r="C895" s="368">
        <v>9.3000000000000007</v>
      </c>
    </row>
    <row r="896" spans="2:3" ht="15.75" thickBot="1" x14ac:dyDescent="0.3">
      <c r="B896" s="365">
        <v>39661</v>
      </c>
      <c r="C896" s="367">
        <v>9.1999999999999993</v>
      </c>
    </row>
    <row r="897" spans="2:3" ht="15.75" thickBot="1" x14ac:dyDescent="0.3">
      <c r="B897" s="366">
        <v>39659</v>
      </c>
      <c r="C897" s="368">
        <v>9.1999999999999993</v>
      </c>
    </row>
    <row r="898" spans="2:3" ht="15.75" thickBot="1" x14ac:dyDescent="0.3">
      <c r="B898" s="365">
        <v>39654</v>
      </c>
      <c r="C898" s="367">
        <v>9.1999999999999993</v>
      </c>
    </row>
    <row r="899" spans="2:3" ht="15.75" thickBot="1" x14ac:dyDescent="0.3">
      <c r="B899" s="366">
        <v>39653</v>
      </c>
      <c r="C899" s="368">
        <v>9.3000000000000007</v>
      </c>
    </row>
    <row r="900" spans="2:3" ht="15.75" thickBot="1" x14ac:dyDescent="0.3">
      <c r="B900" s="365">
        <v>39647</v>
      </c>
      <c r="C900" s="367">
        <v>9.1999999999999993</v>
      </c>
    </row>
    <row r="901" spans="2:3" ht="15.75" thickBot="1" x14ac:dyDescent="0.3">
      <c r="B901" s="366">
        <v>39646</v>
      </c>
      <c r="C901" s="368">
        <v>9.1999999999999993</v>
      </c>
    </row>
    <row r="902" spans="2:3" ht="15.75" thickBot="1" x14ac:dyDescent="0.3">
      <c r="B902" s="365">
        <v>39631</v>
      </c>
      <c r="C902" s="367">
        <v>9</v>
      </c>
    </row>
    <row r="903" spans="2:3" ht="15.75" thickBot="1" x14ac:dyDescent="0.3">
      <c r="B903" s="366">
        <v>39625</v>
      </c>
      <c r="C903" s="368">
        <v>9.5</v>
      </c>
    </row>
    <row r="904" spans="2:3" ht="15.75" thickBot="1" x14ac:dyDescent="0.3">
      <c r="B904" s="365">
        <v>39623</v>
      </c>
      <c r="C904" s="367">
        <v>9.5</v>
      </c>
    </row>
    <row r="905" spans="2:3" ht="15.75" thickBot="1" x14ac:dyDescent="0.3">
      <c r="B905" s="366">
        <v>39622</v>
      </c>
      <c r="C905" s="368">
        <v>9.5</v>
      </c>
    </row>
    <row r="906" spans="2:3" ht="15.75" thickBot="1" x14ac:dyDescent="0.3">
      <c r="B906" s="365">
        <v>39619</v>
      </c>
      <c r="C906" s="367">
        <v>9.1999999999999993</v>
      </c>
    </row>
    <row r="907" spans="2:3" ht="15.75" thickBot="1" x14ac:dyDescent="0.3">
      <c r="B907" s="366">
        <v>39617</v>
      </c>
      <c r="C907" s="368">
        <v>8.94</v>
      </c>
    </row>
    <row r="908" spans="2:3" ht="15.75" thickBot="1" x14ac:dyDescent="0.3">
      <c r="B908" s="365">
        <v>39616</v>
      </c>
      <c r="C908" s="367">
        <v>9.1999999999999993</v>
      </c>
    </row>
    <row r="909" spans="2:3" ht="15.75" thickBot="1" x14ac:dyDescent="0.3">
      <c r="B909" s="366">
        <v>39615</v>
      </c>
      <c r="C909" s="368">
        <v>9.17</v>
      </c>
    </row>
    <row r="910" spans="2:3" ht="15.75" thickBot="1" x14ac:dyDescent="0.3">
      <c r="B910" s="365">
        <v>39611</v>
      </c>
      <c r="C910" s="367">
        <v>9.41</v>
      </c>
    </row>
    <row r="911" spans="2:3" ht="15.75" thickBot="1" x14ac:dyDescent="0.3">
      <c r="B911" s="366">
        <v>39610</v>
      </c>
      <c r="C911" s="368">
        <v>9.15</v>
      </c>
    </row>
    <row r="912" spans="2:3" ht="15.75" thickBot="1" x14ac:dyDescent="0.3">
      <c r="B912" s="365">
        <v>39609</v>
      </c>
      <c r="C912" s="367">
        <v>9.15</v>
      </c>
    </row>
    <row r="913" spans="2:3" ht="15.75" thickBot="1" x14ac:dyDescent="0.3">
      <c r="B913" s="366">
        <v>39591</v>
      </c>
      <c r="C913" s="368">
        <v>8.9499999999999993</v>
      </c>
    </row>
    <row r="914" spans="2:3" ht="15.75" thickBot="1" x14ac:dyDescent="0.3">
      <c r="B914" s="365">
        <v>39583</v>
      </c>
      <c r="C914" s="367">
        <v>9</v>
      </c>
    </row>
    <row r="915" spans="2:3" ht="15.75" thickBot="1" x14ac:dyDescent="0.3">
      <c r="B915" s="366">
        <v>39582</v>
      </c>
      <c r="C915" s="368">
        <v>8.83</v>
      </c>
    </row>
    <row r="916" spans="2:3" ht="15.75" thickBot="1" x14ac:dyDescent="0.3">
      <c r="B916" s="365">
        <v>39581</v>
      </c>
      <c r="C916" s="367">
        <v>8.83</v>
      </c>
    </row>
    <row r="917" spans="2:3" ht="15.75" thickBot="1" x14ac:dyDescent="0.3">
      <c r="B917" s="366">
        <v>39580</v>
      </c>
      <c r="C917" s="368">
        <v>8.9</v>
      </c>
    </row>
    <row r="918" spans="2:3" ht="15.75" thickBot="1" x14ac:dyDescent="0.3">
      <c r="B918" s="365">
        <v>39576</v>
      </c>
      <c r="C918" s="367">
        <v>8.84</v>
      </c>
    </row>
    <row r="919" spans="2:3" ht="15.75" thickBot="1" x14ac:dyDescent="0.3">
      <c r="B919" s="366">
        <v>39563</v>
      </c>
      <c r="C919" s="368">
        <v>8.8000000000000007</v>
      </c>
    </row>
    <row r="920" spans="2:3" ht="15.75" thickBot="1" x14ac:dyDescent="0.3">
      <c r="B920" s="365">
        <v>39549</v>
      </c>
      <c r="C920" s="367">
        <v>8.8000000000000007</v>
      </c>
    </row>
    <row r="921" spans="2:3" ht="15.75" thickBot="1" x14ac:dyDescent="0.3">
      <c r="B921" s="366">
        <v>39542</v>
      </c>
      <c r="C921" s="368">
        <v>8.6</v>
      </c>
    </row>
    <row r="922" spans="2:3" ht="15.75" thickBot="1" x14ac:dyDescent="0.3">
      <c r="B922" s="365">
        <v>39541</v>
      </c>
      <c r="C922" s="367">
        <v>8.6</v>
      </c>
    </row>
    <row r="923" spans="2:3" ht="15.75" thickBot="1" x14ac:dyDescent="0.3">
      <c r="B923" s="366">
        <v>39539</v>
      </c>
      <c r="C923" s="368">
        <v>8.6</v>
      </c>
    </row>
    <row r="924" spans="2:3" ht="15.75" thickBot="1" x14ac:dyDescent="0.3">
      <c r="B924" s="365">
        <v>39534</v>
      </c>
      <c r="C924" s="367">
        <v>8.58</v>
      </c>
    </row>
    <row r="925" spans="2:3" ht="15.75" thickBot="1" x14ac:dyDescent="0.3">
      <c r="B925" s="366">
        <v>39524</v>
      </c>
      <c r="C925" s="368">
        <v>8.58</v>
      </c>
    </row>
    <row r="926" spans="2:3" ht="15.75" thickBot="1" x14ac:dyDescent="0.3">
      <c r="B926" s="365">
        <v>39520</v>
      </c>
      <c r="C926" s="367">
        <v>8.61</v>
      </c>
    </row>
    <row r="927" spans="2:3" ht="15.75" thickBot="1" x14ac:dyDescent="0.3">
      <c r="B927" s="366">
        <v>39519</v>
      </c>
      <c r="C927" s="368">
        <v>8.65</v>
      </c>
    </row>
    <row r="928" spans="2:3" ht="15.75" thickBot="1" x14ac:dyDescent="0.3">
      <c r="B928" s="365">
        <v>39507</v>
      </c>
      <c r="C928" s="367">
        <v>8.6</v>
      </c>
    </row>
    <row r="929" spans="2:3" ht="15.75" thickBot="1" x14ac:dyDescent="0.3">
      <c r="B929" s="366">
        <v>39505</v>
      </c>
      <c r="C929" s="368">
        <v>8.58</v>
      </c>
    </row>
    <row r="930" spans="2:3" ht="15.75" thickBot="1" x14ac:dyDescent="0.3">
      <c r="B930" s="365">
        <v>39503</v>
      </c>
      <c r="C930" s="367">
        <v>8.56</v>
      </c>
    </row>
    <row r="931" spans="2:3" ht="15.75" thickBot="1" x14ac:dyDescent="0.3">
      <c r="B931" s="366">
        <v>39498</v>
      </c>
      <c r="C931" s="368">
        <v>8.52</v>
      </c>
    </row>
    <row r="932" spans="2:3" ht="15.75" thickBot="1" x14ac:dyDescent="0.3">
      <c r="B932" s="365">
        <v>39496</v>
      </c>
      <c r="C932" s="367">
        <v>8.66</v>
      </c>
    </row>
    <row r="933" spans="2:3" ht="15.75" thickBot="1" x14ac:dyDescent="0.3">
      <c r="B933" s="366">
        <v>39493</v>
      </c>
      <c r="C933" s="368">
        <v>8.76</v>
      </c>
    </row>
    <row r="934" spans="2:3" ht="15.75" thickBot="1" x14ac:dyDescent="0.3">
      <c r="B934" s="365">
        <v>39492</v>
      </c>
      <c r="C934" s="367">
        <v>8.6</v>
      </c>
    </row>
    <row r="935" spans="2:3" ht="15.75" thickBot="1" x14ac:dyDescent="0.3">
      <c r="B935" s="366">
        <v>39490</v>
      </c>
      <c r="C935" s="368">
        <v>8.6</v>
      </c>
    </row>
    <row r="936" spans="2:3" ht="15.75" thickBot="1" x14ac:dyDescent="0.3">
      <c r="B936" s="365">
        <v>39489</v>
      </c>
      <c r="C936" s="367">
        <v>8.75</v>
      </c>
    </row>
    <row r="937" spans="2:3" ht="15.75" thickBot="1" x14ac:dyDescent="0.3">
      <c r="B937" s="366">
        <v>39486</v>
      </c>
      <c r="C937" s="368">
        <v>8.75</v>
      </c>
    </row>
    <row r="938" spans="2:3" ht="15.75" thickBot="1" x14ac:dyDescent="0.3">
      <c r="B938" s="365">
        <v>39485</v>
      </c>
      <c r="C938" s="367">
        <v>8.6300000000000008</v>
      </c>
    </row>
    <row r="939" spans="2:3" ht="15.75" thickBot="1" x14ac:dyDescent="0.3">
      <c r="B939" s="366">
        <v>39483</v>
      </c>
      <c r="C939" s="368">
        <v>8.64</v>
      </c>
    </row>
    <row r="940" spans="2:3" ht="15.75" thickBot="1" x14ac:dyDescent="0.3">
      <c r="B940" s="365">
        <v>39482</v>
      </c>
      <c r="C940" s="367">
        <v>8.66</v>
      </c>
    </row>
    <row r="941" spans="2:3" ht="15.75" thickBot="1" x14ac:dyDescent="0.3">
      <c r="B941" s="366">
        <v>39479</v>
      </c>
      <c r="C941" s="368">
        <v>8.51</v>
      </c>
    </row>
    <row r="942" spans="2:3" ht="15.75" thickBot="1" x14ac:dyDescent="0.3">
      <c r="B942" s="365">
        <v>39478</v>
      </c>
      <c r="C942" s="367">
        <v>8.43</v>
      </c>
    </row>
    <row r="943" spans="2:3" ht="15.75" thickBot="1" x14ac:dyDescent="0.3">
      <c r="B943" s="366">
        <v>39471</v>
      </c>
      <c r="C943" s="368">
        <v>8.4</v>
      </c>
    </row>
    <row r="944" spans="2:3" ht="15.75" thickBot="1" x14ac:dyDescent="0.3">
      <c r="B944" s="365">
        <v>39470</v>
      </c>
      <c r="C944" s="367">
        <v>8.6999999999999993</v>
      </c>
    </row>
    <row r="945" spans="2:3" ht="15.75" thickBot="1" x14ac:dyDescent="0.3">
      <c r="B945" s="366">
        <v>39469</v>
      </c>
      <c r="C945" s="368">
        <v>8.6</v>
      </c>
    </row>
    <row r="946" spans="2:3" ht="15.75" thickBot="1" x14ac:dyDescent="0.3">
      <c r="B946" s="365">
        <v>39468</v>
      </c>
      <c r="C946" s="367">
        <v>8.1999999999999993</v>
      </c>
    </row>
    <row r="947" spans="2:3" ht="15.75" thickBot="1" x14ac:dyDescent="0.3">
      <c r="B947" s="366">
        <v>39465</v>
      </c>
      <c r="C947" s="368">
        <v>8.1999999999999993</v>
      </c>
    </row>
    <row r="948" spans="2:3" ht="15.75" thickBot="1" x14ac:dyDescent="0.3">
      <c r="B948" s="365">
        <v>39464</v>
      </c>
      <c r="C948" s="367">
        <v>8.5</v>
      </c>
    </row>
    <row r="949" spans="2:3" ht="15.75" thickBot="1" x14ac:dyDescent="0.3">
      <c r="B949" s="366">
        <v>39463</v>
      </c>
      <c r="C949" s="368">
        <v>8.94</v>
      </c>
    </row>
    <row r="950" spans="2:3" ht="15.75" thickBot="1" x14ac:dyDescent="0.3">
      <c r="B950" s="365">
        <v>39462</v>
      </c>
      <c r="C950" s="367">
        <v>8.6</v>
      </c>
    </row>
    <row r="951" spans="2:3" ht="15.75" thickBot="1" x14ac:dyDescent="0.3">
      <c r="B951" s="366">
        <v>39461</v>
      </c>
      <c r="C951" s="368">
        <v>8.9</v>
      </c>
    </row>
    <row r="952" spans="2:3" ht="15.75" thickBot="1" x14ac:dyDescent="0.3">
      <c r="B952" s="365">
        <v>39455</v>
      </c>
      <c r="C952" s="367">
        <v>8.6</v>
      </c>
    </row>
    <row r="953" spans="2:3" ht="15.75" thickBot="1" x14ac:dyDescent="0.3">
      <c r="B953" s="366">
        <v>39444</v>
      </c>
      <c r="C953" s="368">
        <v>7.82</v>
      </c>
    </row>
    <row r="954" spans="2:3" ht="15.75" thickBot="1" x14ac:dyDescent="0.3">
      <c r="B954" s="365">
        <v>39443</v>
      </c>
      <c r="C954" s="367">
        <v>8.5</v>
      </c>
    </row>
    <row r="955" spans="2:3" ht="15.75" thickBot="1" x14ac:dyDescent="0.3">
      <c r="B955" s="366">
        <v>39436</v>
      </c>
      <c r="C955" s="368">
        <v>8.5</v>
      </c>
    </row>
    <row r="956" spans="2:3" ht="15.75" thickBot="1" x14ac:dyDescent="0.3">
      <c r="B956" s="365">
        <v>39433</v>
      </c>
      <c r="C956" s="367">
        <v>8.5</v>
      </c>
    </row>
    <row r="957" spans="2:3" ht="15.75" thickBot="1" x14ac:dyDescent="0.3">
      <c r="B957" s="366">
        <v>39430</v>
      </c>
      <c r="C957" s="368">
        <v>9.3800000000000008</v>
      </c>
    </row>
    <row r="958" spans="2:3" ht="15.75" thickBot="1" x14ac:dyDescent="0.3">
      <c r="B958" s="365">
        <v>39427</v>
      </c>
      <c r="C958" s="367">
        <v>9.4</v>
      </c>
    </row>
    <row r="959" spans="2:3" ht="15.75" thickBot="1" x14ac:dyDescent="0.3">
      <c r="B959" s="366">
        <v>39426</v>
      </c>
      <c r="C959" s="368">
        <v>9.4</v>
      </c>
    </row>
  </sheetData>
  <sortState ref="B2:D959">
    <sortCondition descending="1" ref="B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Gráficos</vt:lpstr>
      </vt:variant>
      <vt:variant>
        <vt:i4>22</vt:i4>
      </vt:variant>
    </vt:vector>
  </HeadingPairs>
  <TitlesOfParts>
    <vt:vector size="30" baseType="lpstr">
      <vt:lpstr>Supuestos</vt:lpstr>
      <vt:lpstr>EEFFHist</vt:lpstr>
      <vt:lpstr>EEFFPry+Valor</vt:lpstr>
      <vt:lpstr>A. Sensibilidad</vt:lpstr>
      <vt:lpstr>Opex</vt:lpstr>
      <vt:lpstr>Capex</vt:lpstr>
      <vt:lpstr>PryIngresos</vt:lpstr>
      <vt:lpstr>Accion</vt:lpstr>
      <vt:lpstr>HistIngresos</vt:lpstr>
      <vt:lpstr>HistGastos</vt:lpstr>
      <vt:lpstr>IngVSGst</vt:lpstr>
      <vt:lpstr>IngOp</vt:lpstr>
      <vt:lpstr>DistIngOp</vt:lpstr>
      <vt:lpstr>OR</vt:lpstr>
      <vt:lpstr>SAG</vt:lpstr>
      <vt:lpstr>DIS</vt:lpstr>
      <vt:lpstr>FWD</vt:lpstr>
      <vt:lpstr>MCP</vt:lpstr>
      <vt:lpstr>VF</vt:lpstr>
      <vt:lpstr>CDM</vt:lpstr>
      <vt:lpstr>Convenios</vt:lpstr>
      <vt:lpstr>Derivados</vt:lpstr>
      <vt:lpstr>Gas</vt:lpstr>
      <vt:lpstr>Transporte</vt:lpstr>
      <vt:lpstr>CO2</vt:lpstr>
      <vt:lpstr>GstOp</vt:lpstr>
      <vt:lpstr>DistGst</vt:lpstr>
      <vt:lpstr>EBITDA</vt:lpstr>
      <vt:lpstr>Margen EBITDA</vt:lpstr>
      <vt:lpstr>FCLpy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bortiz</dc:creator>
  <cp:lastModifiedBy>Ortiz</cp:lastModifiedBy>
  <dcterms:created xsi:type="dcterms:W3CDTF">2013-01-31T19:53:37Z</dcterms:created>
  <dcterms:modified xsi:type="dcterms:W3CDTF">2014-02-27T01:23:18Z</dcterms:modified>
</cp:coreProperties>
</file>