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user\OneDrive\Escritorio\Maestria\MAF CHALLENGE\"/>
    </mc:Choice>
  </mc:AlternateContent>
  <xr:revisionPtr revIDLastSave="0" documentId="13_ncr:1_{F4AEAF68-E567-4C89-A3EF-C40B5FE7DBC9}" xr6:coauthVersionLast="47" xr6:coauthVersionMax="47" xr10:uidLastSave="{00000000-0000-0000-0000-000000000000}"/>
  <bookViews>
    <workbookView xWindow="-120" yWindow="-120" windowWidth="20730" windowHeight="11160" firstSheet="1" activeTab="1" xr2:uid="{F8E75CC7-6456-4ACD-8E0C-6D1F319A3774}"/>
  </bookViews>
  <sheets>
    <sheet name="Read Me First" sheetId="12" state="hidden" r:id="rId1"/>
    <sheet name="Estructura del Modelo" sheetId="13" r:id="rId2"/>
    <sheet name="Resumen" sheetId="1" r:id="rId3"/>
    <sheet name="Ingresos" sheetId="2" r:id="rId4"/>
    <sheet name="Gastos" sheetId="5" r:id="rId5"/>
    <sheet name="Presupuesto de construccion" sheetId="6" r:id="rId6"/>
    <sheet name="Financiamiento" sheetId="7" r:id="rId7"/>
    <sheet name="Flujo de caja mensual" sheetId="8" r:id="rId8"/>
    <sheet name="Flujo de caja anual" sheetId="10" r:id="rId9"/>
    <sheet name="Validaciones" sheetId="11" r:id="rId10"/>
  </sheets>
  <definedNames>
    <definedName name="_xlnm.Print_Area" localSheetId="0">'Read Me First'!$A$1:$N$34</definedName>
  </definedNam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5" l="1"/>
  <c r="B20" i="5" l="1"/>
  <c r="B8" i="5" l="1"/>
  <c r="C3" i="5"/>
  <c r="D5" i="6"/>
  <c r="F13" i="5" l="1"/>
  <c r="F8" i="5"/>
  <c r="G8" i="5" s="1"/>
  <c r="G10" i="5"/>
  <c r="G6" i="5"/>
  <c r="G4" i="5"/>
  <c r="G3" i="5"/>
  <c r="D31" i="6"/>
  <c r="D30" i="6"/>
  <c r="D29" i="6"/>
  <c r="D28" i="6"/>
  <c r="D27" i="6"/>
  <c r="D26" i="6"/>
  <c r="D25" i="6"/>
  <c r="P3" i="2"/>
  <c r="P9" i="2"/>
  <c r="P7" i="2"/>
  <c r="P6" i="2"/>
  <c r="P2" i="2"/>
  <c r="F21" i="6" l="1" a="1"/>
  <c r="F21" i="6" s="1"/>
  <c r="G4" i="1"/>
  <c r="G2" i="1"/>
  <c r="J8" i="1"/>
  <c r="J7" i="1"/>
  <c r="G3" i="2"/>
  <c r="C31" i="6"/>
  <c r="C9" i="6"/>
  <c r="J5" i="2"/>
  <c r="J4" i="2"/>
  <c r="B17" i="5"/>
  <c r="B13" i="5"/>
  <c r="A33" i="12" l="1"/>
  <c r="H19" i="1"/>
  <c r="D1" i="10" l="1"/>
  <c r="E1" i="10" s="1"/>
  <c r="F1" i="10" s="1"/>
  <c r="G1" i="10" s="1"/>
  <c r="H1" i="10" s="1"/>
  <c r="I1" i="10" s="1"/>
  <c r="J1" i="10" s="1"/>
  <c r="K1" i="10" s="1"/>
  <c r="L1" i="10" s="1"/>
  <c r="M1" i="10" s="1"/>
  <c r="C62" i="10"/>
  <c r="A62" i="10" s="1"/>
  <c r="C61" i="10"/>
  <c r="A61" i="10" s="1"/>
  <c r="A57" i="10"/>
  <c r="B38" i="10"/>
  <c r="B37" i="10"/>
  <c r="B36" i="10"/>
  <c r="B35" i="10"/>
  <c r="B34" i="10"/>
  <c r="B33" i="10"/>
  <c r="B32" i="10"/>
  <c r="B31" i="10"/>
  <c r="B30" i="10"/>
  <c r="B29" i="10"/>
  <c r="B28" i="10"/>
  <c r="B22" i="10"/>
  <c r="B21" i="10"/>
  <c r="B20" i="10"/>
  <c r="B19" i="10"/>
  <c r="B18" i="10"/>
  <c r="B17" i="10"/>
  <c r="B16" i="10"/>
  <c r="B15" i="10"/>
  <c r="B14" i="10"/>
  <c r="B13" i="10"/>
  <c r="C2" i="10"/>
  <c r="D2" i="10" s="1"/>
  <c r="E2" i="10" s="1"/>
  <c r="F2" i="10" s="1"/>
  <c r="G2" i="10" s="1"/>
  <c r="H2" i="10" s="1"/>
  <c r="I2" i="10" s="1"/>
  <c r="J2" i="10" s="1"/>
  <c r="K2" i="10" s="1"/>
  <c r="L2" i="10" s="1"/>
  <c r="M2" i="10" s="1"/>
  <c r="D64" i="8"/>
  <c r="D65" i="8" s="1"/>
  <c r="C63" i="8"/>
  <c r="C62" i="8"/>
  <c r="C58" i="8"/>
  <c r="C70" i="8" s="1"/>
  <c r="D69" i="8" s="1"/>
  <c r="B35" i="8" l="1"/>
  <c r="B36" i="8"/>
  <c r="B37" i="8"/>
  <c r="B38" i="8"/>
  <c r="B39" i="8"/>
  <c r="B15" i="8"/>
  <c r="B18" i="8"/>
  <c r="B19" i="8"/>
  <c r="B21" i="8"/>
  <c r="B22" i="8"/>
  <c r="B14" i="8"/>
  <c r="C3" i="8"/>
  <c r="D3" i="8" s="1"/>
  <c r="E3" i="8" s="1"/>
  <c r="F3" i="8" s="1"/>
  <c r="G3" i="8" s="1"/>
  <c r="H3" i="8" s="1"/>
  <c r="I3" i="8" s="1"/>
  <c r="J3" i="8" s="1"/>
  <c r="K3" i="8" s="1"/>
  <c r="L3" i="8" s="1"/>
  <c r="M3" i="8" s="1"/>
  <c r="N3" i="8" s="1"/>
  <c r="O3" i="8" s="1"/>
  <c r="P3" i="8" s="1"/>
  <c r="Q3" i="8" s="1"/>
  <c r="R3" i="8" s="1"/>
  <c r="S3" i="8" s="1"/>
  <c r="T3" i="8" s="1"/>
  <c r="U3" i="8" s="1"/>
  <c r="V3" i="8" s="1"/>
  <c r="W3" i="8" s="1"/>
  <c r="X3" i="8" s="1"/>
  <c r="Y3" i="8" s="1"/>
  <c r="Z3" i="8" s="1"/>
  <c r="AA3" i="8" s="1"/>
  <c r="AB3" i="8" s="1"/>
  <c r="AC3" i="8" s="1"/>
  <c r="AD3" i="8" s="1"/>
  <c r="AE3" i="8" s="1"/>
  <c r="AF3" i="8" s="1"/>
  <c r="AG3" i="8" s="1"/>
  <c r="AH3" i="8" s="1"/>
  <c r="AI3" i="8" s="1"/>
  <c r="AJ3" i="8" s="1"/>
  <c r="AK3" i="8" s="1"/>
  <c r="AL3" i="8" s="1"/>
  <c r="AM3" i="8" s="1"/>
  <c r="AN3" i="8" s="1"/>
  <c r="AO3" i="8" s="1"/>
  <c r="AP3" i="8" s="1"/>
  <c r="AQ3" i="8" s="1"/>
  <c r="AR3" i="8" s="1"/>
  <c r="AS3" i="8" s="1"/>
  <c r="AT3" i="8" s="1"/>
  <c r="AU3" i="8" s="1"/>
  <c r="AV3" i="8" s="1"/>
  <c r="AW3" i="8" s="1"/>
  <c r="AX3" i="8" s="1"/>
  <c r="AY3" i="8" s="1"/>
  <c r="AZ3" i="8" s="1"/>
  <c r="BA3" i="8" s="1"/>
  <c r="BB3" i="8" s="1"/>
  <c r="BC3" i="8" s="1"/>
  <c r="BD3" i="8" s="1"/>
  <c r="BE3" i="8" s="1"/>
  <c r="BF3" i="8" s="1"/>
  <c r="BG3" i="8" s="1"/>
  <c r="BH3" i="8" s="1"/>
  <c r="BI3" i="8" s="1"/>
  <c r="BJ3" i="8" s="1"/>
  <c r="BK3" i="8" s="1"/>
  <c r="BL3" i="8" s="1"/>
  <c r="BM3" i="8" s="1"/>
  <c r="BN3" i="8" s="1"/>
  <c r="BO3" i="8" s="1"/>
  <c r="BP3" i="8" s="1"/>
  <c r="BQ3" i="8" s="1"/>
  <c r="BR3" i="8" s="1"/>
  <c r="BS3" i="8" s="1"/>
  <c r="BT3" i="8" s="1"/>
  <c r="BU3" i="8" s="1"/>
  <c r="BV3" i="8" s="1"/>
  <c r="BW3" i="8" s="1"/>
  <c r="BX3" i="8" s="1"/>
  <c r="BY3" i="8" s="1"/>
  <c r="BZ3" i="8" s="1"/>
  <c r="CA3" i="8" s="1"/>
  <c r="CB3" i="8" s="1"/>
  <c r="CC3" i="8" s="1"/>
  <c r="CD3" i="8" s="1"/>
  <c r="CE3" i="8" s="1"/>
  <c r="CF3" i="8" s="1"/>
  <c r="CG3" i="8" s="1"/>
  <c r="CH3" i="8" s="1"/>
  <c r="CI3" i="8" s="1"/>
  <c r="CJ3" i="8" s="1"/>
  <c r="CK3" i="8" s="1"/>
  <c r="CL3" i="8" s="1"/>
  <c r="CM3" i="8" s="1"/>
  <c r="CN3" i="8" s="1"/>
  <c r="CO3" i="8" s="1"/>
  <c r="CP3" i="8" s="1"/>
  <c r="CQ3" i="8" s="1"/>
  <c r="CR3" i="8" s="1"/>
  <c r="CS3" i="8" s="1"/>
  <c r="CT3" i="8" s="1"/>
  <c r="CU3" i="8" s="1"/>
  <c r="CV3" i="8" s="1"/>
  <c r="CW3" i="8" s="1"/>
  <c r="CX3" i="8" s="1"/>
  <c r="CY3" i="8" s="1"/>
  <c r="CZ3" i="8" s="1"/>
  <c r="DA3" i="8" s="1"/>
  <c r="DB3" i="8" s="1"/>
  <c r="DC3" i="8" s="1"/>
  <c r="DD3" i="8" s="1"/>
  <c r="DE3" i="8" s="1"/>
  <c r="DF3" i="8" s="1"/>
  <c r="DG3" i="8" s="1"/>
  <c r="DH3" i="8" s="1"/>
  <c r="DI3" i="8" s="1"/>
  <c r="DJ3" i="8" s="1"/>
  <c r="DK3" i="8" s="1"/>
  <c r="DL3" i="8" s="1"/>
  <c r="DM3" i="8" s="1"/>
  <c r="DN3" i="8" s="1"/>
  <c r="DO3" i="8" s="1"/>
  <c r="DP3" i="8" s="1"/>
  <c r="DQ3" i="8" s="1"/>
  <c r="DR3" i="8" s="1"/>
  <c r="DS3" i="8" s="1"/>
  <c r="DT3" i="8" s="1"/>
  <c r="DU3" i="8" s="1"/>
  <c r="DV3" i="8" s="1"/>
  <c r="DW3" i="8" s="1"/>
  <c r="DX3" i="8" s="1"/>
  <c r="DY3" i="8" s="1"/>
  <c r="DZ3" i="8" s="1"/>
  <c r="EA3" i="8" s="1"/>
  <c r="EB3" i="8" s="1"/>
  <c r="EC3" i="8" s="1"/>
  <c r="ED3" i="8" s="1"/>
  <c r="EE3" i="8" s="1"/>
  <c r="D2" i="8"/>
  <c r="E1" i="8"/>
  <c r="E64" i="8" l="1"/>
  <c r="E65" i="8" s="1"/>
  <c r="E2" i="8"/>
  <c r="F1" i="8"/>
  <c r="C18" i="7"/>
  <c r="C14" i="7"/>
  <c r="E12" i="7"/>
  <c r="E14" i="7" s="1"/>
  <c r="D12" i="7"/>
  <c r="D18" i="7" s="1"/>
  <c r="C8" i="7"/>
  <c r="C3" i="7"/>
  <c r="C13" i="7" s="1"/>
  <c r="D13" i="7" s="1"/>
  <c r="E13" i="7" s="1"/>
  <c r="F13" i="7" s="1"/>
  <c r="G13" i="7" s="1"/>
  <c r="H13" i="7" s="1"/>
  <c r="I13" i="7" s="1"/>
  <c r="J13" i="7" s="1"/>
  <c r="K13" i="7" s="1"/>
  <c r="L13" i="7" s="1"/>
  <c r="M13" i="7" s="1"/>
  <c r="N13" i="7" s="1"/>
  <c r="O13" i="7" s="1"/>
  <c r="P13" i="7" s="1"/>
  <c r="Q13" i="7" s="1"/>
  <c r="R13" i="7" s="1"/>
  <c r="S13" i="7" s="1"/>
  <c r="T13" i="7" s="1"/>
  <c r="U13" i="7" s="1"/>
  <c r="V13" i="7" s="1"/>
  <c r="W13" i="7" s="1"/>
  <c r="X13" i="7" s="1"/>
  <c r="Y13" i="7" s="1"/>
  <c r="Z13" i="7" s="1"/>
  <c r="AA13" i="7" s="1"/>
  <c r="AB13" i="7" s="1"/>
  <c r="AC13" i="7" s="1"/>
  <c r="AD13" i="7" s="1"/>
  <c r="AE13" i="7" s="1"/>
  <c r="AF13" i="7" s="1"/>
  <c r="AG13" i="7" s="1"/>
  <c r="AH13" i="7" s="1"/>
  <c r="AI13" i="7" s="1"/>
  <c r="AJ13" i="7" s="1"/>
  <c r="AK13" i="7" s="1"/>
  <c r="AL13" i="7" s="1"/>
  <c r="AM13" i="7" s="1"/>
  <c r="AN13" i="7" s="1"/>
  <c r="AO13" i="7" s="1"/>
  <c r="AP13" i="7" s="1"/>
  <c r="AQ13" i="7" s="1"/>
  <c r="AR13" i="7" s="1"/>
  <c r="AS13" i="7" s="1"/>
  <c r="AT13" i="7" s="1"/>
  <c r="AU13" i="7" s="1"/>
  <c r="AV13" i="7" s="1"/>
  <c r="AW13" i="7" s="1"/>
  <c r="AX13" i="7" s="1"/>
  <c r="AY13" i="7" s="1"/>
  <c r="AZ13" i="7" s="1"/>
  <c r="BA13" i="7" s="1"/>
  <c r="BB13" i="7" s="1"/>
  <c r="BC13" i="7" s="1"/>
  <c r="BD13" i="7" s="1"/>
  <c r="BE13" i="7" s="1"/>
  <c r="BF13" i="7" s="1"/>
  <c r="BG13" i="7" s="1"/>
  <c r="BH13" i="7" s="1"/>
  <c r="BI13" i="7" s="1"/>
  <c r="BJ13" i="7" s="1"/>
  <c r="BK13" i="7" s="1"/>
  <c r="BL13" i="7" s="1"/>
  <c r="BM13" i="7" s="1"/>
  <c r="BN13" i="7" s="1"/>
  <c r="BO13" i="7" s="1"/>
  <c r="BP13" i="7" s="1"/>
  <c r="BQ13" i="7" s="1"/>
  <c r="BR13" i="7" s="1"/>
  <c r="BS13" i="7" s="1"/>
  <c r="BT13" i="7" s="1"/>
  <c r="BU13" i="7" s="1"/>
  <c r="BV13" i="7" s="1"/>
  <c r="BW13" i="7" s="1"/>
  <c r="BX13" i="7" s="1"/>
  <c r="BY13" i="7" s="1"/>
  <c r="BZ13" i="7" s="1"/>
  <c r="CA13" i="7" s="1"/>
  <c r="CB13" i="7" s="1"/>
  <c r="CC13" i="7" s="1"/>
  <c r="CD13" i="7" s="1"/>
  <c r="CE13" i="7" s="1"/>
  <c r="CF13" i="7" s="1"/>
  <c r="CG13" i="7" s="1"/>
  <c r="CH13" i="7" s="1"/>
  <c r="CI13" i="7" s="1"/>
  <c r="CJ13" i="7" s="1"/>
  <c r="CK13" i="7" s="1"/>
  <c r="CL13" i="7" s="1"/>
  <c r="CM13" i="7" s="1"/>
  <c r="CN13" i="7" s="1"/>
  <c r="CO13" i="7" s="1"/>
  <c r="CP13" i="7" s="1"/>
  <c r="CQ13" i="7" s="1"/>
  <c r="CR13" i="7" s="1"/>
  <c r="CS13" i="7" s="1"/>
  <c r="CT13" i="7" s="1"/>
  <c r="CU13" i="7" s="1"/>
  <c r="CV13" i="7" s="1"/>
  <c r="CW13" i="7" s="1"/>
  <c r="CX13" i="7" s="1"/>
  <c r="CY13" i="7" s="1"/>
  <c r="CZ13" i="7" s="1"/>
  <c r="DA13" i="7" s="1"/>
  <c r="DB13" i="7" s="1"/>
  <c r="DC13" i="7" s="1"/>
  <c r="DD13" i="7" s="1"/>
  <c r="DE13" i="7" s="1"/>
  <c r="DF13" i="7" s="1"/>
  <c r="DG13" i="7" s="1"/>
  <c r="DH13" i="7" s="1"/>
  <c r="DI13" i="7" s="1"/>
  <c r="DJ13" i="7" s="1"/>
  <c r="DK13" i="7" s="1"/>
  <c r="DL13" i="7" s="1"/>
  <c r="DM13" i="7" s="1"/>
  <c r="DN13" i="7" s="1"/>
  <c r="DO13" i="7" s="1"/>
  <c r="DP13" i="7" s="1"/>
  <c r="DQ13" i="7" s="1"/>
  <c r="DR13" i="7" s="1"/>
  <c r="DS13" i="7" s="1"/>
  <c r="DT13" i="7" s="1"/>
  <c r="DU13" i="7" s="1"/>
  <c r="DV13" i="7" s="1"/>
  <c r="DW13" i="7" s="1"/>
  <c r="DX13" i="7" s="1"/>
  <c r="DY13" i="7" s="1"/>
  <c r="DZ13" i="7" s="1"/>
  <c r="EA13" i="7" s="1"/>
  <c r="EB13" i="7" s="1"/>
  <c r="EC13" i="7" s="1"/>
  <c r="ED13" i="7" s="1"/>
  <c r="D2" i="7"/>
  <c r="G40" i="6"/>
  <c r="G39" i="6"/>
  <c r="G38" i="6"/>
  <c r="G37" i="6"/>
  <c r="G36" i="6"/>
  <c r="G35" i="6"/>
  <c r="G34" i="6"/>
  <c r="G33" i="6"/>
  <c r="G32" i="6"/>
  <c r="G31" i="6"/>
  <c r="G30" i="6"/>
  <c r="G29" i="6"/>
  <c r="H28" i="6"/>
  <c r="G28" i="6"/>
  <c r="G27" i="6"/>
  <c r="H27" i="6" s="1"/>
  <c r="G26" i="6"/>
  <c r="H26" i="6" s="1"/>
  <c r="G25" i="6"/>
  <c r="H25" i="6" s="1"/>
  <c r="D41" i="6"/>
  <c r="H8" i="6"/>
  <c r="D3" i="7" l="1"/>
  <c r="E3" i="7" s="1"/>
  <c r="F3" i="7" s="1"/>
  <c r="G3" i="7" s="1"/>
  <c r="H3" i="7" s="1"/>
  <c r="I3" i="7" s="1"/>
  <c r="J3" i="7" s="1"/>
  <c r="K3" i="7" s="1"/>
  <c r="L3" i="7" s="1"/>
  <c r="M3" i="7" s="1"/>
  <c r="N3" i="7" s="1"/>
  <c r="O3" i="7" s="1"/>
  <c r="P3" i="7" s="1"/>
  <c r="Q3" i="7" s="1"/>
  <c r="R3" i="7" s="1"/>
  <c r="S3" i="7" s="1"/>
  <c r="T3" i="7" s="1"/>
  <c r="U3" i="7" s="1"/>
  <c r="V3" i="7" s="1"/>
  <c r="W3" i="7" s="1"/>
  <c r="X3" i="7" s="1"/>
  <c r="Y3" i="7" s="1"/>
  <c r="Z3" i="7" s="1"/>
  <c r="AA3" i="7" s="1"/>
  <c r="AB3" i="7" s="1"/>
  <c r="AC3" i="7" s="1"/>
  <c r="AD3" i="7" s="1"/>
  <c r="AE3" i="7" s="1"/>
  <c r="AF3" i="7" s="1"/>
  <c r="AG3" i="7" s="1"/>
  <c r="AH3" i="7" s="1"/>
  <c r="AI3" i="7" s="1"/>
  <c r="AJ3" i="7" s="1"/>
  <c r="AK3" i="7" s="1"/>
  <c r="AL3" i="7" s="1"/>
  <c r="AM3" i="7" s="1"/>
  <c r="AN3" i="7" s="1"/>
  <c r="AO3" i="7" s="1"/>
  <c r="AP3" i="7" s="1"/>
  <c r="AQ3" i="7" s="1"/>
  <c r="AR3" i="7" s="1"/>
  <c r="AS3" i="7" s="1"/>
  <c r="AT3" i="7" s="1"/>
  <c r="AU3" i="7" s="1"/>
  <c r="AV3" i="7" s="1"/>
  <c r="AW3" i="7" s="1"/>
  <c r="AX3" i="7" s="1"/>
  <c r="AY3" i="7" s="1"/>
  <c r="AZ3" i="7" s="1"/>
  <c r="BA3" i="7" s="1"/>
  <c r="BB3" i="7" s="1"/>
  <c r="BC3" i="7" s="1"/>
  <c r="BD3" i="7" s="1"/>
  <c r="BE3" i="7" s="1"/>
  <c r="BF3" i="7" s="1"/>
  <c r="BG3" i="7" s="1"/>
  <c r="BH3" i="7" s="1"/>
  <c r="BI3" i="7" s="1"/>
  <c r="BJ3" i="7" s="1"/>
  <c r="BK3" i="7" s="1"/>
  <c r="BL3" i="7" s="1"/>
  <c r="BM3" i="7" s="1"/>
  <c r="BN3" i="7" s="1"/>
  <c r="BO3" i="7" s="1"/>
  <c r="BP3" i="7" s="1"/>
  <c r="BQ3" i="7" s="1"/>
  <c r="BR3" i="7" s="1"/>
  <c r="BS3" i="7" s="1"/>
  <c r="BT3" i="7" s="1"/>
  <c r="BU3" i="7" s="1"/>
  <c r="BV3" i="7" s="1"/>
  <c r="BW3" i="7" s="1"/>
  <c r="BX3" i="7" s="1"/>
  <c r="BY3" i="7" s="1"/>
  <c r="BZ3" i="7" s="1"/>
  <c r="CA3" i="7" s="1"/>
  <c r="CB3" i="7" s="1"/>
  <c r="CC3" i="7" s="1"/>
  <c r="CD3" i="7" s="1"/>
  <c r="CE3" i="7" s="1"/>
  <c r="CF3" i="7" s="1"/>
  <c r="CG3" i="7" s="1"/>
  <c r="CH3" i="7" s="1"/>
  <c r="CI3" i="7" s="1"/>
  <c r="CJ3" i="7" s="1"/>
  <c r="CK3" i="7" s="1"/>
  <c r="CL3" i="7" s="1"/>
  <c r="CM3" i="7" s="1"/>
  <c r="CN3" i="7" s="1"/>
  <c r="CO3" i="7" s="1"/>
  <c r="CP3" i="7" s="1"/>
  <c r="CQ3" i="7" s="1"/>
  <c r="CR3" i="7" s="1"/>
  <c r="CS3" i="7" s="1"/>
  <c r="CT3" i="7" s="1"/>
  <c r="CU3" i="7" s="1"/>
  <c r="CV3" i="7" s="1"/>
  <c r="CW3" i="7" s="1"/>
  <c r="CX3" i="7" s="1"/>
  <c r="CY3" i="7" s="1"/>
  <c r="CZ3" i="7" s="1"/>
  <c r="DA3" i="7" s="1"/>
  <c r="DB3" i="7" s="1"/>
  <c r="DC3" i="7" s="1"/>
  <c r="DD3" i="7" s="1"/>
  <c r="DE3" i="7" s="1"/>
  <c r="DF3" i="7" s="1"/>
  <c r="DG3" i="7" s="1"/>
  <c r="DH3" i="7" s="1"/>
  <c r="DI3" i="7" s="1"/>
  <c r="DJ3" i="7" s="1"/>
  <c r="DK3" i="7" s="1"/>
  <c r="DL3" i="7" s="1"/>
  <c r="DM3" i="7" s="1"/>
  <c r="DN3" i="7" s="1"/>
  <c r="DO3" i="7" s="1"/>
  <c r="DP3" i="7" s="1"/>
  <c r="DQ3" i="7" s="1"/>
  <c r="DR3" i="7" s="1"/>
  <c r="DS3" i="7" s="1"/>
  <c r="DT3" i="7" s="1"/>
  <c r="DU3" i="7" s="1"/>
  <c r="DV3" i="7" s="1"/>
  <c r="DW3" i="7" s="1"/>
  <c r="DX3" i="7" s="1"/>
  <c r="DY3" i="7" s="1"/>
  <c r="DZ3" i="7" s="1"/>
  <c r="EA3" i="7" s="1"/>
  <c r="EB3" i="7" s="1"/>
  <c r="EC3" i="7" s="1"/>
  <c r="ED3" i="7" s="1"/>
  <c r="E18" i="7"/>
  <c r="D8" i="7"/>
  <c r="E52" i="8" s="1"/>
  <c r="E2" i="7"/>
  <c r="D14" i="7"/>
  <c r="F64" i="8"/>
  <c r="F65" i="8" s="1"/>
  <c r="D52" i="8"/>
  <c r="F2" i="8"/>
  <c r="G1" i="8"/>
  <c r="F12" i="7"/>
  <c r="G6" i="6"/>
  <c r="H6" i="6" s="1"/>
  <c r="G7" i="6"/>
  <c r="H7" i="6" s="1"/>
  <c r="G8" i="6"/>
  <c r="G9" i="6"/>
  <c r="H9" i="6" s="1"/>
  <c r="G10" i="6"/>
  <c r="H10" i="6" s="1"/>
  <c r="G11" i="6"/>
  <c r="H11" i="6" s="1"/>
  <c r="G12" i="6"/>
  <c r="H12" i="6" s="1"/>
  <c r="G13" i="6"/>
  <c r="H13" i="6" s="1"/>
  <c r="G14" i="6"/>
  <c r="H14" i="6" s="1"/>
  <c r="G15" i="6"/>
  <c r="H15" i="6" s="1"/>
  <c r="G16" i="6"/>
  <c r="H16" i="6" s="1"/>
  <c r="G17" i="6"/>
  <c r="H17" i="6" s="1"/>
  <c r="G18" i="6"/>
  <c r="H18" i="6" s="1"/>
  <c r="G19" i="6"/>
  <c r="H19" i="6" s="1"/>
  <c r="G20" i="6"/>
  <c r="H20" i="6" s="1"/>
  <c r="G5" i="6"/>
  <c r="H5" i="6" s="1"/>
  <c r="E21" i="6" a="1"/>
  <c r="E21" i="6" s="1"/>
  <c r="C21" i="6"/>
  <c r="H2" i="6"/>
  <c r="I1" i="6"/>
  <c r="J7" i="5"/>
  <c r="J8" i="5" s="1"/>
  <c r="J10" i="5" s="1"/>
  <c r="K6" i="5"/>
  <c r="L6" i="5" s="1"/>
  <c r="M6" i="5" s="1"/>
  <c r="N6" i="5" s="1"/>
  <c r="O6" i="5" s="1"/>
  <c r="P6" i="5" s="1"/>
  <c r="Q6" i="5" s="1"/>
  <c r="R6" i="5" s="1"/>
  <c r="S6" i="5" s="1"/>
  <c r="T6" i="5" s="1"/>
  <c r="L2" i="5"/>
  <c r="M2" i="5" s="1"/>
  <c r="N2" i="5" s="1"/>
  <c r="O2" i="5" s="1"/>
  <c r="P2" i="5" s="1"/>
  <c r="Q2" i="5" s="1"/>
  <c r="R2" i="5" s="1"/>
  <c r="S2" i="5" s="1"/>
  <c r="T2" i="5" s="1"/>
  <c r="K2" i="5"/>
  <c r="B12" i="5" l="1"/>
  <c r="D38" i="8"/>
  <c r="H21" i="6"/>
  <c r="F38" i="8"/>
  <c r="H12" i="1"/>
  <c r="G64" i="8"/>
  <c r="G65" i="8" s="1"/>
  <c r="E38" i="8"/>
  <c r="F14" i="7"/>
  <c r="F18" i="7"/>
  <c r="I39" i="6"/>
  <c r="I38" i="6"/>
  <c r="I37" i="6"/>
  <c r="I34" i="6"/>
  <c r="I35" i="6"/>
  <c r="I40" i="6"/>
  <c r="I33" i="6"/>
  <c r="I32" i="6"/>
  <c r="I31" i="6"/>
  <c r="I30" i="6"/>
  <c r="I29" i="6"/>
  <c r="I36" i="6"/>
  <c r="I7" i="6"/>
  <c r="I8" i="6"/>
  <c r="I9" i="6"/>
  <c r="I10" i="6"/>
  <c r="I11" i="6"/>
  <c r="I5" i="6"/>
  <c r="I6" i="6"/>
  <c r="I12" i="6"/>
  <c r="I13" i="6"/>
  <c r="I14" i="6"/>
  <c r="I15" i="6"/>
  <c r="I16" i="6"/>
  <c r="I17" i="6"/>
  <c r="I18" i="6"/>
  <c r="I19" i="6"/>
  <c r="I20" i="6"/>
  <c r="J1" i="6"/>
  <c r="I2" i="6"/>
  <c r="F2" i="7"/>
  <c r="E8" i="7"/>
  <c r="F52" i="8" s="1"/>
  <c r="K7" i="5"/>
  <c r="G2" i="8"/>
  <c r="H1" i="8"/>
  <c r="G12" i="7"/>
  <c r="G21" i="6"/>
  <c r="AG4" i="2"/>
  <c r="AF4" i="2"/>
  <c r="AH1" i="2"/>
  <c r="AI1" i="2" s="1"/>
  <c r="AJ1" i="2" s="1"/>
  <c r="AK1" i="2" s="1"/>
  <c r="AL1" i="2" s="1"/>
  <c r="AM1" i="2" s="1"/>
  <c r="AN1" i="2" s="1"/>
  <c r="AO1" i="2" s="1"/>
  <c r="AP1" i="2" s="1"/>
  <c r="AQ1" i="2" s="1"/>
  <c r="AR1" i="2" s="1"/>
  <c r="AS1" i="2" s="1"/>
  <c r="AT1" i="2" s="1"/>
  <c r="AU1" i="2" s="1"/>
  <c r="AV1" i="2" s="1"/>
  <c r="AW1" i="2" s="1"/>
  <c r="AX1" i="2" s="1"/>
  <c r="AY1" i="2" s="1"/>
  <c r="AZ1" i="2" s="1"/>
  <c r="BA1" i="2" s="1"/>
  <c r="BB1" i="2" s="1"/>
  <c r="BC1" i="2" s="1"/>
  <c r="BD1" i="2" s="1"/>
  <c r="BE1" i="2" s="1"/>
  <c r="BF1" i="2" s="1"/>
  <c r="BG1" i="2" s="1"/>
  <c r="BH1" i="2" s="1"/>
  <c r="BI1" i="2" s="1"/>
  <c r="BJ1" i="2" s="1"/>
  <c r="BK1" i="2" s="1"/>
  <c r="BL1" i="2" s="1"/>
  <c r="BM1" i="2" s="1"/>
  <c r="BN1" i="2" s="1"/>
  <c r="BO1" i="2" s="1"/>
  <c r="BP1" i="2" s="1"/>
  <c r="BQ1" i="2" s="1"/>
  <c r="BR1" i="2" s="1"/>
  <c r="BS1" i="2" s="1"/>
  <c r="BT1" i="2" s="1"/>
  <c r="BU1" i="2" s="1"/>
  <c r="BV1" i="2" s="1"/>
  <c r="BW1" i="2" s="1"/>
  <c r="BX1" i="2" s="1"/>
  <c r="BY1" i="2" s="1"/>
  <c r="BZ1" i="2" s="1"/>
  <c r="CA1" i="2" s="1"/>
  <c r="CB1" i="2" s="1"/>
  <c r="CC1" i="2" s="1"/>
  <c r="CD1" i="2" s="1"/>
  <c r="CE1" i="2" s="1"/>
  <c r="CF1" i="2" s="1"/>
  <c r="CG1" i="2" s="1"/>
  <c r="CH1" i="2" s="1"/>
  <c r="CI1" i="2" s="1"/>
  <c r="CJ1" i="2" s="1"/>
  <c r="CK1" i="2" s="1"/>
  <c r="CL1" i="2" s="1"/>
  <c r="CM1" i="2" s="1"/>
  <c r="CN1" i="2" s="1"/>
  <c r="CO1" i="2" s="1"/>
  <c r="CP1" i="2" s="1"/>
  <c r="CQ1" i="2" s="1"/>
  <c r="CR1" i="2" s="1"/>
  <c r="CS1" i="2" s="1"/>
  <c r="CT1" i="2" s="1"/>
  <c r="CU1" i="2" s="1"/>
  <c r="CV1" i="2" s="1"/>
  <c r="CW1" i="2" s="1"/>
  <c r="CX1" i="2" s="1"/>
  <c r="CY1" i="2" s="1"/>
  <c r="CZ1" i="2" s="1"/>
  <c r="DA1" i="2" s="1"/>
  <c r="DB1" i="2" s="1"/>
  <c r="DC1" i="2" s="1"/>
  <c r="DD1" i="2" s="1"/>
  <c r="DE1" i="2" s="1"/>
  <c r="DF1" i="2" s="1"/>
  <c r="DG1" i="2" s="1"/>
  <c r="DH1" i="2" s="1"/>
  <c r="DI1" i="2" s="1"/>
  <c r="DJ1" i="2" s="1"/>
  <c r="DK1" i="2" s="1"/>
  <c r="DL1" i="2" s="1"/>
  <c r="DM1" i="2" s="1"/>
  <c r="DN1" i="2" s="1"/>
  <c r="DO1" i="2" s="1"/>
  <c r="DP1" i="2" s="1"/>
  <c r="DQ1" i="2" s="1"/>
  <c r="DR1" i="2" s="1"/>
  <c r="DS1" i="2" s="1"/>
  <c r="DT1" i="2" s="1"/>
  <c r="DU1" i="2" s="1"/>
  <c r="DV1" i="2" s="1"/>
  <c r="DW1" i="2" s="1"/>
  <c r="DX1" i="2" s="1"/>
  <c r="DY1" i="2" s="1"/>
  <c r="DZ1" i="2" s="1"/>
  <c r="EA1" i="2" s="1"/>
  <c r="EB1" i="2" s="1"/>
  <c r="EC1" i="2" s="1"/>
  <c r="ED1" i="2" s="1"/>
  <c r="EE1" i="2" s="1"/>
  <c r="EF1" i="2" s="1"/>
  <c r="EG1" i="2" s="1"/>
  <c r="EH1" i="2" s="1"/>
  <c r="EI1" i="2" s="1"/>
  <c r="EJ1" i="2" s="1"/>
  <c r="EK1" i="2" s="1"/>
  <c r="EL1" i="2" s="1"/>
  <c r="EM1" i="2" s="1"/>
  <c r="EN1" i="2" s="1"/>
  <c r="EO1" i="2" s="1"/>
  <c r="EP1" i="2" s="1"/>
  <c r="EQ1" i="2" s="1"/>
  <c r="ER1" i="2" s="1"/>
  <c r="ES1" i="2" s="1"/>
  <c r="ET1" i="2" s="1"/>
  <c r="EU1" i="2" s="1"/>
  <c r="EV1" i="2" s="1"/>
  <c r="EW1" i="2" s="1"/>
  <c r="EX1" i="2" s="1"/>
  <c r="EY1" i="2" s="1"/>
  <c r="EZ1" i="2" s="1"/>
  <c r="FA1" i="2" s="1"/>
  <c r="FB1" i="2" s="1"/>
  <c r="FC1" i="2" s="1"/>
  <c r="FD1" i="2" s="1"/>
  <c r="FE1" i="2" s="1"/>
  <c r="FF1" i="2" s="1"/>
  <c r="FG1" i="2" s="1"/>
  <c r="FG4" i="2" s="1"/>
  <c r="AG1" i="2"/>
  <c r="T8" i="2"/>
  <c r="U8" i="2" s="1"/>
  <c r="V8" i="2" s="1"/>
  <c r="W8" i="2" s="1"/>
  <c r="X8" i="2" s="1"/>
  <c r="Y8" i="2" s="1"/>
  <c r="Z8" i="2" s="1"/>
  <c r="AA8" i="2" s="1"/>
  <c r="AB8" i="2" s="1"/>
  <c r="AC8" i="2" s="1"/>
  <c r="AC6" i="2"/>
  <c r="AB6" i="2"/>
  <c r="AA6" i="2"/>
  <c r="Z6" i="2"/>
  <c r="Y6" i="2"/>
  <c r="X6" i="2"/>
  <c r="W6" i="2"/>
  <c r="V6" i="2"/>
  <c r="U6" i="2"/>
  <c r="T6" i="2"/>
  <c r="S6" i="2"/>
  <c r="U1" i="2"/>
  <c r="V1" i="2" s="1"/>
  <c r="W1" i="2" s="1"/>
  <c r="X1" i="2" s="1"/>
  <c r="Y1" i="2" s="1"/>
  <c r="Z1" i="2" s="1"/>
  <c r="AA1" i="2" s="1"/>
  <c r="AB1" i="2" s="1"/>
  <c r="AC1" i="2" s="1"/>
  <c r="T1" i="2"/>
  <c r="P17" i="2"/>
  <c r="AR4" i="2" s="1"/>
  <c r="F12" i="5" l="1"/>
  <c r="G12" i="5" s="1"/>
  <c r="BE4" i="2"/>
  <c r="CK4" i="2"/>
  <c r="DA4" i="2"/>
  <c r="DQ4" i="2"/>
  <c r="EW4" i="2"/>
  <c r="BY4" i="2"/>
  <c r="EK4" i="2"/>
  <c r="AW4" i="2"/>
  <c r="FE4" i="2"/>
  <c r="AO4" i="2"/>
  <c r="BU4" i="2"/>
  <c r="EG4" i="2"/>
  <c r="AS4" i="2"/>
  <c r="BI4" i="2"/>
  <c r="CO4" i="2"/>
  <c r="DE4" i="2"/>
  <c r="DU4" i="2"/>
  <c r="FA4" i="2"/>
  <c r="BM4" i="2"/>
  <c r="CC4" i="2"/>
  <c r="CS4" i="2"/>
  <c r="DI4" i="2"/>
  <c r="DY4" i="2"/>
  <c r="EO4" i="2"/>
  <c r="AK4" i="2"/>
  <c r="BA4" i="2"/>
  <c r="BQ4" i="2"/>
  <c r="CG4" i="2"/>
  <c r="CW4" i="2"/>
  <c r="DM4" i="2"/>
  <c r="EC4" i="2"/>
  <c r="ES4" i="2"/>
  <c r="K1" i="6"/>
  <c r="J36" i="6"/>
  <c r="J40" i="6"/>
  <c r="J39" i="6"/>
  <c r="J38" i="6"/>
  <c r="J37" i="6"/>
  <c r="J33" i="6"/>
  <c r="J32" i="6"/>
  <c r="J31" i="6"/>
  <c r="J30" i="6"/>
  <c r="J29" i="6"/>
  <c r="J34" i="6"/>
  <c r="J7" i="6"/>
  <c r="J8" i="6"/>
  <c r="J9" i="6"/>
  <c r="J10" i="6"/>
  <c r="J11" i="6"/>
  <c r="J35" i="6"/>
  <c r="J5" i="6"/>
  <c r="J12" i="6"/>
  <c r="J13" i="6"/>
  <c r="J14" i="6"/>
  <c r="J15" i="6"/>
  <c r="J16" i="6"/>
  <c r="J17" i="6"/>
  <c r="J18" i="6"/>
  <c r="J19" i="6"/>
  <c r="J20" i="6"/>
  <c r="J6" i="6"/>
  <c r="J2" i="6"/>
  <c r="G38" i="8"/>
  <c r="AH4" i="2"/>
  <c r="AL4" i="2"/>
  <c r="AP4" i="2"/>
  <c r="AT4" i="2"/>
  <c r="AX4" i="2"/>
  <c r="BB4" i="2"/>
  <c r="BF4" i="2"/>
  <c r="BJ4" i="2"/>
  <c r="BN4" i="2"/>
  <c r="BR4" i="2"/>
  <c r="BV4" i="2"/>
  <c r="BZ4" i="2"/>
  <c r="CD4" i="2"/>
  <c r="CH4" i="2"/>
  <c r="CL4" i="2"/>
  <c r="CP4" i="2"/>
  <c r="CT4" i="2"/>
  <c r="CX4" i="2"/>
  <c r="DB4" i="2"/>
  <c r="DF4" i="2"/>
  <c r="DJ4" i="2"/>
  <c r="DN4" i="2"/>
  <c r="DR4" i="2"/>
  <c r="DV4" i="2"/>
  <c r="DZ4" i="2"/>
  <c r="ED4" i="2"/>
  <c r="EH4" i="2"/>
  <c r="EL4" i="2"/>
  <c r="EP4" i="2"/>
  <c r="ET4" i="2"/>
  <c r="EX4" i="2"/>
  <c r="FB4" i="2"/>
  <c r="FF4" i="2"/>
  <c r="H64" i="8"/>
  <c r="H65" i="8" s="1"/>
  <c r="AM4" i="2"/>
  <c r="AU4" i="2"/>
  <c r="BC4" i="2"/>
  <c r="BK4" i="2"/>
  <c r="BW4" i="2"/>
  <c r="CE4" i="2"/>
  <c r="CM4" i="2"/>
  <c r="CY4" i="2"/>
  <c r="DG4" i="2"/>
  <c r="DS4" i="2"/>
  <c r="EA4" i="2"/>
  <c r="EI4" i="2"/>
  <c r="EU4" i="2"/>
  <c r="G18" i="7"/>
  <c r="G14" i="7"/>
  <c r="I21" i="6"/>
  <c r="AI4" i="2"/>
  <c r="AQ4" i="2"/>
  <c r="AY4" i="2"/>
  <c r="BG4" i="2"/>
  <c r="BO4" i="2"/>
  <c r="BS4" i="2"/>
  <c r="CA4" i="2"/>
  <c r="CI4" i="2"/>
  <c r="CQ4" i="2"/>
  <c r="CU4" i="2"/>
  <c r="DC4" i="2"/>
  <c r="DK4" i="2"/>
  <c r="DO4" i="2"/>
  <c r="DW4" i="2"/>
  <c r="EE4" i="2"/>
  <c r="EM4" i="2"/>
  <c r="EQ4" i="2"/>
  <c r="EY4" i="2"/>
  <c r="FC4" i="2"/>
  <c r="AJ4" i="2"/>
  <c r="AN4" i="2"/>
  <c r="AV4" i="2"/>
  <c r="AZ4" i="2"/>
  <c r="BD4" i="2"/>
  <c r="BH4" i="2"/>
  <c r="BL4" i="2"/>
  <c r="BP4" i="2"/>
  <c r="BT4" i="2"/>
  <c r="BX4" i="2"/>
  <c r="CB4" i="2"/>
  <c r="CF4" i="2"/>
  <c r="CJ4" i="2"/>
  <c r="CN4" i="2"/>
  <c r="CR4" i="2"/>
  <c r="CV4" i="2"/>
  <c r="CZ4" i="2"/>
  <c r="DD4" i="2"/>
  <c r="DH4" i="2"/>
  <c r="DL4" i="2"/>
  <c r="DP4" i="2"/>
  <c r="DT4" i="2"/>
  <c r="DX4" i="2"/>
  <c r="EB4" i="2"/>
  <c r="EF4" i="2"/>
  <c r="EJ4" i="2"/>
  <c r="EN4" i="2"/>
  <c r="ER4" i="2"/>
  <c r="EV4" i="2"/>
  <c r="EZ4" i="2"/>
  <c r="FD4" i="2"/>
  <c r="G2" i="7"/>
  <c r="F8" i="7"/>
  <c r="G52" i="8" s="1"/>
  <c r="K8" i="5"/>
  <c r="K10" i="5" s="1"/>
  <c r="L7" i="5"/>
  <c r="H2" i="8"/>
  <c r="I1" i="8"/>
  <c r="H12" i="7"/>
  <c r="M22" i="2"/>
  <c r="M21" i="2"/>
  <c r="M20" i="2"/>
  <c r="M19" i="2"/>
  <c r="M18" i="2"/>
  <c r="M17" i="2"/>
  <c r="M16" i="2"/>
  <c r="M15" i="2"/>
  <c r="M14" i="2"/>
  <c r="M13" i="2"/>
  <c r="M12" i="2"/>
  <c r="M11" i="2"/>
  <c r="M10" i="2"/>
  <c r="M9" i="2"/>
  <c r="M8" i="2"/>
  <c r="M7" i="2"/>
  <c r="M6" i="2"/>
  <c r="M5" i="2"/>
  <c r="M4" i="2"/>
  <c r="I22" i="2"/>
  <c r="H22" i="2"/>
  <c r="G22" i="2"/>
  <c r="I21" i="2"/>
  <c r="K21" i="2" s="1"/>
  <c r="H21" i="2"/>
  <c r="G21" i="2"/>
  <c r="I20" i="2"/>
  <c r="K20" i="2" s="1"/>
  <c r="H20" i="2"/>
  <c r="G20" i="2"/>
  <c r="I19" i="2"/>
  <c r="H19" i="2"/>
  <c r="G19" i="2"/>
  <c r="I18" i="2"/>
  <c r="H18" i="2"/>
  <c r="G18" i="2"/>
  <c r="I17" i="2"/>
  <c r="K17" i="2" s="1"/>
  <c r="H17" i="2"/>
  <c r="G17" i="2"/>
  <c r="I16" i="2"/>
  <c r="K16" i="2" s="1"/>
  <c r="H16" i="2"/>
  <c r="G16" i="2"/>
  <c r="I15" i="2"/>
  <c r="H15" i="2"/>
  <c r="G15" i="2"/>
  <c r="I14" i="2"/>
  <c r="H14" i="2"/>
  <c r="G14" i="2"/>
  <c r="I13" i="2"/>
  <c r="H13" i="2"/>
  <c r="G13" i="2"/>
  <c r="I12" i="2"/>
  <c r="K12" i="2" s="1"/>
  <c r="H12" i="2"/>
  <c r="G12" i="2"/>
  <c r="I11" i="2"/>
  <c r="H11" i="2"/>
  <c r="G11" i="2"/>
  <c r="I10" i="2"/>
  <c r="H10" i="2"/>
  <c r="G10" i="2"/>
  <c r="I9" i="2"/>
  <c r="K9" i="2" s="1"/>
  <c r="H9" i="2"/>
  <c r="G9" i="2"/>
  <c r="I8" i="2"/>
  <c r="H8" i="2"/>
  <c r="G8" i="2"/>
  <c r="I7" i="2"/>
  <c r="H7" i="2"/>
  <c r="G7" i="2"/>
  <c r="I6" i="2"/>
  <c r="K6" i="2" s="1"/>
  <c r="H6" i="2"/>
  <c r="G6" i="2"/>
  <c r="I5" i="2"/>
  <c r="K5" i="2" s="1"/>
  <c r="H5" i="2"/>
  <c r="G5" i="2"/>
  <c r="I4" i="2"/>
  <c r="K4" i="2" s="1"/>
  <c r="H4" i="2"/>
  <c r="G4" i="2"/>
  <c r="I3" i="2"/>
  <c r="H3" i="2"/>
  <c r="K22" i="2"/>
  <c r="K19" i="2"/>
  <c r="K18" i="2"/>
  <c r="K15" i="2"/>
  <c r="K14" i="2"/>
  <c r="K13" i="2"/>
  <c r="K11" i="2"/>
  <c r="K10" i="2"/>
  <c r="K8" i="2"/>
  <c r="K7" i="2"/>
  <c r="A23" i="2"/>
  <c r="B3" i="1" s="1"/>
  <c r="E22" i="2"/>
  <c r="E21" i="2"/>
  <c r="E20" i="2"/>
  <c r="E19" i="2"/>
  <c r="E18" i="2"/>
  <c r="E17" i="2"/>
  <c r="E16" i="2"/>
  <c r="E15" i="2"/>
  <c r="E14" i="2"/>
  <c r="E13" i="2"/>
  <c r="E12" i="2"/>
  <c r="E11" i="2"/>
  <c r="E10" i="2"/>
  <c r="E9" i="2"/>
  <c r="E8" i="2"/>
  <c r="E7" i="2"/>
  <c r="E6" i="2"/>
  <c r="E4" i="2"/>
  <c r="E5" i="2"/>
  <c r="B22" i="1" l="1"/>
  <c r="B18" i="1"/>
  <c r="B17" i="1"/>
  <c r="C23" i="2"/>
  <c r="B5" i="1" s="1"/>
  <c r="G11" i="5"/>
  <c r="C11" i="5"/>
  <c r="H2" i="7"/>
  <c r="G8" i="7"/>
  <c r="H52" i="8" s="1"/>
  <c r="D23" i="8"/>
  <c r="D20" i="8"/>
  <c r="D15" i="8"/>
  <c r="D21" i="8"/>
  <c r="D16" i="8"/>
  <c r="D18" i="8"/>
  <c r="D17" i="8"/>
  <c r="D19" i="8"/>
  <c r="D14" i="8"/>
  <c r="B8" i="1"/>
  <c r="D40" i="8"/>
  <c r="C33" i="6"/>
  <c r="H33" i="6" s="1"/>
  <c r="C37" i="6"/>
  <c r="H37" i="6" s="1"/>
  <c r="K25" i="6"/>
  <c r="K27" i="6"/>
  <c r="C32" i="6"/>
  <c r="H32" i="6" s="1"/>
  <c r="C38" i="6"/>
  <c r="C34" i="6"/>
  <c r="C39" i="6"/>
  <c r="K26" i="6"/>
  <c r="C36" i="6"/>
  <c r="C35" i="6"/>
  <c r="C40" i="6"/>
  <c r="D7" i="6"/>
  <c r="D11" i="6"/>
  <c r="D15" i="6"/>
  <c r="D19" i="6"/>
  <c r="D8" i="6"/>
  <c r="D12" i="6"/>
  <c r="D16" i="6"/>
  <c r="D20" i="6"/>
  <c r="D9" i="6"/>
  <c r="D13" i="6"/>
  <c r="D17" i="6"/>
  <c r="D10" i="6"/>
  <c r="D6" i="6"/>
  <c r="D18" i="6"/>
  <c r="E40" i="8"/>
  <c r="D14" i="6"/>
  <c r="I36" i="8"/>
  <c r="I32" i="8"/>
  <c r="C10" i="5"/>
  <c r="C6" i="5"/>
  <c r="I35" i="8"/>
  <c r="C13" i="5"/>
  <c r="H39" i="8"/>
  <c r="F40" i="8"/>
  <c r="I29" i="8"/>
  <c r="I34" i="8"/>
  <c r="I30" i="8"/>
  <c r="C12" i="5"/>
  <c r="C8" i="5"/>
  <c r="C4" i="5"/>
  <c r="H38" i="8"/>
  <c r="L1" i="6"/>
  <c r="K39" i="6"/>
  <c r="K40" i="6"/>
  <c r="K38" i="6"/>
  <c r="K36" i="6"/>
  <c r="K35" i="6"/>
  <c r="K34" i="6"/>
  <c r="K33" i="6"/>
  <c r="K31" i="6"/>
  <c r="K29" i="6"/>
  <c r="K37" i="6"/>
  <c r="K30" i="6"/>
  <c r="K9" i="6"/>
  <c r="K10" i="6"/>
  <c r="K5" i="6"/>
  <c r="K32" i="6"/>
  <c r="K7" i="6"/>
  <c r="K8" i="6"/>
  <c r="K11" i="6"/>
  <c r="K12" i="6"/>
  <c r="K13" i="6"/>
  <c r="K14" i="6"/>
  <c r="K15" i="6"/>
  <c r="K16" i="6"/>
  <c r="K17" i="6"/>
  <c r="K18" i="6"/>
  <c r="K19" i="6"/>
  <c r="K20" i="6"/>
  <c r="K2" i="6"/>
  <c r="K6" i="6"/>
  <c r="H18" i="7"/>
  <c r="H14" i="7"/>
  <c r="G40" i="8"/>
  <c r="J21" i="6"/>
  <c r="I64" i="8"/>
  <c r="M7" i="5"/>
  <c r="L8" i="5"/>
  <c r="L10" i="5" s="1"/>
  <c r="H40" i="8"/>
  <c r="I2" i="8"/>
  <c r="J1" i="8"/>
  <c r="I12" i="7"/>
  <c r="G23" i="2"/>
  <c r="H36" i="6" l="1"/>
  <c r="I28" i="6"/>
  <c r="J28" i="6"/>
  <c r="E17" i="8"/>
  <c r="F17" i="8" s="1"/>
  <c r="G17" i="8" s="1"/>
  <c r="H17" i="8" s="1"/>
  <c r="I17" i="8" s="1"/>
  <c r="J17" i="8" s="1"/>
  <c r="K28" i="6"/>
  <c r="K41" i="6" s="1"/>
  <c r="D39" i="8"/>
  <c r="E39" i="8"/>
  <c r="F39" i="8"/>
  <c r="G39" i="8"/>
  <c r="D35" i="8"/>
  <c r="E35" i="8"/>
  <c r="F35" i="8"/>
  <c r="G35" i="8"/>
  <c r="H35" i="8"/>
  <c r="D32" i="8"/>
  <c r="E32" i="8"/>
  <c r="F32" i="8"/>
  <c r="G32" i="8"/>
  <c r="H32" i="8"/>
  <c r="H35" i="6"/>
  <c r="I26" i="6"/>
  <c r="J26" i="6"/>
  <c r="H38" i="6"/>
  <c r="E15" i="8"/>
  <c r="F15" i="8" s="1"/>
  <c r="G15" i="8" s="1"/>
  <c r="H15" i="8" s="1"/>
  <c r="I15" i="8" s="1"/>
  <c r="J15" i="8" s="1"/>
  <c r="I23" i="2"/>
  <c r="E41" i="6" a="1"/>
  <c r="E41" i="6" s="1"/>
  <c r="E45" i="6" s="1"/>
  <c r="E49" i="6" s="1"/>
  <c r="F41" i="6" a="1"/>
  <c r="F41" i="6" s="1"/>
  <c r="C41" i="6"/>
  <c r="I25" i="6"/>
  <c r="J25" i="6"/>
  <c r="E21" i="8"/>
  <c r="F21" i="8" s="1"/>
  <c r="G21" i="8" s="1"/>
  <c r="H21" i="8" s="1"/>
  <c r="I21" i="8" s="1"/>
  <c r="J21" i="8" s="1"/>
  <c r="I18" i="7"/>
  <c r="I14" i="7"/>
  <c r="M1" i="6"/>
  <c r="L40" i="6"/>
  <c r="L37" i="6"/>
  <c r="L36" i="6"/>
  <c r="L39" i="6"/>
  <c r="L35" i="6"/>
  <c r="L38" i="6"/>
  <c r="L34" i="6"/>
  <c r="L33" i="6"/>
  <c r="L31" i="6"/>
  <c r="L29" i="6"/>
  <c r="L27" i="6"/>
  <c r="L7" i="6"/>
  <c r="L8" i="6"/>
  <c r="L9" i="6"/>
  <c r="L32" i="6"/>
  <c r="L30" i="6"/>
  <c r="L15" i="6"/>
  <c r="L17" i="6"/>
  <c r="L19" i="6"/>
  <c r="L20" i="6"/>
  <c r="L10" i="6"/>
  <c r="L5" i="6"/>
  <c r="L11" i="6"/>
  <c r="L12" i="6"/>
  <c r="L13" i="6"/>
  <c r="L16" i="6"/>
  <c r="L14" i="6"/>
  <c r="L18" i="6"/>
  <c r="L26" i="6"/>
  <c r="L28" i="6"/>
  <c r="L25" i="6"/>
  <c r="L2" i="6"/>
  <c r="L6" i="6"/>
  <c r="D30" i="8"/>
  <c r="E30" i="8"/>
  <c r="F30" i="8"/>
  <c r="G30" i="8"/>
  <c r="H30" i="8"/>
  <c r="D36" i="8"/>
  <c r="E36" i="8"/>
  <c r="F36" i="8"/>
  <c r="G36" i="8"/>
  <c r="H36" i="8"/>
  <c r="D21" i="6"/>
  <c r="H30" i="6"/>
  <c r="H39" i="6"/>
  <c r="E14" i="8"/>
  <c r="E18" i="8"/>
  <c r="F18" i="8" s="1"/>
  <c r="G18" i="8" s="1"/>
  <c r="H18" i="8" s="1"/>
  <c r="I18" i="8" s="1"/>
  <c r="J18" i="8" s="1"/>
  <c r="K18" i="8" s="1"/>
  <c r="E20" i="8"/>
  <c r="F20" i="8" s="1"/>
  <c r="G20" i="8" s="1"/>
  <c r="H20" i="8" s="1"/>
  <c r="I20" i="8" s="1"/>
  <c r="J20" i="8" s="1"/>
  <c r="I2" i="7"/>
  <c r="H8" i="7"/>
  <c r="I52" i="8" s="1"/>
  <c r="D29" i="8"/>
  <c r="E29" i="8"/>
  <c r="F29" i="8"/>
  <c r="G29" i="8"/>
  <c r="H29" i="8"/>
  <c r="H40" i="6"/>
  <c r="I38" i="8"/>
  <c r="K21" i="6"/>
  <c r="D34" i="8"/>
  <c r="E34" i="8"/>
  <c r="F34" i="8"/>
  <c r="G34" i="8"/>
  <c r="H34" i="8"/>
  <c r="H31" i="6"/>
  <c r="H34" i="6"/>
  <c r="I27" i="6"/>
  <c r="J27" i="6"/>
  <c r="H29" i="6"/>
  <c r="E19" i="8"/>
  <c r="F19" i="8" s="1"/>
  <c r="G19" i="8" s="1"/>
  <c r="H19" i="8" s="1"/>
  <c r="I19" i="8" s="1"/>
  <c r="J19" i="8" s="1"/>
  <c r="K19" i="8" s="1"/>
  <c r="E16" i="8"/>
  <c r="F16" i="8" s="1"/>
  <c r="G16" i="8" s="1"/>
  <c r="H16" i="8" s="1"/>
  <c r="I16" i="8" s="1"/>
  <c r="J16" i="8" s="1"/>
  <c r="E23" i="8"/>
  <c r="F23" i="8" s="1"/>
  <c r="G23" i="8" s="1"/>
  <c r="H23" i="8" s="1"/>
  <c r="I23" i="8" s="1"/>
  <c r="J23" i="8" s="1"/>
  <c r="I65" i="8"/>
  <c r="J64" i="8"/>
  <c r="J65" i="8" s="1"/>
  <c r="N7" i="5"/>
  <c r="M8" i="5"/>
  <c r="M10" i="5" s="1"/>
  <c r="I40" i="8"/>
  <c r="I39" i="8"/>
  <c r="J35" i="8"/>
  <c r="J30" i="8"/>
  <c r="J32" i="8"/>
  <c r="J29" i="8"/>
  <c r="J34" i="8"/>
  <c r="J36" i="8"/>
  <c r="K1" i="8"/>
  <c r="J2" i="8"/>
  <c r="J12" i="7"/>
  <c r="K9" i="1"/>
  <c r="K8" i="1"/>
  <c r="K7" i="1"/>
  <c r="H13" i="1"/>
  <c r="H2" i="1"/>
  <c r="H5" i="1" s="1"/>
  <c r="E13" i="1"/>
  <c r="E2" i="1"/>
  <c r="K10" i="1" s="1"/>
  <c r="H4" i="1" l="1"/>
  <c r="K11" i="1"/>
  <c r="N1" i="6"/>
  <c r="M39" i="6"/>
  <c r="M38" i="6"/>
  <c r="M37" i="6"/>
  <c r="M40" i="6"/>
  <c r="M36" i="6"/>
  <c r="M34" i="6"/>
  <c r="M35" i="6"/>
  <c r="M33" i="6"/>
  <c r="M32" i="6"/>
  <c r="M31" i="6"/>
  <c r="M30" i="6"/>
  <c r="M29" i="6"/>
  <c r="M7" i="6"/>
  <c r="M8" i="6"/>
  <c r="M9" i="6"/>
  <c r="M10" i="6"/>
  <c r="M11" i="6"/>
  <c r="M12" i="6"/>
  <c r="M13" i="6"/>
  <c r="M14" i="6"/>
  <c r="M15" i="6"/>
  <c r="M16" i="6"/>
  <c r="M17" i="6"/>
  <c r="M18" i="6"/>
  <c r="M19" i="6"/>
  <c r="M20" i="6"/>
  <c r="M5" i="6"/>
  <c r="M28" i="6"/>
  <c r="M26" i="6"/>
  <c r="M27" i="6"/>
  <c r="M2" i="6"/>
  <c r="M25" i="6"/>
  <c r="M6" i="6"/>
  <c r="I41" i="6"/>
  <c r="J14" i="7"/>
  <c r="J17" i="7" s="1"/>
  <c r="J18" i="7"/>
  <c r="K16" i="8"/>
  <c r="K45" i="6"/>
  <c r="K49" i="6" s="1"/>
  <c r="G45" i="8" s="1"/>
  <c r="J38" i="8"/>
  <c r="K23" i="8"/>
  <c r="H41" i="6"/>
  <c r="F14" i="8"/>
  <c r="L41" i="6"/>
  <c r="K21" i="8"/>
  <c r="H14" i="1"/>
  <c r="H15" i="1" s="1"/>
  <c r="C45" i="6"/>
  <c r="C49" i="6" s="1"/>
  <c r="H10" i="1" s="1"/>
  <c r="H11" i="1" s="1"/>
  <c r="K17" i="8"/>
  <c r="J2" i="7"/>
  <c r="I8" i="7"/>
  <c r="J52" i="8" s="1"/>
  <c r="K20" i="8"/>
  <c r="L21" i="6"/>
  <c r="G41" i="6"/>
  <c r="F45" i="6"/>
  <c r="K15" i="8"/>
  <c r="J41" i="6"/>
  <c r="C49" i="10"/>
  <c r="C52" i="10" s="1"/>
  <c r="C66" i="10" s="1"/>
  <c r="C50" i="8"/>
  <c r="C4" i="7"/>
  <c r="K3" i="1"/>
  <c r="D50" i="8"/>
  <c r="D53" i="8" s="1"/>
  <c r="D15" i="7"/>
  <c r="E50" i="8"/>
  <c r="E53" i="8" s="1"/>
  <c r="K15" i="7"/>
  <c r="C15" i="7"/>
  <c r="J15" i="7"/>
  <c r="G15" i="7"/>
  <c r="I15" i="7"/>
  <c r="H15" i="7"/>
  <c r="F15" i="7"/>
  <c r="E15" i="7"/>
  <c r="F17" i="7"/>
  <c r="G17" i="7"/>
  <c r="C17" i="7"/>
  <c r="D17" i="7"/>
  <c r="H17" i="7"/>
  <c r="F50" i="8"/>
  <c r="F53" i="8" s="1"/>
  <c r="I17" i="7"/>
  <c r="E17" i="7"/>
  <c r="G50" i="8"/>
  <c r="G53" i="8" s="1"/>
  <c r="H50" i="8"/>
  <c r="H53" i="8" s="1"/>
  <c r="I50" i="8"/>
  <c r="I53" i="8" s="1"/>
  <c r="J50" i="8"/>
  <c r="J53" i="8" s="1"/>
  <c r="K64" i="8"/>
  <c r="O7" i="5"/>
  <c r="N8" i="5"/>
  <c r="N10" i="5" s="1"/>
  <c r="J40" i="8"/>
  <c r="J39" i="8"/>
  <c r="K50" i="8"/>
  <c r="K53" i="8" s="1"/>
  <c r="K30" i="8"/>
  <c r="K32" i="8"/>
  <c r="K34" i="8"/>
  <c r="K36" i="8"/>
  <c r="K35" i="8"/>
  <c r="K29" i="8"/>
  <c r="K2" i="8"/>
  <c r="L1" i="8"/>
  <c r="K12" i="7"/>
  <c r="B16" i="1"/>
  <c r="K2" i="1" l="1"/>
  <c r="K4" i="1" s="1"/>
  <c r="L15" i="8"/>
  <c r="L45" i="6"/>
  <c r="L49" i="6" s="1"/>
  <c r="K2" i="7"/>
  <c r="J8" i="7"/>
  <c r="K52" i="8" s="1"/>
  <c r="L17" i="8"/>
  <c r="D45" i="6"/>
  <c r="D49" i="6" s="1"/>
  <c r="G14" i="8"/>
  <c r="K38" i="8"/>
  <c r="L16" i="8"/>
  <c r="M41" i="6"/>
  <c r="O1" i="6"/>
  <c r="N36" i="6"/>
  <c r="N38" i="6"/>
  <c r="N40" i="6"/>
  <c r="N37" i="6"/>
  <c r="N35" i="6"/>
  <c r="N34" i="6"/>
  <c r="N33" i="6"/>
  <c r="N32" i="6"/>
  <c r="N31" i="6"/>
  <c r="N30" i="6"/>
  <c r="N29" i="6"/>
  <c r="N39" i="6"/>
  <c r="N7" i="6"/>
  <c r="N8" i="6"/>
  <c r="N9" i="6"/>
  <c r="N10" i="6"/>
  <c r="N11" i="6"/>
  <c r="N12" i="6"/>
  <c r="N13" i="6"/>
  <c r="N14" i="6"/>
  <c r="N15" i="6"/>
  <c r="N16" i="6"/>
  <c r="N17" i="6"/>
  <c r="N18" i="6"/>
  <c r="N19" i="6"/>
  <c r="N20" i="6"/>
  <c r="N5" i="6"/>
  <c r="N27" i="6"/>
  <c r="N2" i="6"/>
  <c r="N26" i="6"/>
  <c r="N25" i="6"/>
  <c r="N28" i="6"/>
  <c r="N6" i="6"/>
  <c r="L19" i="8"/>
  <c r="L23" i="8"/>
  <c r="K18" i="7"/>
  <c r="K14" i="7"/>
  <c r="K17" i="7" s="1"/>
  <c r="K16" i="7" s="1"/>
  <c r="F49" i="6"/>
  <c r="G49" i="6" s="1"/>
  <c r="G45" i="6"/>
  <c r="H6" i="1"/>
  <c r="H7" i="1" s="1"/>
  <c r="D3" i="2" s="1"/>
  <c r="P10" i="2" s="1"/>
  <c r="H45" i="6"/>
  <c r="H49" i="6" s="1"/>
  <c r="D45" i="8" s="1"/>
  <c r="I45" i="6"/>
  <c r="I49" i="6" s="1"/>
  <c r="E45" i="8" s="1"/>
  <c r="M21" i="6"/>
  <c r="J45" i="6"/>
  <c r="J49" i="6" s="1"/>
  <c r="F45" i="8" s="1"/>
  <c r="L20" i="8"/>
  <c r="L18" i="8"/>
  <c r="L21" i="8"/>
  <c r="C5" i="7"/>
  <c r="C7" i="7"/>
  <c r="C53" i="8"/>
  <c r="C67" i="8" s="1"/>
  <c r="J16" i="7"/>
  <c r="J19" i="7" s="1"/>
  <c r="C16" i="7"/>
  <c r="C19" i="7" s="1"/>
  <c r="F16" i="7"/>
  <c r="F19" i="7" s="1"/>
  <c r="I16" i="7"/>
  <c r="I19" i="7" s="1"/>
  <c r="E16" i="7"/>
  <c r="E19" i="7" s="1"/>
  <c r="D16" i="7"/>
  <c r="D19" i="7" s="1"/>
  <c r="H16" i="7"/>
  <c r="H19" i="7" s="1"/>
  <c r="G16" i="7"/>
  <c r="G19" i="7" s="1"/>
  <c r="K65" i="8"/>
  <c r="L64" i="8"/>
  <c r="L65" i="8" s="1"/>
  <c r="P7" i="5"/>
  <c r="O8" i="5"/>
  <c r="O10" i="5" s="1"/>
  <c r="L50" i="8"/>
  <c r="L30" i="8"/>
  <c r="L32" i="8"/>
  <c r="L34" i="8"/>
  <c r="L36" i="8"/>
  <c r="L29" i="8"/>
  <c r="L35" i="8"/>
  <c r="K39" i="8"/>
  <c r="K40" i="8"/>
  <c r="M1" i="8"/>
  <c r="L2" i="8"/>
  <c r="L12" i="7"/>
  <c r="B6" i="1"/>
  <c r="D23" i="2" l="1"/>
  <c r="E23" i="2" s="1"/>
  <c r="E3" i="2"/>
  <c r="J3" i="2"/>
  <c r="J23" i="2" s="1"/>
  <c r="AF2" i="2"/>
  <c r="B5" i="5" s="1"/>
  <c r="P12" i="2"/>
  <c r="D22" i="8"/>
  <c r="M18" i="8"/>
  <c r="M19" i="8"/>
  <c r="P1" i="6"/>
  <c r="O40" i="6"/>
  <c r="O39" i="6"/>
  <c r="O37" i="6"/>
  <c r="O36" i="6"/>
  <c r="O38" i="6"/>
  <c r="O34" i="6"/>
  <c r="O32" i="6"/>
  <c r="O30" i="6"/>
  <c r="O35" i="6"/>
  <c r="O6" i="6"/>
  <c r="O8" i="6"/>
  <c r="O5" i="6"/>
  <c r="O29" i="6"/>
  <c r="O9" i="6"/>
  <c r="O31" i="6"/>
  <c r="O7" i="6"/>
  <c r="O10" i="6"/>
  <c r="O11" i="6"/>
  <c r="O12" i="6"/>
  <c r="O13" i="6"/>
  <c r="O14" i="6"/>
  <c r="O15" i="6"/>
  <c r="O16" i="6"/>
  <c r="O17" i="6"/>
  <c r="O18" i="6"/>
  <c r="O19" i="6"/>
  <c r="O20" i="6"/>
  <c r="O33" i="6"/>
  <c r="O28" i="6"/>
  <c r="O2" i="6"/>
  <c r="O26" i="6"/>
  <c r="O25" i="6"/>
  <c r="O27" i="6"/>
  <c r="M17" i="8"/>
  <c r="K19" i="7"/>
  <c r="N41" i="6"/>
  <c r="H45" i="8"/>
  <c r="M45" i="6"/>
  <c r="M49" i="6" s="1"/>
  <c r="M16" i="8"/>
  <c r="H14" i="8"/>
  <c r="M21" i="8"/>
  <c r="M20" i="8"/>
  <c r="L38" i="8"/>
  <c r="N21" i="6"/>
  <c r="L18" i="7"/>
  <c r="L14" i="7"/>
  <c r="L17" i="7" s="1"/>
  <c r="L15" i="7"/>
  <c r="M23" i="8"/>
  <c r="L2" i="7"/>
  <c r="K8" i="7"/>
  <c r="L52" i="8" s="1"/>
  <c r="M15" i="8"/>
  <c r="C6" i="7"/>
  <c r="C9" i="7" s="1"/>
  <c r="D4" i="7" s="1"/>
  <c r="D51" i="8"/>
  <c r="L53" i="8"/>
  <c r="M64" i="8"/>
  <c r="M65" i="8" s="1"/>
  <c r="Q7" i="5"/>
  <c r="P8" i="5"/>
  <c r="P10" i="5" s="1"/>
  <c r="L40" i="8"/>
  <c r="L39" i="8"/>
  <c r="M50" i="8"/>
  <c r="M53" i="8" s="1"/>
  <c r="M34" i="8"/>
  <c r="M36" i="8"/>
  <c r="M32" i="8"/>
  <c r="M29" i="8"/>
  <c r="M35" i="8"/>
  <c r="M30" i="8"/>
  <c r="M2" i="8"/>
  <c r="N1" i="8"/>
  <c r="M12" i="7"/>
  <c r="K3" i="2" l="1"/>
  <c r="F7" i="5" s="1"/>
  <c r="M33" i="8" s="1"/>
  <c r="M3" i="2"/>
  <c r="M23" i="2" s="1"/>
  <c r="H16" i="1" s="1"/>
  <c r="B7" i="5"/>
  <c r="C7" i="5" s="1"/>
  <c r="D24" i="8"/>
  <c r="E22" i="8"/>
  <c r="AF3" i="2"/>
  <c r="K23" i="2"/>
  <c r="AG2" i="2"/>
  <c r="AH2" i="2" s="1"/>
  <c r="AI2" i="2" s="1"/>
  <c r="AJ2" i="2" s="1"/>
  <c r="G7" i="5"/>
  <c r="I33" i="8"/>
  <c r="G33" i="8"/>
  <c r="D33" i="8"/>
  <c r="H33" i="8"/>
  <c r="F33" i="8"/>
  <c r="E33" i="8"/>
  <c r="J33" i="8"/>
  <c r="K33" i="8"/>
  <c r="L33" i="8"/>
  <c r="I45" i="8"/>
  <c r="N15" i="8"/>
  <c r="I14" i="8"/>
  <c r="N20" i="8"/>
  <c r="M2" i="7"/>
  <c r="L8" i="7"/>
  <c r="M52" i="8" s="1"/>
  <c r="N45" i="6"/>
  <c r="N49" i="6"/>
  <c r="J45" i="8" s="1"/>
  <c r="N21" i="8"/>
  <c r="N16" i="8"/>
  <c r="O41" i="6"/>
  <c r="O21" i="6"/>
  <c r="Q1" i="6"/>
  <c r="P40" i="6"/>
  <c r="P38" i="6"/>
  <c r="P35" i="6"/>
  <c r="P36" i="6"/>
  <c r="P39" i="6"/>
  <c r="P37" i="6"/>
  <c r="P34" i="6"/>
  <c r="P27" i="6"/>
  <c r="P32" i="6"/>
  <c r="P30" i="6"/>
  <c r="P6" i="6"/>
  <c r="P7" i="6"/>
  <c r="P8" i="6"/>
  <c r="P9" i="6"/>
  <c r="P26" i="6"/>
  <c r="P33" i="6"/>
  <c r="P31" i="6"/>
  <c r="P29" i="6"/>
  <c r="P28" i="6"/>
  <c r="P13" i="6"/>
  <c r="P14" i="6"/>
  <c r="P16" i="6"/>
  <c r="P5" i="6"/>
  <c r="P17" i="6"/>
  <c r="P10" i="6"/>
  <c r="P11" i="6"/>
  <c r="P12" i="6"/>
  <c r="P15" i="6"/>
  <c r="P18" i="6"/>
  <c r="P19" i="6"/>
  <c r="P20" i="6"/>
  <c r="P25" i="6"/>
  <c r="P2" i="6"/>
  <c r="N18" i="8"/>
  <c r="N23" i="8"/>
  <c r="O23" i="8" s="1"/>
  <c r="L16" i="7"/>
  <c r="L19" i="7" s="1"/>
  <c r="N17" i="8"/>
  <c r="M18" i="7"/>
  <c r="M14" i="7"/>
  <c r="M17" i="7" s="1"/>
  <c r="M15" i="7"/>
  <c r="M38" i="8"/>
  <c r="N19" i="8"/>
  <c r="D5" i="7"/>
  <c r="E51" i="8" s="1"/>
  <c r="D7" i="7"/>
  <c r="N64" i="8"/>
  <c r="N65" i="8" s="1"/>
  <c r="R7" i="5"/>
  <c r="Q8" i="5"/>
  <c r="Q10" i="5" s="1"/>
  <c r="N50" i="8"/>
  <c r="N53" i="8" s="1"/>
  <c r="N30" i="8"/>
  <c r="N33" i="8"/>
  <c r="N34" i="8"/>
  <c r="N36" i="8"/>
  <c r="N32" i="8"/>
  <c r="N29" i="8"/>
  <c r="N35" i="8"/>
  <c r="M40" i="8"/>
  <c r="M39" i="8"/>
  <c r="N2" i="8"/>
  <c r="O1" i="8"/>
  <c r="N12" i="7"/>
  <c r="AG3" i="2" l="1"/>
  <c r="AF5" i="2"/>
  <c r="D6" i="8" s="1"/>
  <c r="C5" i="5"/>
  <c r="B14" i="5"/>
  <c r="C14" i="5" s="1"/>
  <c r="F22" i="8"/>
  <c r="E24" i="8"/>
  <c r="AK2" i="2"/>
  <c r="AL2" i="2" s="1"/>
  <c r="AM2" i="2" s="1"/>
  <c r="AN2" i="2" s="1"/>
  <c r="AO2" i="2" s="1"/>
  <c r="AP2" i="2" s="1"/>
  <c r="AQ2" i="2" s="1"/>
  <c r="AR2" i="2" s="1"/>
  <c r="AS2" i="2" s="1"/>
  <c r="AT2" i="2" s="1"/>
  <c r="AU2" i="2" s="1"/>
  <c r="AV2" i="2" s="1"/>
  <c r="AW2" i="2" s="1"/>
  <c r="AX2" i="2" s="1"/>
  <c r="AY2" i="2" s="1"/>
  <c r="AZ2" i="2" s="1"/>
  <c r="BA2" i="2" s="1"/>
  <c r="BB2" i="2" s="1"/>
  <c r="BC2" i="2" s="1"/>
  <c r="BD2" i="2" s="1"/>
  <c r="BE2" i="2" s="1"/>
  <c r="BF2" i="2" s="1"/>
  <c r="BG2" i="2" s="1"/>
  <c r="BH2" i="2" s="1"/>
  <c r="BI2" i="2" s="1"/>
  <c r="BJ2" i="2" s="1"/>
  <c r="BK2" i="2" s="1"/>
  <c r="BL2" i="2" s="1"/>
  <c r="BM2" i="2" s="1"/>
  <c r="BN2" i="2" s="1"/>
  <c r="BO2" i="2" s="1"/>
  <c r="BP2" i="2" s="1"/>
  <c r="BQ2" i="2" s="1"/>
  <c r="BR2" i="2" s="1"/>
  <c r="BS2" i="2" s="1"/>
  <c r="BT2" i="2" s="1"/>
  <c r="BU2" i="2" s="1"/>
  <c r="BV2" i="2" s="1"/>
  <c r="BW2" i="2" s="1"/>
  <c r="BX2" i="2" s="1"/>
  <c r="BY2" i="2" s="1"/>
  <c r="BZ2" i="2" s="1"/>
  <c r="CA2" i="2" s="1"/>
  <c r="CB2" i="2" s="1"/>
  <c r="CC2" i="2" s="1"/>
  <c r="CD2" i="2" s="1"/>
  <c r="CE2" i="2" s="1"/>
  <c r="CF2" i="2" s="1"/>
  <c r="CG2" i="2" s="1"/>
  <c r="CH2" i="2" s="1"/>
  <c r="CI2" i="2" s="1"/>
  <c r="CJ2" i="2" s="1"/>
  <c r="CK2" i="2" s="1"/>
  <c r="CL2" i="2" s="1"/>
  <c r="CM2" i="2" s="1"/>
  <c r="CN2" i="2" s="1"/>
  <c r="CO2" i="2" s="1"/>
  <c r="CP2" i="2" s="1"/>
  <c r="CQ2" i="2" s="1"/>
  <c r="CR2" i="2" s="1"/>
  <c r="CS2" i="2" s="1"/>
  <c r="CT2" i="2" s="1"/>
  <c r="CU2" i="2" s="1"/>
  <c r="CV2" i="2" s="1"/>
  <c r="CW2" i="2" s="1"/>
  <c r="CX2" i="2" s="1"/>
  <c r="CY2" i="2" s="1"/>
  <c r="CZ2" i="2" s="1"/>
  <c r="DA2" i="2" s="1"/>
  <c r="DB2" i="2" s="1"/>
  <c r="DC2" i="2" s="1"/>
  <c r="DD2" i="2" s="1"/>
  <c r="DE2" i="2" s="1"/>
  <c r="DF2" i="2" s="1"/>
  <c r="DG2" i="2" s="1"/>
  <c r="DH2" i="2" s="1"/>
  <c r="DI2" i="2" s="1"/>
  <c r="DJ2" i="2" s="1"/>
  <c r="DK2" i="2" s="1"/>
  <c r="DL2" i="2" s="1"/>
  <c r="DM2" i="2" s="1"/>
  <c r="DN2" i="2" s="1"/>
  <c r="DO2" i="2" s="1"/>
  <c r="DP2" i="2" s="1"/>
  <c r="DQ2" i="2" s="1"/>
  <c r="DR2" i="2" s="1"/>
  <c r="DS2" i="2" s="1"/>
  <c r="DT2" i="2" s="1"/>
  <c r="DU2" i="2" s="1"/>
  <c r="DV2" i="2" s="1"/>
  <c r="DW2" i="2" s="1"/>
  <c r="DX2" i="2" s="1"/>
  <c r="DY2" i="2" s="1"/>
  <c r="DZ2" i="2" s="1"/>
  <c r="EA2" i="2" s="1"/>
  <c r="EB2" i="2" s="1"/>
  <c r="EC2" i="2" s="1"/>
  <c r="ED2" i="2" s="1"/>
  <c r="EE2" i="2" s="1"/>
  <c r="EF2" i="2" s="1"/>
  <c r="EG2" i="2" s="1"/>
  <c r="EH2" i="2" s="1"/>
  <c r="EI2" i="2" s="1"/>
  <c r="EJ2" i="2" s="1"/>
  <c r="EK2" i="2" s="1"/>
  <c r="EL2" i="2" s="1"/>
  <c r="EM2" i="2" s="1"/>
  <c r="EN2" i="2" s="1"/>
  <c r="EO2" i="2" s="1"/>
  <c r="EP2" i="2" s="1"/>
  <c r="EQ2" i="2" s="1"/>
  <c r="ER2" i="2" s="1"/>
  <c r="ES2" i="2" s="1"/>
  <c r="ET2" i="2" s="1"/>
  <c r="EU2" i="2" s="1"/>
  <c r="EV2" i="2" s="1"/>
  <c r="EW2" i="2" s="1"/>
  <c r="EX2" i="2" s="1"/>
  <c r="EY2" i="2" s="1"/>
  <c r="EZ2" i="2" s="1"/>
  <c r="FA2" i="2" s="1"/>
  <c r="FB2" i="2" s="1"/>
  <c r="FC2" i="2" s="1"/>
  <c r="FD2" i="2" s="1"/>
  <c r="FE2" i="2" s="1"/>
  <c r="FF2" i="2" s="1"/>
  <c r="FG2" i="2" s="1"/>
  <c r="F5" i="5"/>
  <c r="N2" i="7"/>
  <c r="M8" i="7"/>
  <c r="N52" i="8" s="1"/>
  <c r="O15" i="8"/>
  <c r="N14" i="7"/>
  <c r="N17" i="7" s="1"/>
  <c r="N18" i="7"/>
  <c r="N15" i="7"/>
  <c r="O18" i="8"/>
  <c r="O45" i="6"/>
  <c r="J14" i="8"/>
  <c r="P21" i="6"/>
  <c r="O16" i="8"/>
  <c r="O20" i="8"/>
  <c r="P20" i="8" s="1"/>
  <c r="M16" i="7"/>
  <c r="M19" i="7" s="1"/>
  <c r="O17" i="8"/>
  <c r="P17" i="8" s="1"/>
  <c r="O19" i="8"/>
  <c r="P19" i="8" s="1"/>
  <c r="P41" i="6"/>
  <c r="R1" i="6"/>
  <c r="Q39" i="6"/>
  <c r="Q38" i="6"/>
  <c r="Q37" i="6"/>
  <c r="Q36" i="6"/>
  <c r="Q34" i="6"/>
  <c r="Q40" i="6"/>
  <c r="Q35" i="6"/>
  <c r="Q33" i="6"/>
  <c r="Q32" i="6"/>
  <c r="Q31" i="6"/>
  <c r="Q30" i="6"/>
  <c r="Q29" i="6"/>
  <c r="Q26" i="6"/>
  <c r="Q6" i="6"/>
  <c r="Q7" i="6"/>
  <c r="Q8" i="6"/>
  <c r="Q9" i="6"/>
  <c r="Q10" i="6"/>
  <c r="Q11" i="6"/>
  <c r="Q12" i="6"/>
  <c r="Q13" i="6"/>
  <c r="Q14" i="6"/>
  <c r="Q15" i="6"/>
  <c r="Q16" i="6"/>
  <c r="Q17" i="6"/>
  <c r="Q18" i="6"/>
  <c r="Q19" i="6"/>
  <c r="Q20" i="6"/>
  <c r="Q5" i="6"/>
  <c r="Q2" i="6"/>
  <c r="Q28" i="6"/>
  <c r="Q27" i="6"/>
  <c r="Q25" i="6"/>
  <c r="O21" i="8"/>
  <c r="N38" i="8"/>
  <c r="D6" i="7"/>
  <c r="D9" i="7" s="1"/>
  <c r="E4" i="7" s="1"/>
  <c r="E7" i="7" s="1"/>
  <c r="O64" i="8"/>
  <c r="O65" i="8" s="1"/>
  <c r="S7" i="5"/>
  <c r="R8" i="5"/>
  <c r="R10" i="5" s="1"/>
  <c r="O50" i="8"/>
  <c r="O53" i="8" s="1"/>
  <c r="O30" i="8"/>
  <c r="O32" i="8"/>
  <c r="O31" i="8"/>
  <c r="O35" i="8"/>
  <c r="O33" i="8"/>
  <c r="O34" i="8"/>
  <c r="O36" i="8"/>
  <c r="O29" i="8"/>
  <c r="N39" i="8"/>
  <c r="N40" i="8"/>
  <c r="O2" i="8"/>
  <c r="O38" i="8" s="1"/>
  <c r="P1" i="8"/>
  <c r="O12" i="7"/>
  <c r="L31" i="8" l="1"/>
  <c r="G5" i="5"/>
  <c r="G31" i="8"/>
  <c r="K31" i="8"/>
  <c r="M31" i="8"/>
  <c r="F31" i="8"/>
  <c r="E31" i="8"/>
  <c r="D31" i="8"/>
  <c r="H31" i="8"/>
  <c r="I31" i="8"/>
  <c r="J31" i="8"/>
  <c r="N31" i="8"/>
  <c r="D8" i="8"/>
  <c r="D7" i="8"/>
  <c r="D10" i="8"/>
  <c r="D9" i="8"/>
  <c r="G22" i="8"/>
  <c r="F24" i="8"/>
  <c r="AH3" i="2"/>
  <c r="AG5" i="2"/>
  <c r="E6" i="8" s="1"/>
  <c r="N16" i="7"/>
  <c r="N19" i="7" s="1"/>
  <c r="Q41" i="6"/>
  <c r="P16" i="8"/>
  <c r="P18" i="8"/>
  <c r="P21" i="8"/>
  <c r="P45" i="6"/>
  <c r="P49" i="6" s="1"/>
  <c r="L45" i="8" s="1"/>
  <c r="O2" i="7"/>
  <c r="N8" i="7"/>
  <c r="O52" i="8" s="1"/>
  <c r="O18" i="7"/>
  <c r="O14" i="7"/>
  <c r="O17" i="7" s="1"/>
  <c r="O15" i="7"/>
  <c r="S1" i="6"/>
  <c r="R36" i="6"/>
  <c r="R37" i="6"/>
  <c r="R39" i="6"/>
  <c r="R35" i="6"/>
  <c r="R34" i="6"/>
  <c r="R33" i="6"/>
  <c r="R32" i="6"/>
  <c r="R31" i="6"/>
  <c r="R30" i="6"/>
  <c r="R29" i="6"/>
  <c r="R6" i="6"/>
  <c r="R7" i="6"/>
  <c r="R8" i="6"/>
  <c r="R9" i="6"/>
  <c r="R10" i="6"/>
  <c r="R38" i="6"/>
  <c r="R40" i="6"/>
  <c r="R11" i="6"/>
  <c r="R12" i="6"/>
  <c r="R13" i="6"/>
  <c r="R14" i="6"/>
  <c r="R15" i="6"/>
  <c r="R16" i="6"/>
  <c r="R17" i="6"/>
  <c r="R18" i="6"/>
  <c r="R19" i="6"/>
  <c r="R20" i="6"/>
  <c r="R5" i="6"/>
  <c r="R27" i="6"/>
  <c r="R25" i="6"/>
  <c r="R2" i="6"/>
  <c r="R26" i="6"/>
  <c r="R28" i="6"/>
  <c r="E5" i="7"/>
  <c r="E6" i="7" s="1"/>
  <c r="E9" i="7" s="1"/>
  <c r="F4" i="7" s="1"/>
  <c r="Q21" i="6"/>
  <c r="P23" i="8"/>
  <c r="K14" i="8"/>
  <c r="O49" i="6"/>
  <c r="P15" i="8"/>
  <c r="P64" i="8"/>
  <c r="T7" i="5"/>
  <c r="T8" i="5" s="1"/>
  <c r="T10" i="5" s="1"/>
  <c r="S8" i="5"/>
  <c r="S10" i="5" s="1"/>
  <c r="P50" i="8"/>
  <c r="P30" i="8"/>
  <c r="P32" i="8"/>
  <c r="P31" i="8"/>
  <c r="P35" i="8"/>
  <c r="P33" i="8"/>
  <c r="P34" i="8"/>
  <c r="P29" i="8"/>
  <c r="P36" i="8"/>
  <c r="O40" i="8"/>
  <c r="O39" i="8"/>
  <c r="Q1" i="8"/>
  <c r="Q17" i="8" s="1"/>
  <c r="P2" i="8"/>
  <c r="P12" i="7"/>
  <c r="D11" i="8" l="1"/>
  <c r="D26" i="8" s="1"/>
  <c r="D37" i="8" s="1"/>
  <c r="D41" i="8" s="1"/>
  <c r="D43" i="8" s="1"/>
  <c r="AI3" i="2"/>
  <c r="AH5" i="2"/>
  <c r="F6" i="8" s="1"/>
  <c r="H22" i="8"/>
  <c r="G24" i="8"/>
  <c r="E8" i="8"/>
  <c r="E7" i="8"/>
  <c r="E10" i="8"/>
  <c r="E9" i="8"/>
  <c r="F51" i="8"/>
  <c r="R21" i="6"/>
  <c r="O16" i="7"/>
  <c r="O19" i="7" s="1"/>
  <c r="Q45" i="6"/>
  <c r="Q49" i="6" s="1"/>
  <c r="T1" i="6"/>
  <c r="S38" i="6"/>
  <c r="S39" i="6"/>
  <c r="S40" i="6"/>
  <c r="S36" i="6"/>
  <c r="S35" i="6"/>
  <c r="S34" i="6"/>
  <c r="S37" i="6"/>
  <c r="S33" i="6"/>
  <c r="S31" i="6"/>
  <c r="S29" i="6"/>
  <c r="S27" i="6"/>
  <c r="S32" i="6"/>
  <c r="S10" i="6"/>
  <c r="S5" i="6"/>
  <c r="S6" i="6"/>
  <c r="S8" i="6"/>
  <c r="S30" i="6"/>
  <c r="S9" i="6"/>
  <c r="S11" i="6"/>
  <c r="S12" i="6"/>
  <c r="S13" i="6"/>
  <c r="S14" i="6"/>
  <c r="S15" i="6"/>
  <c r="S16" i="6"/>
  <c r="S17" i="6"/>
  <c r="S18" i="6"/>
  <c r="S19" i="6"/>
  <c r="S20" i="6"/>
  <c r="S7" i="6"/>
  <c r="S28" i="6"/>
  <c r="S2" i="6"/>
  <c r="S26" i="6"/>
  <c r="S25" i="6"/>
  <c r="Q20" i="8"/>
  <c r="Q23" i="8"/>
  <c r="R23" i="8" s="1"/>
  <c r="Q21" i="8"/>
  <c r="Q16" i="8"/>
  <c r="R16" i="8" s="1"/>
  <c r="Q19" i="8"/>
  <c r="L14" i="8"/>
  <c r="Q15" i="8"/>
  <c r="R41" i="6"/>
  <c r="P2" i="7"/>
  <c r="O8" i="7"/>
  <c r="P52" i="8" s="1"/>
  <c r="P38" i="8"/>
  <c r="P14" i="7"/>
  <c r="P17" i="7" s="1"/>
  <c r="P18" i="7"/>
  <c r="P15" i="7"/>
  <c r="K45" i="8"/>
  <c r="Q18" i="8"/>
  <c r="F5" i="7"/>
  <c r="F7" i="7"/>
  <c r="P65" i="8"/>
  <c r="P53" i="8"/>
  <c r="Q64" i="8"/>
  <c r="Q65" i="8" s="1"/>
  <c r="P40" i="8"/>
  <c r="P39" i="8"/>
  <c r="Q50" i="8"/>
  <c r="Q53" i="8" s="1"/>
  <c r="Q30" i="8"/>
  <c r="Q31" i="8"/>
  <c r="Q35" i="8"/>
  <c r="Q36" i="8"/>
  <c r="Q33" i="8"/>
  <c r="Q34" i="8"/>
  <c r="Q32" i="8"/>
  <c r="Q29" i="8"/>
  <c r="R1" i="8"/>
  <c r="R17" i="8" s="1"/>
  <c r="Q2" i="8"/>
  <c r="Q12" i="7"/>
  <c r="D47" i="8" l="1"/>
  <c r="D55" i="8" s="1"/>
  <c r="D59" i="8" s="1"/>
  <c r="D70" i="8" s="1"/>
  <c r="E69" i="8" s="1"/>
  <c r="D54" i="8"/>
  <c r="E11" i="8"/>
  <c r="E26" i="8" s="1"/>
  <c r="E37" i="8" s="1"/>
  <c r="E41" i="8" s="1"/>
  <c r="E43" i="8" s="1"/>
  <c r="F10" i="8"/>
  <c r="F8" i="8"/>
  <c r="F9" i="8"/>
  <c r="F7" i="8"/>
  <c r="AJ3" i="2"/>
  <c r="AI5" i="2"/>
  <c r="G6" i="8" s="1"/>
  <c r="I22" i="8"/>
  <c r="H24" i="8"/>
  <c r="M45" i="8"/>
  <c r="R18" i="8"/>
  <c r="Q2" i="7"/>
  <c r="P8" i="7"/>
  <c r="Q52" i="8" s="1"/>
  <c r="R15" i="8"/>
  <c r="R21" i="8"/>
  <c r="R20" i="8"/>
  <c r="S21" i="6"/>
  <c r="P16" i="7"/>
  <c r="P19" i="7" s="1"/>
  <c r="Q38" i="8"/>
  <c r="R45" i="6"/>
  <c r="R49" i="6" s="1"/>
  <c r="M14" i="8"/>
  <c r="S41" i="6"/>
  <c r="Q18" i="7"/>
  <c r="Q14" i="7"/>
  <c r="Q17" i="7" s="1"/>
  <c r="Q15" i="7"/>
  <c r="R19" i="8"/>
  <c r="U1" i="6"/>
  <c r="T40" i="6"/>
  <c r="T39" i="6"/>
  <c r="T37" i="6"/>
  <c r="T36" i="6"/>
  <c r="T35" i="6"/>
  <c r="T38" i="6"/>
  <c r="T28" i="6"/>
  <c r="T33" i="6"/>
  <c r="T31" i="6"/>
  <c r="T29" i="6"/>
  <c r="T6" i="6"/>
  <c r="T7" i="6"/>
  <c r="T8" i="6"/>
  <c r="T9" i="6"/>
  <c r="T27" i="6"/>
  <c r="T32" i="6"/>
  <c r="T30" i="6"/>
  <c r="T15" i="6"/>
  <c r="T17" i="6"/>
  <c r="T18" i="6"/>
  <c r="T10" i="6"/>
  <c r="T5" i="6"/>
  <c r="T11" i="6"/>
  <c r="T12" i="6"/>
  <c r="T13" i="6"/>
  <c r="T16" i="6"/>
  <c r="T34" i="6"/>
  <c r="T14" i="6"/>
  <c r="T19" i="6"/>
  <c r="T20" i="6"/>
  <c r="T26" i="6"/>
  <c r="T2" i="6"/>
  <c r="T25" i="6"/>
  <c r="G51" i="8"/>
  <c r="F6" i="7"/>
  <c r="F9" i="7" s="1"/>
  <c r="G4" i="7" s="1"/>
  <c r="R64" i="8"/>
  <c r="R50" i="8"/>
  <c r="R53" i="8" s="1"/>
  <c r="R31" i="8"/>
  <c r="R32" i="8"/>
  <c r="R35" i="8"/>
  <c r="R29" i="8"/>
  <c r="R36" i="8"/>
  <c r="R33" i="8"/>
  <c r="R34" i="8"/>
  <c r="R30" i="8"/>
  <c r="Q40" i="8"/>
  <c r="Q39" i="8"/>
  <c r="S1" i="8"/>
  <c r="R2" i="8"/>
  <c r="R38" i="8" s="1"/>
  <c r="R12" i="7"/>
  <c r="D67" i="8" l="1"/>
  <c r="E47" i="8"/>
  <c r="E55" i="8" s="1"/>
  <c r="E59" i="8" s="1"/>
  <c r="E70" i="8" s="1"/>
  <c r="F69" i="8" s="1"/>
  <c r="E54" i="8"/>
  <c r="F11" i="8"/>
  <c r="F26" i="8" s="1"/>
  <c r="F37" i="8" s="1"/>
  <c r="F41" i="8" s="1"/>
  <c r="F43" i="8" s="1"/>
  <c r="J22" i="8"/>
  <c r="I24" i="8"/>
  <c r="AK3" i="2"/>
  <c r="AJ5" i="2"/>
  <c r="H6" i="8" s="1"/>
  <c r="G8" i="8"/>
  <c r="G10" i="8"/>
  <c r="G9" i="8"/>
  <c r="G7" i="8"/>
  <c r="T41" i="6"/>
  <c r="N45" i="8"/>
  <c r="Q16" i="7"/>
  <c r="Q19" i="7" s="1"/>
  <c r="V1" i="6"/>
  <c r="U39" i="6"/>
  <c r="U38" i="6"/>
  <c r="U37" i="6"/>
  <c r="U40" i="6"/>
  <c r="U36" i="6"/>
  <c r="U34" i="6"/>
  <c r="U33" i="6"/>
  <c r="U32" i="6"/>
  <c r="U31" i="6"/>
  <c r="U30" i="6"/>
  <c r="U29" i="6"/>
  <c r="U27" i="6"/>
  <c r="U35" i="6"/>
  <c r="U6" i="6"/>
  <c r="U7" i="6"/>
  <c r="U8" i="6"/>
  <c r="U9" i="6"/>
  <c r="U10" i="6"/>
  <c r="U11" i="6"/>
  <c r="U12" i="6"/>
  <c r="U13" i="6"/>
  <c r="U14" i="6"/>
  <c r="U15" i="6"/>
  <c r="U16" i="6"/>
  <c r="U17" i="6"/>
  <c r="U18" i="6"/>
  <c r="U19" i="6"/>
  <c r="U20" i="6"/>
  <c r="U5" i="6"/>
  <c r="U28" i="6"/>
  <c r="U2" i="6"/>
  <c r="U26" i="6"/>
  <c r="U25" i="6"/>
  <c r="N14" i="8"/>
  <c r="S20" i="8"/>
  <c r="S45" i="6"/>
  <c r="S49" i="6" s="1"/>
  <c r="O45" i="8" s="1"/>
  <c r="S19" i="8"/>
  <c r="S21" i="8"/>
  <c r="S18" i="8"/>
  <c r="R14" i="7"/>
  <c r="R17" i="7" s="1"/>
  <c r="R18" i="7"/>
  <c r="R15" i="7"/>
  <c r="S38" i="8"/>
  <c r="T21" i="6"/>
  <c r="S16" i="8"/>
  <c r="S15" i="8"/>
  <c r="R2" i="7"/>
  <c r="Q8" i="7"/>
  <c r="R52" i="8" s="1"/>
  <c r="S23" i="8"/>
  <c r="S17" i="8"/>
  <c r="G5" i="7"/>
  <c r="G7" i="7"/>
  <c r="R65" i="8"/>
  <c r="S64" i="8"/>
  <c r="S65" i="8" s="1"/>
  <c r="R40" i="8"/>
  <c r="R39" i="8"/>
  <c r="S50" i="8"/>
  <c r="S31" i="8"/>
  <c r="S33" i="8"/>
  <c r="S30" i="8"/>
  <c r="S32" i="8"/>
  <c r="S34" i="8"/>
  <c r="S36" i="8"/>
  <c r="S35" i="8"/>
  <c r="S29" i="8"/>
  <c r="T1" i="8"/>
  <c r="S2" i="8"/>
  <c r="S12" i="7"/>
  <c r="E67" i="8" l="1"/>
  <c r="F47" i="8"/>
  <c r="F55" i="8" s="1"/>
  <c r="F59" i="8" s="1"/>
  <c r="F70" i="8" s="1"/>
  <c r="G69" i="8" s="1"/>
  <c r="F54" i="8"/>
  <c r="G11" i="8"/>
  <c r="G26" i="8" s="1"/>
  <c r="G37" i="8" s="1"/>
  <c r="G41" i="8" s="1"/>
  <c r="G43" i="8" s="1"/>
  <c r="K22" i="8"/>
  <c r="J24" i="8"/>
  <c r="H7" i="8"/>
  <c r="H8" i="8"/>
  <c r="H10" i="8"/>
  <c r="H9" i="8"/>
  <c r="AL3" i="2"/>
  <c r="AK5" i="2"/>
  <c r="I6" i="8" s="1"/>
  <c r="U21" i="6"/>
  <c r="U41" i="6"/>
  <c r="T15" i="8"/>
  <c r="U15" i="8" s="1"/>
  <c r="T18" i="8"/>
  <c r="T19" i="8"/>
  <c r="W1" i="6"/>
  <c r="V36" i="6"/>
  <c r="V40" i="6"/>
  <c r="V37" i="6"/>
  <c r="V38" i="6"/>
  <c r="V39" i="6"/>
  <c r="V33" i="6"/>
  <c r="V32" i="6"/>
  <c r="V31" i="6"/>
  <c r="V30" i="6"/>
  <c r="V29" i="6"/>
  <c r="V35" i="6"/>
  <c r="V34" i="6"/>
  <c r="V27" i="6"/>
  <c r="V6" i="6"/>
  <c r="V7" i="6"/>
  <c r="V8" i="6"/>
  <c r="V9" i="6"/>
  <c r="V10" i="6"/>
  <c r="V5" i="6"/>
  <c r="V11" i="6"/>
  <c r="V12" i="6"/>
  <c r="V13" i="6"/>
  <c r="V14" i="6"/>
  <c r="V15" i="6"/>
  <c r="V16" i="6"/>
  <c r="V17" i="6"/>
  <c r="V18" i="6"/>
  <c r="V19" i="6"/>
  <c r="V20" i="6"/>
  <c r="V2" i="6"/>
  <c r="V28" i="6"/>
  <c r="V26" i="6"/>
  <c r="V25" i="6"/>
  <c r="T23" i="8"/>
  <c r="T20" i="8"/>
  <c r="U20" i="8" s="1"/>
  <c r="S18" i="7"/>
  <c r="S14" i="7"/>
  <c r="S17" i="7" s="1"/>
  <c r="S15" i="7"/>
  <c r="T16" i="8"/>
  <c r="R16" i="7"/>
  <c r="R19" i="7" s="1"/>
  <c r="T21" i="8"/>
  <c r="T38" i="8"/>
  <c r="S2" i="7"/>
  <c r="R8" i="7"/>
  <c r="S52" i="8" s="1"/>
  <c r="T17" i="8"/>
  <c r="T45" i="6"/>
  <c r="T49" i="6" s="1"/>
  <c r="P45" i="8" s="1"/>
  <c r="O14" i="8"/>
  <c r="H51" i="8"/>
  <c r="G6" i="7"/>
  <c r="G9" i="7" s="1"/>
  <c r="H4" i="7" s="1"/>
  <c r="S53" i="8"/>
  <c r="T64" i="8"/>
  <c r="S39" i="8"/>
  <c r="S40" i="8"/>
  <c r="T50" i="8"/>
  <c r="T53" i="8" s="1"/>
  <c r="T31" i="8"/>
  <c r="T30" i="8"/>
  <c r="T32" i="8"/>
  <c r="T34" i="8"/>
  <c r="T36" i="8"/>
  <c r="T29" i="8"/>
  <c r="T33" i="8"/>
  <c r="T35" i="8"/>
  <c r="T2" i="8"/>
  <c r="U1" i="8"/>
  <c r="T12" i="7"/>
  <c r="F67" i="8" l="1"/>
  <c r="G47" i="8"/>
  <c r="G55" i="8" s="1"/>
  <c r="G59" i="8" s="1"/>
  <c r="G70" i="8" s="1"/>
  <c r="H69" i="8" s="1"/>
  <c r="G54" i="8"/>
  <c r="H11" i="8"/>
  <c r="H26" i="8" s="1"/>
  <c r="H37" i="8" s="1"/>
  <c r="H41" i="8" s="1"/>
  <c r="H43" i="8" s="1"/>
  <c r="I9" i="8"/>
  <c r="I8" i="8"/>
  <c r="I10" i="8"/>
  <c r="I7" i="8"/>
  <c r="L22" i="8"/>
  <c r="K24" i="8"/>
  <c r="AM3" i="2"/>
  <c r="AL5" i="2"/>
  <c r="J6" i="8" s="1"/>
  <c r="U45" i="6"/>
  <c r="U49" i="6" s="1"/>
  <c r="Q45" i="8" s="1"/>
  <c r="V41" i="6"/>
  <c r="P14" i="8"/>
  <c r="U17" i="8"/>
  <c r="U21" i="8"/>
  <c r="S16" i="7"/>
  <c r="S19" i="7" s="1"/>
  <c r="X1" i="6"/>
  <c r="W37" i="6"/>
  <c r="W36" i="6"/>
  <c r="W38" i="6"/>
  <c r="W39" i="6"/>
  <c r="W35" i="6"/>
  <c r="W34" i="6"/>
  <c r="W40" i="6"/>
  <c r="W32" i="6"/>
  <c r="W30" i="6"/>
  <c r="W29" i="6"/>
  <c r="W7" i="6"/>
  <c r="W5" i="6"/>
  <c r="W31" i="6"/>
  <c r="W33" i="6"/>
  <c r="W6" i="6"/>
  <c r="W8" i="6"/>
  <c r="W10" i="6"/>
  <c r="W11" i="6"/>
  <c r="W12" i="6"/>
  <c r="W13" i="6"/>
  <c r="W14" i="6"/>
  <c r="W15" i="6"/>
  <c r="W16" i="6"/>
  <c r="W17" i="6"/>
  <c r="W18" i="6"/>
  <c r="W19" i="6"/>
  <c r="W20" i="6"/>
  <c r="W9" i="6"/>
  <c r="W2" i="6"/>
  <c r="W27" i="6"/>
  <c r="W28" i="6"/>
  <c r="W26" i="6"/>
  <c r="W25" i="6"/>
  <c r="V15" i="8"/>
  <c r="V21" i="6"/>
  <c r="U19" i="8"/>
  <c r="V19" i="8" s="1"/>
  <c r="T18" i="7"/>
  <c r="T14" i="7"/>
  <c r="T17" i="7" s="1"/>
  <c r="T15" i="7"/>
  <c r="T2" i="7"/>
  <c r="S8" i="7"/>
  <c r="T52" i="8" s="1"/>
  <c r="U16" i="8"/>
  <c r="V16" i="8" s="1"/>
  <c r="U23" i="8"/>
  <c r="V23" i="8" s="1"/>
  <c r="U18" i="8"/>
  <c r="H7" i="7"/>
  <c r="H5" i="7"/>
  <c r="T65" i="8"/>
  <c r="U64" i="8"/>
  <c r="U65" i="8" s="1"/>
  <c r="U50" i="8"/>
  <c r="U53" i="8" s="1"/>
  <c r="U31" i="8"/>
  <c r="U33" i="8"/>
  <c r="U32" i="8"/>
  <c r="U34" i="8"/>
  <c r="U36" i="8"/>
  <c r="U30" i="8"/>
  <c r="U29" i="8"/>
  <c r="U35" i="8"/>
  <c r="T40" i="8"/>
  <c r="T39" i="8"/>
  <c r="U2" i="8"/>
  <c r="U38" i="8" s="1"/>
  <c r="V1" i="8"/>
  <c r="U12" i="7"/>
  <c r="G67" i="8" l="1"/>
  <c r="H47" i="8"/>
  <c r="H55" i="8" s="1"/>
  <c r="H59" i="8" s="1"/>
  <c r="H70" i="8" s="1"/>
  <c r="I69" i="8" s="1"/>
  <c r="H54" i="8"/>
  <c r="I11" i="8"/>
  <c r="I26" i="8" s="1"/>
  <c r="I37" i="8" s="1"/>
  <c r="I41" i="8" s="1"/>
  <c r="I43" i="8" s="1"/>
  <c r="AM5" i="2"/>
  <c r="K6" i="8" s="1"/>
  <c r="AN3" i="2"/>
  <c r="M22" i="8"/>
  <c r="L24" i="8"/>
  <c r="J10" i="8"/>
  <c r="J9" i="8"/>
  <c r="J8" i="8"/>
  <c r="J7" i="8"/>
  <c r="U14" i="7"/>
  <c r="U17" i="7" s="1"/>
  <c r="U18" i="7"/>
  <c r="U15" i="7"/>
  <c r="T16" i="7"/>
  <c r="T19" i="7" s="1"/>
  <c r="V45" i="6"/>
  <c r="V49" i="6" s="1"/>
  <c r="R45" i="8" s="1"/>
  <c r="V20" i="8"/>
  <c r="Q14" i="8"/>
  <c r="V18" i="8"/>
  <c r="U2" i="7"/>
  <c r="T8" i="7"/>
  <c r="U52" i="8" s="1"/>
  <c r="W41" i="6"/>
  <c r="V21" i="8"/>
  <c r="W21" i="6"/>
  <c r="Y1" i="6"/>
  <c r="X40" i="6"/>
  <c r="X38" i="6"/>
  <c r="X39" i="6"/>
  <c r="X35" i="6"/>
  <c r="X37" i="6"/>
  <c r="X34" i="6"/>
  <c r="X36" i="6"/>
  <c r="X32" i="6"/>
  <c r="X30" i="6"/>
  <c r="X6" i="6"/>
  <c r="X7" i="6"/>
  <c r="X8" i="6"/>
  <c r="X9" i="6"/>
  <c r="X33" i="6"/>
  <c r="X31" i="6"/>
  <c r="X29" i="6"/>
  <c r="X11" i="6"/>
  <c r="X13" i="6"/>
  <c r="X14" i="6"/>
  <c r="X19" i="6"/>
  <c r="X20" i="6"/>
  <c r="X27" i="6"/>
  <c r="X26" i="6"/>
  <c r="X5" i="6"/>
  <c r="X16" i="6"/>
  <c r="X17" i="6"/>
  <c r="X10" i="6"/>
  <c r="X12" i="6"/>
  <c r="X15" i="6"/>
  <c r="X18" i="6"/>
  <c r="X28" i="6"/>
  <c r="X25" i="6"/>
  <c r="X2" i="6"/>
  <c r="V17" i="8"/>
  <c r="I51" i="8"/>
  <c r="H6" i="7"/>
  <c r="H9" i="7" s="1"/>
  <c r="I4" i="7" s="1"/>
  <c r="V64" i="8"/>
  <c r="V50" i="8"/>
  <c r="V53" i="8" s="1"/>
  <c r="V30" i="8"/>
  <c r="V31" i="8"/>
  <c r="V33" i="8"/>
  <c r="V32" i="8"/>
  <c r="V34" i="8"/>
  <c r="V36" i="8"/>
  <c r="V35" i="8"/>
  <c r="V29" i="8"/>
  <c r="U40" i="8"/>
  <c r="U39" i="8"/>
  <c r="V2" i="8"/>
  <c r="V38" i="8" s="1"/>
  <c r="W1" i="8"/>
  <c r="V12" i="7"/>
  <c r="I47" i="8" l="1"/>
  <c r="I55" i="8" s="1"/>
  <c r="I59" i="8" s="1"/>
  <c r="I70" i="8" s="1"/>
  <c r="J69" i="8" s="1"/>
  <c r="I54" i="8"/>
  <c r="H67" i="8"/>
  <c r="J11" i="8"/>
  <c r="J26" i="8" s="1"/>
  <c r="J37" i="8" s="1"/>
  <c r="J41" i="8" s="1"/>
  <c r="J43" i="8" s="1"/>
  <c r="N22" i="8"/>
  <c r="M24" i="8"/>
  <c r="AO3" i="2"/>
  <c r="AN5" i="2"/>
  <c r="L6" i="8" s="1"/>
  <c r="K9" i="8"/>
  <c r="K8" i="8"/>
  <c r="K10" i="8"/>
  <c r="K7" i="8"/>
  <c r="V2" i="7"/>
  <c r="U8" i="7"/>
  <c r="V52" i="8" s="1"/>
  <c r="U16" i="7"/>
  <c r="U19" i="7" s="1"/>
  <c r="W18" i="8"/>
  <c r="W20" i="8"/>
  <c r="W17" i="8"/>
  <c r="W21" i="8"/>
  <c r="R14" i="8"/>
  <c r="X41" i="6"/>
  <c r="X21" i="6"/>
  <c r="Z1" i="6"/>
  <c r="Y39" i="6"/>
  <c r="Y38" i="6"/>
  <c r="Y37" i="6"/>
  <c r="Y34" i="6"/>
  <c r="Y35" i="6"/>
  <c r="Y40" i="6"/>
  <c r="Y36" i="6"/>
  <c r="Y33" i="6"/>
  <c r="Y32" i="6"/>
  <c r="Y31" i="6"/>
  <c r="Y30" i="6"/>
  <c r="Y29" i="6"/>
  <c r="Y6" i="6"/>
  <c r="Y7" i="6"/>
  <c r="Y8" i="6"/>
  <c r="Y9" i="6"/>
  <c r="Y10" i="6"/>
  <c r="Y11" i="6"/>
  <c r="Y12" i="6"/>
  <c r="Y13" i="6"/>
  <c r="Y14" i="6"/>
  <c r="Y15" i="6"/>
  <c r="Y16" i="6"/>
  <c r="Y17" i="6"/>
  <c r="Y18" i="6"/>
  <c r="Y19" i="6"/>
  <c r="Y20" i="6"/>
  <c r="Y5" i="6"/>
  <c r="Y27" i="6"/>
  <c r="Y28" i="6"/>
  <c r="Y2" i="6"/>
  <c r="Y25" i="6"/>
  <c r="Y26" i="6"/>
  <c r="W23" i="8"/>
  <c r="W15" i="8"/>
  <c r="V14" i="7"/>
  <c r="V17" i="7" s="1"/>
  <c r="V18" i="7"/>
  <c r="V15" i="7"/>
  <c r="W45" i="6"/>
  <c r="W49" i="6" s="1"/>
  <c r="S45" i="8" s="1"/>
  <c r="W16" i="8"/>
  <c r="W19" i="8"/>
  <c r="I5" i="7"/>
  <c r="I7" i="7"/>
  <c r="V65" i="8"/>
  <c r="W64" i="8"/>
  <c r="W65" i="8" s="1"/>
  <c r="W30" i="8"/>
  <c r="W32" i="8"/>
  <c r="W31" i="8"/>
  <c r="W50" i="8"/>
  <c r="W53" i="8" s="1"/>
  <c r="W35" i="8"/>
  <c r="W33" i="8"/>
  <c r="W34" i="8"/>
  <c r="W36" i="8"/>
  <c r="W29" i="8"/>
  <c r="V39" i="8"/>
  <c r="V40" i="8"/>
  <c r="W2" i="8"/>
  <c r="W38" i="8" s="1"/>
  <c r="X1" i="8"/>
  <c r="W12" i="7"/>
  <c r="J47" i="8" l="1"/>
  <c r="K11" i="8"/>
  <c r="K26" i="8" s="1"/>
  <c r="K37" i="8" s="1"/>
  <c r="K41" i="8" s="1"/>
  <c r="K43" i="8" s="1"/>
  <c r="AO5" i="2"/>
  <c r="M6" i="8" s="1"/>
  <c r="AP3" i="2"/>
  <c r="L8" i="8"/>
  <c r="L10" i="8"/>
  <c r="L7" i="8"/>
  <c r="L9" i="8"/>
  <c r="O22" i="8"/>
  <c r="N24" i="8"/>
  <c r="X19" i="8"/>
  <c r="X21" i="8"/>
  <c r="X16" i="8"/>
  <c r="V16" i="7"/>
  <c r="V19" i="7" s="1"/>
  <c r="X23" i="8"/>
  <c r="X20" i="8"/>
  <c r="Y20" i="8" s="1"/>
  <c r="X15" i="8"/>
  <c r="W18" i="7"/>
  <c r="W14" i="7"/>
  <c r="W17" i="7" s="1"/>
  <c r="W15" i="7"/>
  <c r="Y41" i="6"/>
  <c r="X17" i="8"/>
  <c r="Y17" i="8" s="1"/>
  <c r="X18" i="8"/>
  <c r="X45" i="6"/>
  <c r="X49" i="6" s="1"/>
  <c r="T45" i="8" s="1"/>
  <c r="X38" i="8"/>
  <c r="Y21" i="6"/>
  <c r="AA1" i="6"/>
  <c r="Z36" i="6"/>
  <c r="Z40" i="6"/>
  <c r="Z39" i="6"/>
  <c r="Z38" i="6"/>
  <c r="Z33" i="6"/>
  <c r="Z32" i="6"/>
  <c r="Z31" i="6"/>
  <c r="Z30" i="6"/>
  <c r="Z29" i="6"/>
  <c r="Z35" i="6"/>
  <c r="Z37" i="6"/>
  <c r="Z34" i="6"/>
  <c r="Z27" i="6"/>
  <c r="Z6" i="6"/>
  <c r="Z7" i="6"/>
  <c r="Z8" i="6"/>
  <c r="Z9" i="6"/>
  <c r="Z10" i="6"/>
  <c r="Z11" i="6"/>
  <c r="Z12" i="6"/>
  <c r="Z13" i="6"/>
  <c r="Z14" i="6"/>
  <c r="Z15" i="6"/>
  <c r="Z16" i="6"/>
  <c r="Z17" i="6"/>
  <c r="Z18" i="6"/>
  <c r="Z19" i="6"/>
  <c r="Z20" i="6"/>
  <c r="Z25" i="6"/>
  <c r="Z5" i="6"/>
  <c r="Z2" i="6"/>
  <c r="Z28" i="6"/>
  <c r="Z26" i="6"/>
  <c r="S14" i="8"/>
  <c r="W2" i="7"/>
  <c r="V8" i="7"/>
  <c r="W52" i="8" s="1"/>
  <c r="I67" i="8"/>
  <c r="J51" i="8"/>
  <c r="J55" i="8" s="1"/>
  <c r="J59" i="8" s="1"/>
  <c r="J70" i="8" s="1"/>
  <c r="K69" i="8" s="1"/>
  <c r="I6" i="7"/>
  <c r="I9" i="7" s="1"/>
  <c r="J4" i="7" s="1"/>
  <c r="X64" i="8"/>
  <c r="X50" i="8"/>
  <c r="X53" i="8" s="1"/>
  <c r="X30" i="8"/>
  <c r="X32" i="8"/>
  <c r="X31" i="8"/>
  <c r="X35" i="8"/>
  <c r="X33" i="8"/>
  <c r="X36" i="8"/>
  <c r="X34" i="8"/>
  <c r="X29" i="8"/>
  <c r="W40" i="8"/>
  <c r="W39" i="8"/>
  <c r="X2" i="8"/>
  <c r="Y1" i="8"/>
  <c r="X12" i="7"/>
  <c r="J54" i="8" l="1"/>
  <c r="K47" i="8"/>
  <c r="L11" i="8"/>
  <c r="L26" i="8" s="1"/>
  <c r="L37" i="8" s="1"/>
  <c r="L41" i="8" s="1"/>
  <c r="L43" i="8" s="1"/>
  <c r="P22" i="8"/>
  <c r="O24" i="8"/>
  <c r="AQ3" i="2"/>
  <c r="AP5" i="2"/>
  <c r="N6" i="8" s="1"/>
  <c r="M8" i="8"/>
  <c r="M7" i="8"/>
  <c r="M9" i="8"/>
  <c r="M10" i="8"/>
  <c r="Z21" i="6"/>
  <c r="T14" i="8"/>
  <c r="X2" i="7"/>
  <c r="W8" i="7"/>
  <c r="X52" i="8" s="1"/>
  <c r="Z41" i="6"/>
  <c r="Y23" i="8"/>
  <c r="X18" i="7"/>
  <c r="X14" i="7"/>
  <c r="X17" i="7" s="1"/>
  <c r="X15" i="7"/>
  <c r="Z20" i="8"/>
  <c r="AB1" i="6"/>
  <c r="AA39" i="6"/>
  <c r="AA40" i="6"/>
  <c r="AA37" i="6"/>
  <c r="AA36" i="6"/>
  <c r="AA38" i="6"/>
  <c r="AA35" i="6"/>
  <c r="AA34" i="6"/>
  <c r="AA27" i="6"/>
  <c r="AA33" i="6"/>
  <c r="AA31" i="6"/>
  <c r="AA29" i="6"/>
  <c r="AA28" i="6"/>
  <c r="AA9" i="6"/>
  <c r="AA10" i="6"/>
  <c r="AA5" i="6"/>
  <c r="AA7" i="6"/>
  <c r="AA32" i="6"/>
  <c r="AA30" i="6"/>
  <c r="AA11" i="6"/>
  <c r="AA12" i="6"/>
  <c r="AA13" i="6"/>
  <c r="AA14" i="6"/>
  <c r="AA15" i="6"/>
  <c r="AA16" i="6"/>
  <c r="AA17" i="6"/>
  <c r="AA18" i="6"/>
  <c r="AA19" i="6"/>
  <c r="AA20" i="6"/>
  <c r="AA6" i="6"/>
  <c r="AA8" i="6"/>
  <c r="AA2" i="6"/>
  <c r="AA26" i="6"/>
  <c r="AA25" i="6"/>
  <c r="W16" i="7"/>
  <c r="W19" i="7" s="1"/>
  <c r="Y21" i="8"/>
  <c r="Y45" i="6"/>
  <c r="Y49" i="6" s="1"/>
  <c r="U45" i="8" s="1"/>
  <c r="Y18" i="8"/>
  <c r="Z18" i="8" s="1"/>
  <c r="Y15" i="8"/>
  <c r="Z15" i="8" s="1"/>
  <c r="Y16" i="8"/>
  <c r="Y19" i="8"/>
  <c r="J67" i="8"/>
  <c r="J7" i="7"/>
  <c r="J5" i="7"/>
  <c r="X65" i="8"/>
  <c r="Y64" i="8"/>
  <c r="Y65" i="8" s="1"/>
  <c r="X40" i="8"/>
  <c r="X39" i="8"/>
  <c r="Y50" i="8"/>
  <c r="Y53" i="8" s="1"/>
  <c r="Y30" i="8"/>
  <c r="Y31" i="8"/>
  <c r="Y35" i="8"/>
  <c r="Y32" i="8"/>
  <c r="Y33" i="8"/>
  <c r="Y36" i="8"/>
  <c r="Y34" i="8"/>
  <c r="Y29" i="8"/>
  <c r="Z1" i="8"/>
  <c r="Y2" i="8"/>
  <c r="Y38" i="8" s="1"/>
  <c r="Y12" i="7"/>
  <c r="L47" i="8" l="1"/>
  <c r="M11" i="8"/>
  <c r="M26" i="8" s="1"/>
  <c r="M37" i="8" s="1"/>
  <c r="M41" i="8" s="1"/>
  <c r="M43" i="8" s="1"/>
  <c r="AR3" i="2"/>
  <c r="AQ5" i="2"/>
  <c r="O6" i="8" s="1"/>
  <c r="N7" i="8"/>
  <c r="N8" i="8"/>
  <c r="N9" i="8"/>
  <c r="N10" i="8"/>
  <c r="Q22" i="8"/>
  <c r="P24" i="8"/>
  <c r="Z45" i="6"/>
  <c r="Z49" i="6" s="1"/>
  <c r="V45" i="8" s="1"/>
  <c r="AA21" i="6"/>
  <c r="Z19" i="8"/>
  <c r="AA19" i="8" s="1"/>
  <c r="Z23" i="8"/>
  <c r="AA23" i="8" s="1"/>
  <c r="U14" i="8"/>
  <c r="Y18" i="7"/>
  <c r="Y14" i="7"/>
  <c r="Y17" i="7" s="1"/>
  <c r="Y15" i="7"/>
  <c r="AA18" i="8"/>
  <c r="AA20" i="8"/>
  <c r="Y2" i="7"/>
  <c r="X8" i="7"/>
  <c r="Y52" i="8" s="1"/>
  <c r="Z38" i="8"/>
  <c r="Z16" i="8"/>
  <c r="AA16" i="8" s="1"/>
  <c r="AA41" i="6"/>
  <c r="Z21" i="8"/>
  <c r="AA21" i="8" s="1"/>
  <c r="AC1" i="6"/>
  <c r="AB40" i="6"/>
  <c r="AB37" i="6"/>
  <c r="AB36" i="6"/>
  <c r="AB38" i="6"/>
  <c r="AB35" i="6"/>
  <c r="AB34" i="6"/>
  <c r="AB39" i="6"/>
  <c r="AB33" i="6"/>
  <c r="AB31" i="6"/>
  <c r="AB29" i="6"/>
  <c r="AB28" i="6"/>
  <c r="AB6" i="6"/>
  <c r="AB7" i="6"/>
  <c r="AB8" i="6"/>
  <c r="AB9" i="6"/>
  <c r="AB27" i="6"/>
  <c r="AB32" i="6"/>
  <c r="AB30" i="6"/>
  <c r="AB16" i="6"/>
  <c r="AB17" i="6"/>
  <c r="AB10" i="6"/>
  <c r="AB5" i="6"/>
  <c r="AB12" i="6"/>
  <c r="AB13" i="6"/>
  <c r="AB15" i="6"/>
  <c r="AB18" i="6"/>
  <c r="AB11" i="6"/>
  <c r="AB14" i="6"/>
  <c r="AB19" i="6"/>
  <c r="AB20" i="6"/>
  <c r="AB2" i="6"/>
  <c r="AB25" i="6"/>
  <c r="AB26" i="6"/>
  <c r="X16" i="7"/>
  <c r="X19" i="7" s="1"/>
  <c r="Z17" i="8"/>
  <c r="AA17" i="8" s="1"/>
  <c r="K51" i="8"/>
  <c r="K54" i="8" s="1"/>
  <c r="J6" i="7"/>
  <c r="J9" i="7" s="1"/>
  <c r="K4" i="7" s="1"/>
  <c r="Z64" i="8"/>
  <c r="Z65" i="8" s="1"/>
  <c r="Y40" i="8"/>
  <c r="Y39" i="8"/>
  <c r="Z50" i="8"/>
  <c r="Z53" i="8" s="1"/>
  <c r="Z31" i="8"/>
  <c r="Z30" i="8"/>
  <c r="Z35" i="8"/>
  <c r="Z32" i="8"/>
  <c r="Z34" i="8"/>
  <c r="Z29" i="8"/>
  <c r="Z36" i="8"/>
  <c r="Z33" i="8"/>
  <c r="AA1" i="8"/>
  <c r="AA15" i="8" s="1"/>
  <c r="Z2" i="8"/>
  <c r="Z12" i="7"/>
  <c r="M47" i="8" l="1"/>
  <c r="N11" i="8"/>
  <c r="N26" i="8" s="1"/>
  <c r="N37" i="8" s="1"/>
  <c r="N41" i="8" s="1"/>
  <c r="N43" i="8" s="1"/>
  <c r="R22" i="8"/>
  <c r="Q24" i="8"/>
  <c r="O9" i="8"/>
  <c r="O10" i="8"/>
  <c r="O8" i="8"/>
  <c r="O7" i="8"/>
  <c r="AR5" i="2"/>
  <c r="P6" i="8" s="1"/>
  <c r="AS3" i="2"/>
  <c r="AB41" i="6"/>
  <c r="AB21" i="6"/>
  <c r="Y16" i="7"/>
  <c r="Y19" i="7" s="1"/>
  <c r="AD1" i="6"/>
  <c r="AC39" i="6"/>
  <c r="AC38" i="6"/>
  <c r="AC37" i="6"/>
  <c r="AC40" i="6"/>
  <c r="AC36" i="6"/>
  <c r="AC34" i="6"/>
  <c r="AC35" i="6"/>
  <c r="AC33" i="6"/>
  <c r="AC32" i="6"/>
  <c r="AC31" i="6"/>
  <c r="AC30" i="6"/>
  <c r="AC29" i="6"/>
  <c r="AC27" i="6"/>
  <c r="AC6" i="6"/>
  <c r="AC7" i="6"/>
  <c r="AC8" i="6"/>
  <c r="AC9" i="6"/>
  <c r="AC10" i="6"/>
  <c r="AC11" i="6"/>
  <c r="AC12" i="6"/>
  <c r="AC13" i="6"/>
  <c r="AC14" i="6"/>
  <c r="AC15" i="6"/>
  <c r="AC16" i="6"/>
  <c r="AC17" i="6"/>
  <c r="AC18" i="6"/>
  <c r="AC19" i="6"/>
  <c r="AC20" i="6"/>
  <c r="AC5" i="6"/>
  <c r="AC25" i="6"/>
  <c r="AC2" i="6"/>
  <c r="AC28" i="6"/>
  <c r="AC26" i="6"/>
  <c r="Z2" i="7"/>
  <c r="Y8" i="7"/>
  <c r="Z52" i="8" s="1"/>
  <c r="V14" i="8"/>
  <c r="AA45" i="6"/>
  <c r="AA49" i="6" s="1"/>
  <c r="W45" i="8" s="1"/>
  <c r="Z14" i="7"/>
  <c r="Z17" i="7" s="1"/>
  <c r="Z18" i="7"/>
  <c r="Z15" i="7"/>
  <c r="K5" i="7"/>
  <c r="L51" i="8" s="1"/>
  <c r="K7" i="7"/>
  <c r="K55" i="8"/>
  <c r="K59" i="8" s="1"/>
  <c r="K70" i="8" s="1"/>
  <c r="L69" i="8" s="1"/>
  <c r="AA64" i="8"/>
  <c r="AA65" i="8" s="1"/>
  <c r="Z40" i="8"/>
  <c r="Z39" i="8"/>
  <c r="AA50" i="8"/>
  <c r="AA53" i="8" s="1"/>
  <c r="AA31" i="8"/>
  <c r="AA33" i="8"/>
  <c r="AA30" i="8"/>
  <c r="AA32" i="8"/>
  <c r="AA34" i="8"/>
  <c r="AA36" i="8"/>
  <c r="AA35" i="8"/>
  <c r="AA29" i="8"/>
  <c r="AB1" i="8"/>
  <c r="AB17" i="8" s="1"/>
  <c r="AA2" i="8"/>
  <c r="AA38" i="8" s="1"/>
  <c r="AA12" i="7"/>
  <c r="L55" i="8" l="1"/>
  <c r="L54" i="8"/>
  <c r="N47" i="8"/>
  <c r="O11" i="8"/>
  <c r="O26" i="8" s="1"/>
  <c r="O37" i="8" s="1"/>
  <c r="O41" i="8" s="1"/>
  <c r="O43" i="8" s="1"/>
  <c r="P7" i="8"/>
  <c r="P9" i="8"/>
  <c r="P10" i="8"/>
  <c r="P8" i="8"/>
  <c r="AT3" i="2"/>
  <c r="AS5" i="2"/>
  <c r="Q6" i="8" s="1"/>
  <c r="S22" i="8"/>
  <c r="R24" i="8"/>
  <c r="AC41" i="6"/>
  <c r="AB23" i="8"/>
  <c r="W14" i="8"/>
  <c r="AB19" i="8"/>
  <c r="AE1" i="6"/>
  <c r="AD36" i="6"/>
  <c r="AD38" i="6"/>
  <c r="AD37" i="6"/>
  <c r="AD40" i="6"/>
  <c r="AD35" i="6"/>
  <c r="AD34" i="6"/>
  <c r="AD33" i="6"/>
  <c r="AD32" i="6"/>
  <c r="AD31" i="6"/>
  <c r="AD30" i="6"/>
  <c r="AD29" i="6"/>
  <c r="AD39" i="6"/>
  <c r="AD6" i="6"/>
  <c r="AD7" i="6"/>
  <c r="AD8" i="6"/>
  <c r="AD9" i="6"/>
  <c r="AD10" i="6"/>
  <c r="AD27" i="6"/>
  <c r="AD11" i="6"/>
  <c r="AD12" i="6"/>
  <c r="AD13" i="6"/>
  <c r="AD14" i="6"/>
  <c r="AD15" i="6"/>
  <c r="AD16" i="6"/>
  <c r="AD17" i="6"/>
  <c r="AD18" i="6"/>
  <c r="AD19" i="6"/>
  <c r="AD20" i="6"/>
  <c r="AD5" i="6"/>
  <c r="AD2" i="6"/>
  <c r="AD28" i="6"/>
  <c r="AD26" i="6"/>
  <c r="AD25" i="6"/>
  <c r="AA18" i="7"/>
  <c r="AA14" i="7"/>
  <c r="AA17" i="7" s="1"/>
  <c r="AA15" i="7"/>
  <c r="AB18" i="8"/>
  <c r="AB21" i="8"/>
  <c r="AB16" i="8"/>
  <c r="Z16" i="7"/>
  <c r="Z19" i="7" s="1"/>
  <c r="AA2" i="7"/>
  <c r="Z8" i="7"/>
  <c r="AA52" i="8" s="1"/>
  <c r="AB20" i="8"/>
  <c r="AC21" i="6"/>
  <c r="AB45" i="6"/>
  <c r="AB49" i="6" s="1"/>
  <c r="X45" i="8" s="1"/>
  <c r="AB15" i="8"/>
  <c r="K6" i="7"/>
  <c r="K9" i="7" s="1"/>
  <c r="L4" i="7" s="1"/>
  <c r="L5" i="7" s="1"/>
  <c r="K67" i="8"/>
  <c r="L59" i="8"/>
  <c r="L67" i="8" s="1"/>
  <c r="AB64" i="8"/>
  <c r="AB50" i="8"/>
  <c r="AB31" i="8"/>
  <c r="AB30" i="8"/>
  <c r="AB32" i="8"/>
  <c r="AB34" i="8"/>
  <c r="AB36" i="8"/>
  <c r="AB35" i="8"/>
  <c r="AB29" i="8"/>
  <c r="AB33" i="8"/>
  <c r="AA39" i="8"/>
  <c r="AA40" i="8"/>
  <c r="AC1" i="8"/>
  <c r="AB2" i="8"/>
  <c r="AB38" i="8" s="1"/>
  <c r="AB12" i="7"/>
  <c r="O47" i="8" l="1"/>
  <c r="P11" i="8"/>
  <c r="P26" i="8" s="1"/>
  <c r="P37" i="8" s="1"/>
  <c r="P41" i="8" s="1"/>
  <c r="P43" i="8" s="1"/>
  <c r="T22" i="8"/>
  <c r="S24" i="8"/>
  <c r="Q9" i="8"/>
  <c r="Q8" i="8"/>
  <c r="Q10" i="8"/>
  <c r="Q7" i="8"/>
  <c r="AU3" i="2"/>
  <c r="AT5" i="2"/>
  <c r="R6" i="8" s="1"/>
  <c r="AC15" i="8"/>
  <c r="AC38" i="8"/>
  <c r="AC21" i="8"/>
  <c r="AA16" i="7"/>
  <c r="AA19" i="7" s="1"/>
  <c r="AD41" i="6"/>
  <c r="AD21" i="6"/>
  <c r="X14" i="8"/>
  <c r="AC16" i="8"/>
  <c r="AD16" i="8" s="1"/>
  <c r="AC20" i="8"/>
  <c r="AF1" i="6"/>
  <c r="AE40" i="6"/>
  <c r="AE39" i="6"/>
  <c r="AE38" i="6"/>
  <c r="AE36" i="6"/>
  <c r="AE37" i="6"/>
  <c r="AE34" i="6"/>
  <c r="AE32" i="6"/>
  <c r="AE30" i="6"/>
  <c r="AE31" i="6"/>
  <c r="AE6" i="6"/>
  <c r="AE8" i="6"/>
  <c r="AE5" i="6"/>
  <c r="AE33" i="6"/>
  <c r="AE9" i="6"/>
  <c r="AE29" i="6"/>
  <c r="AE7" i="6"/>
  <c r="AE10" i="6"/>
  <c r="AE11" i="6"/>
  <c r="AE12" i="6"/>
  <c r="AE13" i="6"/>
  <c r="AE14" i="6"/>
  <c r="AE15" i="6"/>
  <c r="AE16" i="6"/>
  <c r="AE17" i="6"/>
  <c r="AE18" i="6"/>
  <c r="AE19" i="6"/>
  <c r="AE20" i="6"/>
  <c r="AE35" i="6"/>
  <c r="AE2" i="6"/>
  <c r="AE28" i="6"/>
  <c r="AE27" i="6"/>
  <c r="AE26" i="6"/>
  <c r="AE25" i="6"/>
  <c r="AC23" i="8"/>
  <c r="AB2" i="7"/>
  <c r="AA8" i="7"/>
  <c r="AB52" i="8" s="1"/>
  <c r="AB18" i="7"/>
  <c r="AB14" i="7"/>
  <c r="AB17" i="7" s="1"/>
  <c r="AB15" i="7"/>
  <c r="AC45" i="6"/>
  <c r="AC49" i="6" s="1"/>
  <c r="Y45" i="8" s="1"/>
  <c r="AC18" i="8"/>
  <c r="AD18" i="8" s="1"/>
  <c r="AC19" i="8"/>
  <c r="AC17" i="8"/>
  <c r="L7" i="7"/>
  <c r="L6" i="7" s="1"/>
  <c r="L9" i="7" s="1"/>
  <c r="M4" i="7" s="1"/>
  <c r="L70" i="8"/>
  <c r="M69" i="8" s="1"/>
  <c r="M51" i="8"/>
  <c r="AB65" i="8"/>
  <c r="AB53" i="8"/>
  <c r="AC64" i="8"/>
  <c r="AC65" i="8" s="1"/>
  <c r="AB40" i="8"/>
  <c r="AB39" i="8"/>
  <c r="AC50" i="8"/>
  <c r="AC53" i="8" s="1"/>
  <c r="AC31" i="8"/>
  <c r="AC30" i="8"/>
  <c r="AC34" i="8"/>
  <c r="AC36" i="8"/>
  <c r="AC35" i="8"/>
  <c r="AC29" i="8"/>
  <c r="AC32" i="8"/>
  <c r="AC33" i="8"/>
  <c r="AC2" i="8"/>
  <c r="AD1" i="8"/>
  <c r="AC12" i="7"/>
  <c r="P47" i="8" l="1"/>
  <c r="M55" i="8"/>
  <c r="M59" i="8" s="1"/>
  <c r="M67" i="8" s="1"/>
  <c r="M54" i="8"/>
  <c r="Q11" i="8"/>
  <c r="Q26" i="8" s="1"/>
  <c r="Q37" i="8" s="1"/>
  <c r="Q41" i="8" s="1"/>
  <c r="Q43" i="8" s="1"/>
  <c r="R9" i="8"/>
  <c r="R8" i="8"/>
  <c r="R10" i="8"/>
  <c r="R7" i="8"/>
  <c r="U22" i="8"/>
  <c r="T24" i="8"/>
  <c r="AV3" i="2"/>
  <c r="AU5" i="2"/>
  <c r="S6" i="8" s="1"/>
  <c r="AC18" i="7"/>
  <c r="AC14" i="7"/>
  <c r="AC17" i="7" s="1"/>
  <c r="AC15" i="7"/>
  <c r="AC2" i="7"/>
  <c r="AB8" i="7"/>
  <c r="AC52" i="8" s="1"/>
  <c r="AD15" i="8"/>
  <c r="AG1" i="6"/>
  <c r="AF40" i="6"/>
  <c r="AF39" i="6"/>
  <c r="AF35" i="6"/>
  <c r="AF36" i="6"/>
  <c r="AF37" i="6"/>
  <c r="AF34" i="6"/>
  <c r="AF27" i="6"/>
  <c r="AF32" i="6"/>
  <c r="AF30" i="6"/>
  <c r="AF6" i="6"/>
  <c r="AF7" i="6"/>
  <c r="AF8" i="6"/>
  <c r="AF9" i="6"/>
  <c r="AF38" i="6"/>
  <c r="AF33" i="6"/>
  <c r="AF31" i="6"/>
  <c r="AF29" i="6"/>
  <c r="AF26" i="6"/>
  <c r="AF10" i="6"/>
  <c r="AF18" i="6"/>
  <c r="AF19" i="6"/>
  <c r="AF5" i="6"/>
  <c r="AF11" i="6"/>
  <c r="AF13" i="6"/>
  <c r="AF14" i="6"/>
  <c r="AF17" i="6"/>
  <c r="AF20" i="6"/>
  <c r="AF12" i="6"/>
  <c r="AF15" i="6"/>
  <c r="AF16" i="6"/>
  <c r="AF25" i="6"/>
  <c r="AF28" i="6"/>
  <c r="AF2" i="6"/>
  <c r="AD23" i="8"/>
  <c r="Y14" i="8"/>
  <c r="AD21" i="8"/>
  <c r="AE21" i="6"/>
  <c r="AD17" i="8"/>
  <c r="AD19" i="8"/>
  <c r="AB16" i="7"/>
  <c r="AB19" i="7" s="1"/>
  <c r="AE41" i="6"/>
  <c r="AD20" i="8"/>
  <c r="AD45" i="6"/>
  <c r="AD49" i="6" s="1"/>
  <c r="Z45" i="8" s="1"/>
  <c r="M7" i="7"/>
  <c r="M5" i="7"/>
  <c r="AD64" i="8"/>
  <c r="AC40" i="8"/>
  <c r="AC39" i="8"/>
  <c r="AD50" i="8"/>
  <c r="AD30" i="8"/>
  <c r="AD33" i="8"/>
  <c r="AD31" i="8"/>
  <c r="AD34" i="8"/>
  <c r="AD36" i="8"/>
  <c r="AD35" i="8"/>
  <c r="AD29" i="8"/>
  <c r="AD32" i="8"/>
  <c r="AD2" i="8"/>
  <c r="AD38" i="8" s="1"/>
  <c r="AE1" i="8"/>
  <c r="AD12" i="7"/>
  <c r="Q47" i="8" l="1"/>
  <c r="R11" i="8"/>
  <c r="R26" i="8" s="1"/>
  <c r="R37" i="8" s="1"/>
  <c r="R41" i="8" s="1"/>
  <c r="R43" i="8" s="1"/>
  <c r="AV5" i="2"/>
  <c r="T6" i="8" s="1"/>
  <c r="AW3" i="2"/>
  <c r="V22" i="8"/>
  <c r="U24" i="8"/>
  <c r="S8" i="8"/>
  <c r="S10" i="8"/>
  <c r="S7" i="8"/>
  <c r="S9" i="8"/>
  <c r="M70" i="8"/>
  <c r="N69" i="8" s="1"/>
  <c r="AF41" i="6"/>
  <c r="AD14" i="7"/>
  <c r="AD17" i="7" s="1"/>
  <c r="AD18" i="7"/>
  <c r="AD15" i="7"/>
  <c r="AE45" i="6"/>
  <c r="AE49" i="6" s="1"/>
  <c r="AA45" i="8" s="1"/>
  <c r="AH1" i="6"/>
  <c r="AG39" i="6"/>
  <c r="AG38" i="6"/>
  <c r="AG37" i="6"/>
  <c r="AG36" i="6"/>
  <c r="AG34" i="6"/>
  <c r="AG35" i="6"/>
  <c r="AG33" i="6"/>
  <c r="AG32" i="6"/>
  <c r="AG31" i="6"/>
  <c r="AG30" i="6"/>
  <c r="AG29" i="6"/>
  <c r="AG26" i="6"/>
  <c r="AG6" i="6"/>
  <c r="AG7" i="6"/>
  <c r="AG8" i="6"/>
  <c r="AG9" i="6"/>
  <c r="AG10" i="6"/>
  <c r="AG40" i="6"/>
  <c r="AG27" i="6"/>
  <c r="AG25" i="6"/>
  <c r="AG28" i="6"/>
  <c r="AG11" i="6"/>
  <c r="AG12" i="6"/>
  <c r="AG13" i="6"/>
  <c r="AG14" i="6"/>
  <c r="AG15" i="6"/>
  <c r="AG16" i="6"/>
  <c r="AG17" i="6"/>
  <c r="AG18" i="6"/>
  <c r="AG19" i="6"/>
  <c r="AG20" i="6"/>
  <c r="AG5" i="6"/>
  <c r="AG2" i="6"/>
  <c r="AE20" i="8"/>
  <c r="AE19" i="8"/>
  <c r="AE21" i="8"/>
  <c r="AE15" i="8"/>
  <c r="AD2" i="7"/>
  <c r="AC8" i="7"/>
  <c r="AD52" i="8" s="1"/>
  <c r="AE17" i="8"/>
  <c r="AE23" i="8"/>
  <c r="AF21" i="6"/>
  <c r="AC16" i="7"/>
  <c r="AC19" i="7" s="1"/>
  <c r="AE16" i="8"/>
  <c r="Z14" i="8"/>
  <c r="AE18" i="8"/>
  <c r="M6" i="7"/>
  <c r="M9" i="7" s="1"/>
  <c r="N4" i="7" s="1"/>
  <c r="N51" i="8"/>
  <c r="AD65" i="8"/>
  <c r="AD53" i="8"/>
  <c r="AE64" i="8"/>
  <c r="AE65" i="8" s="1"/>
  <c r="AE50" i="8"/>
  <c r="AE53" i="8" s="1"/>
  <c r="AE30" i="8"/>
  <c r="AE32" i="8"/>
  <c r="AE31" i="8"/>
  <c r="AE35" i="8"/>
  <c r="AE33" i="8"/>
  <c r="AE34" i="8"/>
  <c r="AE36" i="8"/>
  <c r="AE29" i="8"/>
  <c r="AD40" i="8"/>
  <c r="AD39" i="8"/>
  <c r="AE2" i="8"/>
  <c r="AE38" i="8" s="1"/>
  <c r="AF1" i="8"/>
  <c r="AE12" i="7"/>
  <c r="R47" i="8" l="1"/>
  <c r="N55" i="8"/>
  <c r="N59" i="8" s="1"/>
  <c r="N67" i="8" s="1"/>
  <c r="N54" i="8"/>
  <c r="S11" i="8"/>
  <c r="S26" i="8" s="1"/>
  <c r="S37" i="8" s="1"/>
  <c r="S41" i="8" s="1"/>
  <c r="S43" i="8" s="1"/>
  <c r="AX3" i="2"/>
  <c r="AW5" i="2"/>
  <c r="U6" i="8" s="1"/>
  <c r="W22" i="8"/>
  <c r="V24" i="8"/>
  <c r="T10" i="8"/>
  <c r="T9" i="8"/>
  <c r="T8" i="8"/>
  <c r="T7" i="8"/>
  <c r="AG21" i="6"/>
  <c r="AG41" i="6"/>
  <c r="AE18" i="7"/>
  <c r="AE14" i="7"/>
  <c r="AE17" i="7" s="1"/>
  <c r="AE15" i="7"/>
  <c r="AA14" i="8"/>
  <c r="AF45" i="6"/>
  <c r="AF49" i="6" s="1"/>
  <c r="AB45" i="8" s="1"/>
  <c r="AE2" i="7"/>
  <c r="AD8" i="7"/>
  <c r="AE52" i="8" s="1"/>
  <c r="AF21" i="8"/>
  <c r="AI1" i="6"/>
  <c r="AH36" i="6"/>
  <c r="AH37" i="6"/>
  <c r="AH39" i="6"/>
  <c r="AH40" i="6"/>
  <c r="AH35" i="6"/>
  <c r="AH34" i="6"/>
  <c r="AH33" i="6"/>
  <c r="AH32" i="6"/>
  <c r="AH31" i="6"/>
  <c r="AH30" i="6"/>
  <c r="AH29" i="6"/>
  <c r="AH38" i="6"/>
  <c r="AH28" i="6"/>
  <c r="AH26" i="6"/>
  <c r="AH27" i="6"/>
  <c r="AH25" i="6"/>
  <c r="AH6" i="6"/>
  <c r="AH7" i="6"/>
  <c r="AH8" i="6"/>
  <c r="AH9" i="6"/>
  <c r="AH10" i="6"/>
  <c r="AH5" i="6"/>
  <c r="AH11" i="6"/>
  <c r="AH12" i="6"/>
  <c r="AH13" i="6"/>
  <c r="AH14" i="6"/>
  <c r="AH15" i="6"/>
  <c r="AH16" i="6"/>
  <c r="AH17" i="6"/>
  <c r="AH18" i="6"/>
  <c r="AH19" i="6"/>
  <c r="AH20" i="6"/>
  <c r="AH2" i="6"/>
  <c r="AF23" i="8"/>
  <c r="AF15" i="8"/>
  <c r="AF19" i="8"/>
  <c r="AD16" i="7"/>
  <c r="AD19" i="7" s="1"/>
  <c r="AF18" i="8"/>
  <c r="AF16" i="8"/>
  <c r="AF17" i="8"/>
  <c r="AF20" i="8"/>
  <c r="N5" i="7"/>
  <c r="O51" i="8" s="1"/>
  <c r="N7" i="7"/>
  <c r="AF64" i="8"/>
  <c r="AE40" i="8"/>
  <c r="AE39" i="8"/>
  <c r="AF50" i="8"/>
  <c r="AF30" i="8"/>
  <c r="AF32" i="8"/>
  <c r="AF31" i="8"/>
  <c r="AF35" i="8"/>
  <c r="AF33" i="8"/>
  <c r="AF34" i="8"/>
  <c r="AF36" i="8"/>
  <c r="AF29" i="8"/>
  <c r="AG1" i="8"/>
  <c r="AF2" i="8"/>
  <c r="AF38" i="8" s="1"/>
  <c r="AF12" i="7"/>
  <c r="O55" i="8" l="1"/>
  <c r="O54" i="8"/>
  <c r="S47" i="8"/>
  <c r="T11" i="8"/>
  <c r="T26" i="8" s="1"/>
  <c r="T37" i="8" s="1"/>
  <c r="T41" i="8" s="1"/>
  <c r="T43" i="8" s="1"/>
  <c r="X22" i="8"/>
  <c r="W24" i="8"/>
  <c r="U7" i="8"/>
  <c r="U10" i="8"/>
  <c r="U8" i="8"/>
  <c r="U9" i="8"/>
  <c r="AX5" i="2"/>
  <c r="V6" i="8" s="1"/>
  <c r="AY3" i="2"/>
  <c r="N70" i="8"/>
  <c r="O69" i="8" s="1"/>
  <c r="O59" i="8" s="1"/>
  <c r="O67" i="8" s="1"/>
  <c r="AG45" i="6"/>
  <c r="AG49" i="6" s="1"/>
  <c r="AC45" i="8" s="1"/>
  <c r="AG17" i="8"/>
  <c r="AG23" i="8"/>
  <c r="AH41" i="6"/>
  <c r="AJ1" i="6"/>
  <c r="AI38" i="6"/>
  <c r="AI40" i="6"/>
  <c r="AI37" i="6"/>
  <c r="AI36" i="6"/>
  <c r="AI35" i="6"/>
  <c r="AI34" i="6"/>
  <c r="AI39" i="6"/>
  <c r="AI27" i="6"/>
  <c r="AI25" i="6"/>
  <c r="AI33" i="6"/>
  <c r="AI31" i="6"/>
  <c r="AI29" i="6"/>
  <c r="AI28" i="6"/>
  <c r="AI26" i="6"/>
  <c r="AI10" i="6"/>
  <c r="AI5" i="6"/>
  <c r="AI30" i="6"/>
  <c r="AI6" i="6"/>
  <c r="AI8" i="6"/>
  <c r="AI7" i="6"/>
  <c r="AI32" i="6"/>
  <c r="AI9" i="6"/>
  <c r="AI11" i="6"/>
  <c r="AI12" i="6"/>
  <c r="AI13" i="6"/>
  <c r="AI14" i="6"/>
  <c r="AI15" i="6"/>
  <c r="AI16" i="6"/>
  <c r="AI17" i="6"/>
  <c r="AI18" i="6"/>
  <c r="AI19" i="6"/>
  <c r="AI20" i="6"/>
  <c r="AI2" i="6"/>
  <c r="AE16" i="7"/>
  <c r="AE19" i="7" s="1"/>
  <c r="AG16" i="8"/>
  <c r="AH16" i="8" s="1"/>
  <c r="AF2" i="7"/>
  <c r="AE8" i="7"/>
  <c r="AF52" i="8" s="1"/>
  <c r="AB14" i="8"/>
  <c r="AF14" i="7"/>
  <c r="AF17" i="7" s="1"/>
  <c r="AF18" i="7"/>
  <c r="AF15" i="7"/>
  <c r="AG20" i="8"/>
  <c r="AG18" i="8"/>
  <c r="AG19" i="8"/>
  <c r="AH19" i="8" s="1"/>
  <c r="AH21" i="6"/>
  <c r="AG15" i="8"/>
  <c r="AG21" i="8"/>
  <c r="N6" i="7"/>
  <c r="N9" i="7" s="1"/>
  <c r="O4" i="7" s="1"/>
  <c r="AF65" i="8"/>
  <c r="AF53" i="8"/>
  <c r="AG64" i="8"/>
  <c r="AG65" i="8" s="1"/>
  <c r="AF40" i="8"/>
  <c r="AF39" i="8"/>
  <c r="AG50" i="8"/>
  <c r="AG53" i="8" s="1"/>
  <c r="AG30" i="8"/>
  <c r="AG35" i="8"/>
  <c r="AG33" i="8"/>
  <c r="AG31" i="8"/>
  <c r="AG32" i="8"/>
  <c r="AG34" i="8"/>
  <c r="AG36" i="8"/>
  <c r="AG29" i="8"/>
  <c r="AH1" i="8"/>
  <c r="AG2" i="8"/>
  <c r="AG38" i="8" s="1"/>
  <c r="AG12" i="7"/>
  <c r="T47" i="8" l="1"/>
  <c r="U11" i="8"/>
  <c r="U26" i="8" s="1"/>
  <c r="U37" i="8" s="1"/>
  <c r="U41" i="8" s="1"/>
  <c r="U43" i="8" s="1"/>
  <c r="V8" i="8"/>
  <c r="V9" i="8"/>
  <c r="V7" i="8"/>
  <c r="V10" i="8"/>
  <c r="AZ3" i="2"/>
  <c r="AY5" i="2"/>
  <c r="W6" i="8" s="1"/>
  <c r="Y22" i="8"/>
  <c r="X24" i="8"/>
  <c r="O70" i="8"/>
  <c r="P69" i="8" s="1"/>
  <c r="AF16" i="7"/>
  <c r="AF19" i="7" s="1"/>
  <c r="AH18" i="8"/>
  <c r="AH23" i="8"/>
  <c r="AI23" i="8" s="1"/>
  <c r="AC14" i="8"/>
  <c r="AG18" i="7"/>
  <c r="AG14" i="7"/>
  <c r="AG17" i="7" s="1"/>
  <c r="AG15" i="7"/>
  <c r="AH21" i="8"/>
  <c r="AI21" i="8" s="1"/>
  <c r="AH20" i="8"/>
  <c r="AG2" i="7"/>
  <c r="AF8" i="7"/>
  <c r="AG52" i="8" s="1"/>
  <c r="AI41" i="6"/>
  <c r="AH17" i="8"/>
  <c r="AH15" i="8"/>
  <c r="AH45" i="6"/>
  <c r="AH49" i="6" s="1"/>
  <c r="AD45" i="8" s="1"/>
  <c r="AI21" i="6"/>
  <c r="AK1" i="6"/>
  <c r="AJ40" i="6"/>
  <c r="AJ39" i="6"/>
  <c r="AJ37" i="6"/>
  <c r="AJ36" i="6"/>
  <c r="AJ38" i="6"/>
  <c r="AJ35" i="6"/>
  <c r="AJ27" i="6"/>
  <c r="AJ34" i="6"/>
  <c r="AJ33" i="6"/>
  <c r="AJ31" i="6"/>
  <c r="AJ29" i="6"/>
  <c r="AJ6" i="6"/>
  <c r="AJ7" i="6"/>
  <c r="AJ8" i="6"/>
  <c r="AJ9" i="6"/>
  <c r="AJ28" i="6"/>
  <c r="AJ32" i="6"/>
  <c r="AJ30" i="6"/>
  <c r="AJ26" i="6"/>
  <c r="AJ13" i="6"/>
  <c r="AJ14" i="6"/>
  <c r="AJ15" i="6"/>
  <c r="AJ20" i="6"/>
  <c r="AJ25" i="6"/>
  <c r="AJ10" i="6"/>
  <c r="AJ5" i="6"/>
  <c r="AJ12" i="6"/>
  <c r="AJ16" i="6"/>
  <c r="AJ11" i="6"/>
  <c r="AJ17" i="6"/>
  <c r="AJ18" i="6"/>
  <c r="AJ19" i="6"/>
  <c r="AJ2" i="6"/>
  <c r="O7" i="7"/>
  <c r="O5" i="7"/>
  <c r="AH64" i="8"/>
  <c r="AG40" i="8"/>
  <c r="AG39" i="8"/>
  <c r="AH50" i="8"/>
  <c r="AH31" i="8"/>
  <c r="AH32" i="8"/>
  <c r="AH30" i="8"/>
  <c r="AH35" i="8"/>
  <c r="AH33" i="8"/>
  <c r="AH29" i="8"/>
  <c r="AH34" i="8"/>
  <c r="AH36" i="8"/>
  <c r="AI1" i="8"/>
  <c r="AH2" i="8"/>
  <c r="AI16" i="8" s="1"/>
  <c r="AH12" i="7"/>
  <c r="U47" i="8" l="1"/>
  <c r="V11" i="8"/>
  <c r="V26" i="8" s="1"/>
  <c r="V37" i="8" s="1"/>
  <c r="V41" i="8" s="1"/>
  <c r="V43" i="8" s="1"/>
  <c r="W10" i="8"/>
  <c r="W7" i="8"/>
  <c r="W9" i="8"/>
  <c r="W8" i="8"/>
  <c r="BA3" i="2"/>
  <c r="AZ5" i="2"/>
  <c r="X6" i="8" s="1"/>
  <c r="Z22" i="8"/>
  <c r="Y24" i="8"/>
  <c r="AJ41" i="6"/>
  <c r="AG16" i="7"/>
  <c r="AG19" i="7" s="1"/>
  <c r="AL1" i="6"/>
  <c r="AK39" i="6"/>
  <c r="AK38" i="6"/>
  <c r="AK37" i="6"/>
  <c r="AK40" i="6"/>
  <c r="AK34" i="6"/>
  <c r="AK33" i="6"/>
  <c r="AK32" i="6"/>
  <c r="AK31" i="6"/>
  <c r="AK30" i="6"/>
  <c r="AK29" i="6"/>
  <c r="AK28" i="6"/>
  <c r="AK26" i="6"/>
  <c r="AK6" i="6"/>
  <c r="AK7" i="6"/>
  <c r="AK8" i="6"/>
  <c r="AK9" i="6"/>
  <c r="AK10" i="6"/>
  <c r="AK35" i="6"/>
  <c r="AK25" i="6"/>
  <c r="AK11" i="6"/>
  <c r="AK12" i="6"/>
  <c r="AK13" i="6"/>
  <c r="AK14" i="6"/>
  <c r="AK15" i="6"/>
  <c r="AK16" i="6"/>
  <c r="AK17" i="6"/>
  <c r="AK18" i="6"/>
  <c r="AK19" i="6"/>
  <c r="AK20" i="6"/>
  <c r="AK36" i="6"/>
  <c r="AK5" i="6"/>
  <c r="AK27" i="6"/>
  <c r="AK2" i="6"/>
  <c r="AI45" i="6"/>
  <c r="AI49" i="6" s="1"/>
  <c r="AE45" i="8" s="1"/>
  <c r="AI15" i="8"/>
  <c r="AI18" i="8"/>
  <c r="AJ21" i="6"/>
  <c r="AH38" i="8"/>
  <c r="AH2" i="7"/>
  <c r="AG8" i="7"/>
  <c r="AH52" i="8" s="1"/>
  <c r="AD14" i="8"/>
  <c r="AH14" i="7"/>
  <c r="AH17" i="7" s="1"/>
  <c r="AH18" i="7"/>
  <c r="AH15" i="7"/>
  <c r="AJ23" i="8"/>
  <c r="AI17" i="8"/>
  <c r="AI20" i="8"/>
  <c r="AI19" i="8"/>
  <c r="AJ19" i="8" s="1"/>
  <c r="O6" i="7"/>
  <c r="O9" i="7" s="1"/>
  <c r="P4" i="7" s="1"/>
  <c r="P51" i="8"/>
  <c r="P54" i="8" s="1"/>
  <c r="AH65" i="8"/>
  <c r="AH53" i="8"/>
  <c r="AI64" i="8"/>
  <c r="AI65" i="8" s="1"/>
  <c r="AH39" i="8"/>
  <c r="AH40" i="8"/>
  <c r="AI50" i="8"/>
  <c r="AI53" i="8" s="1"/>
  <c r="AI31" i="8"/>
  <c r="AI33" i="8"/>
  <c r="AI30" i="8"/>
  <c r="AI32" i="8"/>
  <c r="AI34" i="8"/>
  <c r="AI36" i="8"/>
  <c r="AI35" i="8"/>
  <c r="AI29" i="8"/>
  <c r="AI2" i="8"/>
  <c r="AI38" i="8" s="1"/>
  <c r="AJ1" i="8"/>
  <c r="AI12" i="7"/>
  <c r="V47" i="8" l="1"/>
  <c r="W11" i="8"/>
  <c r="W26" i="8" s="1"/>
  <c r="W37" i="8" s="1"/>
  <c r="W41" i="8" s="1"/>
  <c r="W43" i="8" s="1"/>
  <c r="AA22" i="8"/>
  <c r="Z24" i="8"/>
  <c r="X8" i="8"/>
  <c r="X10" i="8"/>
  <c r="X7" i="8"/>
  <c r="X9" i="8"/>
  <c r="BB3" i="2"/>
  <c r="BA5" i="2"/>
  <c r="Y6" i="8" s="1"/>
  <c r="AJ20" i="8"/>
  <c r="AH16" i="7"/>
  <c r="AH19" i="7" s="1"/>
  <c r="AI2" i="7"/>
  <c r="AH8" i="7"/>
  <c r="AI52" i="8" s="1"/>
  <c r="AJ18" i="8"/>
  <c r="AK18" i="8" s="1"/>
  <c r="AK21" i="6"/>
  <c r="AK41" i="6"/>
  <c r="AM1" i="6"/>
  <c r="AL36" i="6"/>
  <c r="AL38" i="6"/>
  <c r="AL39" i="6"/>
  <c r="AL37" i="6"/>
  <c r="AL33" i="6"/>
  <c r="AL32" i="6"/>
  <c r="AL31" i="6"/>
  <c r="AL30" i="6"/>
  <c r="AL29" i="6"/>
  <c r="AL40" i="6"/>
  <c r="AL35" i="6"/>
  <c r="AL34" i="6"/>
  <c r="AL28" i="6"/>
  <c r="AL26" i="6"/>
  <c r="AL25" i="6"/>
  <c r="AL27" i="6"/>
  <c r="AL6" i="6"/>
  <c r="AL7" i="6"/>
  <c r="AL8" i="6"/>
  <c r="AL9" i="6"/>
  <c r="AL10" i="6"/>
  <c r="AL11" i="6"/>
  <c r="AL12" i="6"/>
  <c r="AL13" i="6"/>
  <c r="AL14" i="6"/>
  <c r="AL15" i="6"/>
  <c r="AL16" i="6"/>
  <c r="AL17" i="6"/>
  <c r="AL18" i="6"/>
  <c r="AL19" i="6"/>
  <c r="AL20" i="6"/>
  <c r="AL5" i="6"/>
  <c r="AL2" i="6"/>
  <c r="AJ17" i="8"/>
  <c r="AK17" i="8" s="1"/>
  <c r="AJ21" i="8"/>
  <c r="AJ45" i="6"/>
  <c r="AJ49" i="6" s="1"/>
  <c r="AF45" i="8" s="1"/>
  <c r="AI18" i="7"/>
  <c r="AI14" i="7"/>
  <c r="AI17" i="7" s="1"/>
  <c r="AI15" i="7"/>
  <c r="AE14" i="8"/>
  <c r="AJ15" i="8"/>
  <c r="AJ16" i="8"/>
  <c r="P55" i="8"/>
  <c r="P59" i="8" s="1"/>
  <c r="P70" i="8" s="1"/>
  <c r="Q69" i="8" s="1"/>
  <c r="P7" i="7"/>
  <c r="P5" i="7"/>
  <c r="AJ64" i="8"/>
  <c r="AJ50" i="8"/>
  <c r="AJ31" i="8"/>
  <c r="AJ30" i="8"/>
  <c r="AJ32" i="8"/>
  <c r="AJ34" i="8"/>
  <c r="AJ36" i="8"/>
  <c r="AJ33" i="8"/>
  <c r="AJ29" i="8"/>
  <c r="AJ35" i="8"/>
  <c r="AI39" i="8"/>
  <c r="AI40" i="8"/>
  <c r="AJ2" i="8"/>
  <c r="AK1" i="8"/>
  <c r="AK23" i="8" s="1"/>
  <c r="AJ12" i="7"/>
  <c r="W47" i="8" l="1"/>
  <c r="X11" i="8"/>
  <c r="X26" i="8" s="1"/>
  <c r="X37" i="8" s="1"/>
  <c r="X41" i="8" s="1"/>
  <c r="X43" i="8" s="1"/>
  <c r="BB5" i="2"/>
  <c r="Z6" i="8" s="1"/>
  <c r="BC3" i="2"/>
  <c r="Y8" i="8"/>
  <c r="Y9" i="8"/>
  <c r="Y7" i="8"/>
  <c r="Y10" i="8"/>
  <c r="AB22" i="8"/>
  <c r="AA24" i="8"/>
  <c r="AL21" i="6"/>
  <c r="AK20" i="8"/>
  <c r="AJ18" i="7"/>
  <c r="AJ14" i="7"/>
  <c r="AJ17" i="7" s="1"/>
  <c r="AJ15" i="7"/>
  <c r="AK16" i="8"/>
  <c r="AF14" i="8"/>
  <c r="AI16" i="7"/>
  <c r="AI19" i="7" s="1"/>
  <c r="AL41" i="6"/>
  <c r="AK19" i="8"/>
  <c r="AK15" i="8"/>
  <c r="AK21" i="8"/>
  <c r="AJ38" i="8"/>
  <c r="AJ2" i="7"/>
  <c r="AI8" i="7"/>
  <c r="AJ52" i="8" s="1"/>
  <c r="AN1" i="6"/>
  <c r="AM37" i="6"/>
  <c r="AM36" i="6"/>
  <c r="AM39" i="6"/>
  <c r="AM40" i="6"/>
  <c r="AM38" i="6"/>
  <c r="AM35" i="6"/>
  <c r="AM34" i="6"/>
  <c r="AM26" i="6"/>
  <c r="AM25" i="6"/>
  <c r="AM32" i="6"/>
  <c r="AM30" i="6"/>
  <c r="AM27" i="6"/>
  <c r="AM33" i="6"/>
  <c r="AM7" i="6"/>
  <c r="AM5" i="6"/>
  <c r="AM31" i="6"/>
  <c r="AM28" i="6"/>
  <c r="AM9" i="6"/>
  <c r="AM29" i="6"/>
  <c r="AM6" i="6"/>
  <c r="AM8" i="6"/>
  <c r="AM10" i="6"/>
  <c r="AM11" i="6"/>
  <c r="AM12" i="6"/>
  <c r="AM13" i="6"/>
  <c r="AM14" i="6"/>
  <c r="AM15" i="6"/>
  <c r="AM16" i="6"/>
  <c r="AM17" i="6"/>
  <c r="AM18" i="6"/>
  <c r="AM19" i="6"/>
  <c r="AM20" i="6"/>
  <c r="AM2" i="6"/>
  <c r="AK45" i="6"/>
  <c r="AK49" i="6" s="1"/>
  <c r="AG45" i="8" s="1"/>
  <c r="P67" i="8"/>
  <c r="P6" i="7"/>
  <c r="P9" i="7" s="1"/>
  <c r="Q4" i="7" s="1"/>
  <c r="Q51" i="8"/>
  <c r="Q54" i="8" s="1"/>
  <c r="AJ65" i="8"/>
  <c r="AJ53" i="8"/>
  <c r="AK64" i="8"/>
  <c r="AK65" i="8" s="1"/>
  <c r="AK50" i="8"/>
  <c r="AK53" i="8" s="1"/>
  <c r="AK31" i="8"/>
  <c r="AK32" i="8"/>
  <c r="AK34" i="8"/>
  <c r="AK36" i="8"/>
  <c r="AK30" i="8"/>
  <c r="AK33" i="8"/>
  <c r="AK29" i="8"/>
  <c r="AK35" i="8"/>
  <c r="AJ40" i="8"/>
  <c r="AJ39" i="8"/>
  <c r="AK2" i="8"/>
  <c r="AK38" i="8" s="1"/>
  <c r="AL1" i="8"/>
  <c r="AL23" i="8" s="1"/>
  <c r="AK12" i="7"/>
  <c r="X47" i="8" l="1"/>
  <c r="Y11" i="8"/>
  <c r="Y26" i="8" s="1"/>
  <c r="Y37" i="8" s="1"/>
  <c r="Y41" i="8" s="1"/>
  <c r="Y43" i="8" s="1"/>
  <c r="AC22" i="8"/>
  <c r="AB24" i="8"/>
  <c r="BD3" i="2"/>
  <c r="BC5" i="2"/>
  <c r="AA6" i="8" s="1"/>
  <c r="Z8" i="8"/>
  <c r="Z7" i="8"/>
  <c r="Z10" i="8"/>
  <c r="Z9" i="8"/>
  <c r="AL45" i="6"/>
  <c r="AL49" i="6" s="1"/>
  <c r="AH45" i="8" s="1"/>
  <c r="AL21" i="8"/>
  <c r="AL19" i="8"/>
  <c r="AG14" i="8"/>
  <c r="AM41" i="6"/>
  <c r="AL15" i="8"/>
  <c r="AL16" i="8"/>
  <c r="AO1" i="6"/>
  <c r="AN40" i="6"/>
  <c r="AN38" i="6"/>
  <c r="AN39" i="6"/>
  <c r="AN35" i="6"/>
  <c r="AN34" i="6"/>
  <c r="AN36" i="6"/>
  <c r="AN27" i="6"/>
  <c r="AN37" i="6"/>
  <c r="AN32" i="6"/>
  <c r="AN30" i="6"/>
  <c r="AN6" i="6"/>
  <c r="AN7" i="6"/>
  <c r="AN8" i="6"/>
  <c r="AN9" i="6"/>
  <c r="AN33" i="6"/>
  <c r="AN31" i="6"/>
  <c r="AN29" i="6"/>
  <c r="AN28" i="6"/>
  <c r="AN25" i="6"/>
  <c r="AN11" i="6"/>
  <c r="AN16" i="6"/>
  <c r="AN17" i="6"/>
  <c r="AN5" i="6"/>
  <c r="AN13" i="6"/>
  <c r="AN15" i="6"/>
  <c r="AN18" i="6"/>
  <c r="AN19" i="6"/>
  <c r="AN26" i="6"/>
  <c r="AN10" i="6"/>
  <c r="AN12" i="6"/>
  <c r="AN14" i="6"/>
  <c r="AN20" i="6"/>
  <c r="AN2" i="6"/>
  <c r="AK2" i="7"/>
  <c r="AJ8" i="7"/>
  <c r="AK52" i="8" s="1"/>
  <c r="AJ16" i="7"/>
  <c r="AJ19" i="7" s="1"/>
  <c r="AL20" i="8"/>
  <c r="AK14" i="7"/>
  <c r="AK17" i="7" s="1"/>
  <c r="AK18" i="7"/>
  <c r="AK15" i="7"/>
  <c r="AM21" i="6"/>
  <c r="AL17" i="8"/>
  <c r="AL18" i="8"/>
  <c r="Q55" i="8"/>
  <c r="Q59" i="8" s="1"/>
  <c r="Q70" i="8" s="1"/>
  <c r="R69" i="8" s="1"/>
  <c r="Q7" i="7"/>
  <c r="Q5" i="7"/>
  <c r="AL64" i="8"/>
  <c r="AL65" i="8" s="1"/>
  <c r="AK40" i="8"/>
  <c r="AK39" i="8"/>
  <c r="AL50" i="8"/>
  <c r="AL53" i="8" s="1"/>
  <c r="AL30" i="8"/>
  <c r="AL32" i="8"/>
  <c r="AL34" i="8"/>
  <c r="AL36" i="8"/>
  <c r="AL33" i="8"/>
  <c r="AL29" i="8"/>
  <c r="AL31" i="8"/>
  <c r="AL35" i="8"/>
  <c r="AL2" i="8"/>
  <c r="AL38" i="8" s="1"/>
  <c r="AM1" i="8"/>
  <c r="AL12" i="7"/>
  <c r="Y47" i="8" l="1"/>
  <c r="Z11" i="8"/>
  <c r="Z26" i="8" s="1"/>
  <c r="Z37" i="8" s="1"/>
  <c r="Z41" i="8" s="1"/>
  <c r="Z43" i="8" s="1"/>
  <c r="AA10" i="8"/>
  <c r="AA9" i="8"/>
  <c r="AA7" i="8"/>
  <c r="AA8" i="8"/>
  <c r="BD5" i="2"/>
  <c r="AB6" i="8" s="1"/>
  <c r="BE3" i="2"/>
  <c r="AD22" i="8"/>
  <c r="AC24" i="8"/>
  <c r="AK16" i="7"/>
  <c r="AK19" i="7" s="1"/>
  <c r="AM45" i="6"/>
  <c r="AM49" i="6" s="1"/>
  <c r="AI45" i="8" s="1"/>
  <c r="AN21" i="6"/>
  <c r="AN41" i="6"/>
  <c r="AM21" i="8"/>
  <c r="AM19" i="8"/>
  <c r="AL14" i="7"/>
  <c r="AL17" i="7" s="1"/>
  <c r="AL18" i="7"/>
  <c r="AL15" i="7"/>
  <c r="AM18" i="8"/>
  <c r="AL2" i="7"/>
  <c r="AK8" i="7"/>
  <c r="AL52" i="8" s="1"/>
  <c r="AP1" i="6"/>
  <c r="AO39" i="6"/>
  <c r="AO38" i="6"/>
  <c r="AO37" i="6"/>
  <c r="AO40" i="6"/>
  <c r="AO36" i="6"/>
  <c r="AO34" i="6"/>
  <c r="AO35" i="6"/>
  <c r="AO33" i="6"/>
  <c r="AO32" i="6"/>
  <c r="AO31" i="6"/>
  <c r="AO30" i="6"/>
  <c r="AO29" i="6"/>
  <c r="AO27" i="6"/>
  <c r="AO28" i="6"/>
  <c r="AO6" i="6"/>
  <c r="AO7" i="6"/>
  <c r="AO8" i="6"/>
  <c r="AO9" i="6"/>
  <c r="AO10" i="6"/>
  <c r="AO26" i="6"/>
  <c r="AO25" i="6"/>
  <c r="AO11" i="6"/>
  <c r="AO12" i="6"/>
  <c r="AO13" i="6"/>
  <c r="AO14" i="6"/>
  <c r="AO15" i="6"/>
  <c r="AO16" i="6"/>
  <c r="AO17" i="6"/>
  <c r="AO18" i="6"/>
  <c r="AO19" i="6"/>
  <c r="AO20" i="6"/>
  <c r="AO5" i="6"/>
  <c r="AO2" i="6"/>
  <c r="AM15" i="8"/>
  <c r="AM17" i="8"/>
  <c r="AM20" i="8"/>
  <c r="AM16" i="8"/>
  <c r="AH14" i="8"/>
  <c r="AM23" i="8"/>
  <c r="Q6" i="7"/>
  <c r="Q9" i="7" s="1"/>
  <c r="R4" i="7" s="1"/>
  <c r="R51" i="8"/>
  <c r="R54" i="8" s="1"/>
  <c r="Q67" i="8"/>
  <c r="AM64" i="8"/>
  <c r="AM65" i="8" s="1"/>
  <c r="AM50" i="8"/>
  <c r="AM53" i="8" s="1"/>
  <c r="AM30" i="8"/>
  <c r="AM32" i="8"/>
  <c r="AM31" i="8"/>
  <c r="AM33" i="8"/>
  <c r="AM35" i="8"/>
  <c r="AM34" i="8"/>
  <c r="AM36" i="8"/>
  <c r="AM29" i="8"/>
  <c r="AL40" i="8"/>
  <c r="AL39" i="8"/>
  <c r="AM2" i="8"/>
  <c r="AM38" i="8" s="1"/>
  <c r="AN1" i="8"/>
  <c r="AM12" i="7"/>
  <c r="Z47" i="8" l="1"/>
  <c r="AA11" i="8"/>
  <c r="AA26" i="8" s="1"/>
  <c r="AA37" i="8" s="1"/>
  <c r="AA41" i="8" s="1"/>
  <c r="AA43" i="8" s="1"/>
  <c r="AE22" i="8"/>
  <c r="AD24" i="8"/>
  <c r="BF3" i="2"/>
  <c r="BE5" i="2"/>
  <c r="AC6" i="8" s="1"/>
  <c r="AB8" i="8"/>
  <c r="AB7" i="8"/>
  <c r="AB10" i="8"/>
  <c r="AB9" i="8"/>
  <c r="AN16" i="8"/>
  <c r="AN45" i="6"/>
  <c r="AN49" i="6" s="1"/>
  <c r="AJ45" i="8" s="1"/>
  <c r="AN23" i="8"/>
  <c r="AN20" i="8"/>
  <c r="AO41" i="6"/>
  <c r="AM2" i="7"/>
  <c r="AL8" i="7"/>
  <c r="AM52" i="8" s="1"/>
  <c r="AN19" i="8"/>
  <c r="AN18" i="8"/>
  <c r="AN17" i="8"/>
  <c r="AO21" i="6"/>
  <c r="AQ1" i="6"/>
  <c r="AP36" i="6"/>
  <c r="AP40" i="6"/>
  <c r="AP39" i="6"/>
  <c r="AP37" i="6"/>
  <c r="AP38" i="6"/>
  <c r="AP33" i="6"/>
  <c r="AP32" i="6"/>
  <c r="AP31" i="6"/>
  <c r="AP30" i="6"/>
  <c r="AP29" i="6"/>
  <c r="AP28" i="6"/>
  <c r="AP26" i="6"/>
  <c r="AP35" i="6"/>
  <c r="AP25" i="6"/>
  <c r="AP6" i="6"/>
  <c r="AP7" i="6"/>
  <c r="AP8" i="6"/>
  <c r="AP9" i="6"/>
  <c r="AP10" i="6"/>
  <c r="AP11" i="6"/>
  <c r="AP12" i="6"/>
  <c r="AP13" i="6"/>
  <c r="AP14" i="6"/>
  <c r="AP15" i="6"/>
  <c r="AP16" i="6"/>
  <c r="AP17" i="6"/>
  <c r="AP18" i="6"/>
  <c r="AP19" i="6"/>
  <c r="AP20" i="6"/>
  <c r="AP34" i="6"/>
  <c r="AP27" i="6"/>
  <c r="AP5" i="6"/>
  <c r="AP2" i="6"/>
  <c r="AL16" i="7"/>
  <c r="AL19" i="7" s="1"/>
  <c r="AN21" i="8"/>
  <c r="AN15" i="8"/>
  <c r="AM18" i="7"/>
  <c r="AM14" i="7"/>
  <c r="AM17" i="7" s="1"/>
  <c r="AM15" i="7"/>
  <c r="AI14" i="8"/>
  <c r="R7" i="7"/>
  <c r="R5" i="7"/>
  <c r="R55" i="8"/>
  <c r="R59" i="8" s="1"/>
  <c r="R70" i="8" s="1"/>
  <c r="S69" i="8" s="1"/>
  <c r="AN64" i="8"/>
  <c r="AN50" i="8"/>
  <c r="AN30" i="8"/>
  <c r="AN32" i="8"/>
  <c r="AN31" i="8"/>
  <c r="AN33" i="8"/>
  <c r="AN35" i="8"/>
  <c r="AN36" i="8"/>
  <c r="AN34" i="8"/>
  <c r="AN29" i="8"/>
  <c r="AM40" i="8"/>
  <c r="AM39" i="8"/>
  <c r="AO1" i="8"/>
  <c r="AN2" i="8"/>
  <c r="AN38" i="8" s="1"/>
  <c r="AN12" i="7"/>
  <c r="AA47" i="8" l="1"/>
  <c r="AB11" i="8"/>
  <c r="AB26" i="8" s="1"/>
  <c r="AB37" i="8" s="1"/>
  <c r="AB41" i="8" s="1"/>
  <c r="AB43" i="8" s="1"/>
  <c r="BG3" i="2"/>
  <c r="BF5" i="2"/>
  <c r="AD6" i="8" s="1"/>
  <c r="AC8" i="8"/>
  <c r="AC9" i="8"/>
  <c r="AC7" i="8"/>
  <c r="AC10" i="8"/>
  <c r="AF22" i="8"/>
  <c r="AE24" i="8"/>
  <c r="AP41" i="6"/>
  <c r="AO23" i="8"/>
  <c r="AM16" i="7"/>
  <c r="AM19" i="7" s="1"/>
  <c r="AO15" i="8"/>
  <c r="AO18" i="8"/>
  <c r="AN2" i="7"/>
  <c r="AM8" i="7"/>
  <c r="AN52" i="8" s="1"/>
  <c r="AM5" i="7"/>
  <c r="AN51" i="8" s="1"/>
  <c r="AN18" i="7"/>
  <c r="AN14" i="7"/>
  <c r="AN17" i="7" s="1"/>
  <c r="AN15" i="7"/>
  <c r="AO21" i="8"/>
  <c r="AP21" i="8" s="1"/>
  <c r="AP21" i="6"/>
  <c r="AR1" i="6"/>
  <c r="AQ40" i="6"/>
  <c r="AQ37" i="6"/>
  <c r="AQ36" i="6"/>
  <c r="AQ38" i="6"/>
  <c r="AQ35" i="6"/>
  <c r="AQ34" i="6"/>
  <c r="AQ28" i="6"/>
  <c r="AQ25" i="6"/>
  <c r="AQ33" i="6"/>
  <c r="AQ31" i="6"/>
  <c r="AQ29" i="6"/>
  <c r="AQ26" i="6"/>
  <c r="AQ27" i="6"/>
  <c r="AQ39" i="6"/>
  <c r="AQ30" i="6"/>
  <c r="AQ9" i="6"/>
  <c r="AQ10" i="6"/>
  <c r="AQ5" i="6"/>
  <c r="AQ32" i="6"/>
  <c r="AQ7" i="6"/>
  <c r="AQ6" i="6"/>
  <c r="AQ8" i="6"/>
  <c r="AQ11" i="6"/>
  <c r="AQ12" i="6"/>
  <c r="AQ13" i="6"/>
  <c r="AQ14" i="6"/>
  <c r="AQ15" i="6"/>
  <c r="AQ16" i="6"/>
  <c r="AQ17" i="6"/>
  <c r="AQ18" i="6"/>
  <c r="AQ19" i="6"/>
  <c r="AQ20" i="6"/>
  <c r="AQ2" i="6"/>
  <c r="AO38" i="8"/>
  <c r="AJ14" i="8"/>
  <c r="AO17" i="8"/>
  <c r="AO45" i="6"/>
  <c r="AO49" i="6" s="1"/>
  <c r="AK45" i="8" s="1"/>
  <c r="AO19" i="8"/>
  <c r="AO20" i="8"/>
  <c r="AO16" i="8"/>
  <c r="AP16" i="8" s="1"/>
  <c r="R67" i="8"/>
  <c r="R6" i="7"/>
  <c r="R9" i="7" s="1"/>
  <c r="S4" i="7" s="1"/>
  <c r="S51" i="8"/>
  <c r="S54" i="8" s="1"/>
  <c r="AN65" i="8"/>
  <c r="AN53" i="8"/>
  <c r="AO64" i="8"/>
  <c r="AO65" i="8" s="1"/>
  <c r="AN40" i="8"/>
  <c r="AN39" i="8"/>
  <c r="AO50" i="8"/>
  <c r="AO53" i="8" s="1"/>
  <c r="AO30" i="8"/>
  <c r="AO33" i="8"/>
  <c r="AO35" i="8"/>
  <c r="AO32" i="8"/>
  <c r="AO36" i="8"/>
  <c r="AO34" i="8"/>
  <c r="AO31" i="8"/>
  <c r="AO29" i="8"/>
  <c r="AP1" i="8"/>
  <c r="AO2" i="8"/>
  <c r="AO12" i="7"/>
  <c r="AB47" i="8" l="1"/>
  <c r="AC11" i="8"/>
  <c r="AC26" i="8" s="1"/>
  <c r="AC37" i="8" s="1"/>
  <c r="AC41" i="8" s="1"/>
  <c r="AC43" i="8" s="1"/>
  <c r="BH3" i="2"/>
  <c r="BG5" i="2"/>
  <c r="AE6" i="8" s="1"/>
  <c r="AG22" i="8"/>
  <c r="AF24" i="8"/>
  <c r="AD10" i="8"/>
  <c r="AD8" i="8"/>
  <c r="AD9" i="8"/>
  <c r="AD7" i="8"/>
  <c r="AP20" i="8"/>
  <c r="AP17" i="8"/>
  <c r="AO2" i="7"/>
  <c r="AN8" i="7"/>
  <c r="AO52" i="8" s="1"/>
  <c r="AN5" i="7"/>
  <c r="AO51" i="8" s="1"/>
  <c r="AQ21" i="6"/>
  <c r="AQ21" i="8"/>
  <c r="AP19" i="8"/>
  <c r="AQ41" i="6"/>
  <c r="AS1" i="6"/>
  <c r="AR40" i="6"/>
  <c r="AR37" i="6"/>
  <c r="AR36" i="6"/>
  <c r="AR38" i="6"/>
  <c r="AR35" i="6"/>
  <c r="AR34" i="6"/>
  <c r="AR39" i="6"/>
  <c r="AR27" i="6"/>
  <c r="AR33" i="6"/>
  <c r="AR31" i="6"/>
  <c r="AR29" i="6"/>
  <c r="AR26" i="6"/>
  <c r="AR6" i="6"/>
  <c r="AR7" i="6"/>
  <c r="AR8" i="6"/>
  <c r="AR9" i="6"/>
  <c r="AR32" i="6"/>
  <c r="AR30" i="6"/>
  <c r="AR13" i="6"/>
  <c r="AR18" i="6"/>
  <c r="AR10" i="6"/>
  <c r="AR5" i="6"/>
  <c r="AR25" i="6"/>
  <c r="AR11" i="6"/>
  <c r="AR12" i="6"/>
  <c r="AR14" i="6"/>
  <c r="AR17" i="6"/>
  <c r="AR20" i="6"/>
  <c r="AR28" i="6"/>
  <c r="AR15" i="6"/>
  <c r="AR16" i="6"/>
  <c r="AR19" i="6"/>
  <c r="AR2" i="6"/>
  <c r="AN16" i="7"/>
  <c r="AN19" i="7" s="1"/>
  <c r="AP18" i="8"/>
  <c r="AQ18" i="8" s="1"/>
  <c r="AO18" i="7"/>
  <c r="AO14" i="7"/>
  <c r="AO17" i="7" s="1"/>
  <c r="AO15" i="7"/>
  <c r="AK14" i="8"/>
  <c r="AP45" i="6"/>
  <c r="AP49" i="6" s="1"/>
  <c r="AL45" i="8" s="1"/>
  <c r="AP15" i="8"/>
  <c r="AP23" i="8"/>
  <c r="AQ23" i="8" s="1"/>
  <c r="S55" i="8"/>
  <c r="S59" i="8" s="1"/>
  <c r="S70" i="8" s="1"/>
  <c r="T69" i="8" s="1"/>
  <c r="S5" i="7"/>
  <c r="S7" i="7"/>
  <c r="AP64" i="8"/>
  <c r="AP65" i="8" s="1"/>
  <c r="AP50" i="8"/>
  <c r="AP53" i="8" s="1"/>
  <c r="AP31" i="8"/>
  <c r="AP33" i="8"/>
  <c r="AP35" i="8"/>
  <c r="AP30" i="8"/>
  <c r="AP32" i="8"/>
  <c r="AP29" i="8"/>
  <c r="AP36" i="8"/>
  <c r="AP34" i="8"/>
  <c r="AO40" i="8"/>
  <c r="AO39" i="8"/>
  <c r="AQ1" i="8"/>
  <c r="AQ16" i="8" s="1"/>
  <c r="AP2" i="8"/>
  <c r="AP38" i="8" s="1"/>
  <c r="AP12" i="7"/>
  <c r="AC47" i="8" l="1"/>
  <c r="AD11" i="8"/>
  <c r="AD26" i="8" s="1"/>
  <c r="AD37" i="8" s="1"/>
  <c r="AD41" i="8" s="1"/>
  <c r="AD43" i="8" s="1"/>
  <c r="AH22" i="8"/>
  <c r="AG24" i="8"/>
  <c r="AE9" i="8"/>
  <c r="AE10" i="8"/>
  <c r="AE8" i="8"/>
  <c r="AE7" i="8"/>
  <c r="BI3" i="2"/>
  <c r="BH5" i="2"/>
  <c r="AF6" i="8" s="1"/>
  <c r="AR41" i="6"/>
  <c r="AQ20" i="8"/>
  <c r="AP14" i="7"/>
  <c r="AP17" i="7" s="1"/>
  <c r="AP18" i="7"/>
  <c r="AP15" i="7"/>
  <c r="AQ15" i="8"/>
  <c r="AL14" i="8"/>
  <c r="AR21" i="6"/>
  <c r="AQ45" i="6"/>
  <c r="AQ49" i="6" s="1"/>
  <c r="AM45" i="8" s="1"/>
  <c r="AP2" i="7"/>
  <c r="AO8" i="7"/>
  <c r="AP52" i="8" s="1"/>
  <c r="AO5" i="7"/>
  <c r="AP51" i="8" s="1"/>
  <c r="AO16" i="7"/>
  <c r="AO19" i="7" s="1"/>
  <c r="AQ19" i="8"/>
  <c r="AT1" i="6"/>
  <c r="AS39" i="6"/>
  <c r="AS38" i="6"/>
  <c r="AS37" i="6"/>
  <c r="AS34" i="6"/>
  <c r="AS40" i="6"/>
  <c r="AS36" i="6"/>
  <c r="AS35" i="6"/>
  <c r="AS33" i="6"/>
  <c r="AS32" i="6"/>
  <c r="AS31" i="6"/>
  <c r="AS30" i="6"/>
  <c r="AS29" i="6"/>
  <c r="AS27" i="6"/>
  <c r="AS6" i="6"/>
  <c r="AS7" i="6"/>
  <c r="AS8" i="6"/>
  <c r="AS9" i="6"/>
  <c r="AS10" i="6"/>
  <c r="AS28" i="6"/>
  <c r="AS25" i="6"/>
  <c r="AS11" i="6"/>
  <c r="AS12" i="6"/>
  <c r="AS13" i="6"/>
  <c r="AS14" i="6"/>
  <c r="AS15" i="6"/>
  <c r="AS16" i="6"/>
  <c r="AS17" i="6"/>
  <c r="AS18" i="6"/>
  <c r="AS19" i="6"/>
  <c r="AS20" i="6"/>
  <c r="AS26" i="6"/>
  <c r="AS5" i="6"/>
  <c r="AS2" i="6"/>
  <c r="AQ17" i="8"/>
  <c r="T51" i="8"/>
  <c r="T54" i="8" s="1"/>
  <c r="S6" i="7"/>
  <c r="S9" i="7" s="1"/>
  <c r="T4" i="7" s="1"/>
  <c r="S67" i="8"/>
  <c r="AQ64" i="8"/>
  <c r="AQ50" i="8"/>
  <c r="AQ31" i="8"/>
  <c r="AQ30" i="8"/>
  <c r="AQ32" i="8"/>
  <c r="AQ34" i="8"/>
  <c r="AQ36" i="8"/>
  <c r="AQ33" i="8"/>
  <c r="AQ35" i="8"/>
  <c r="AQ29" i="8"/>
  <c r="AP40" i="8"/>
  <c r="AP39" i="8"/>
  <c r="AR1" i="8"/>
  <c r="AQ2" i="8"/>
  <c r="AQ38" i="8" s="1"/>
  <c r="AQ12" i="7"/>
  <c r="AD47" i="8" l="1"/>
  <c r="AE11" i="8"/>
  <c r="AE26" i="8" s="1"/>
  <c r="AE37" i="8" s="1"/>
  <c r="AE41" i="8" s="1"/>
  <c r="AE43" i="8" s="1"/>
  <c r="BJ3" i="2"/>
  <c r="BI5" i="2"/>
  <c r="AG6" i="8" s="1"/>
  <c r="AF10" i="8"/>
  <c r="AF8" i="8"/>
  <c r="AF7" i="8"/>
  <c r="AF9" i="8"/>
  <c r="AI22" i="8"/>
  <c r="AH24" i="8"/>
  <c r="AR17" i="8"/>
  <c r="AR19" i="8"/>
  <c r="AR15" i="8"/>
  <c r="AM14" i="8"/>
  <c r="AS21" i="6"/>
  <c r="AS41" i="6"/>
  <c r="AU1" i="6"/>
  <c r="AT36" i="6"/>
  <c r="AT38" i="6"/>
  <c r="AT39" i="6"/>
  <c r="AT35" i="6"/>
  <c r="AT34" i="6"/>
  <c r="AT33" i="6"/>
  <c r="AT32" i="6"/>
  <c r="AT31" i="6"/>
  <c r="AT30" i="6"/>
  <c r="AT29" i="6"/>
  <c r="AT37" i="6"/>
  <c r="AT28" i="6"/>
  <c r="AT26" i="6"/>
  <c r="AT27" i="6"/>
  <c r="AT40" i="6"/>
  <c r="AT25" i="6"/>
  <c r="AT6" i="6"/>
  <c r="AT7" i="6"/>
  <c r="AT8" i="6"/>
  <c r="AT9" i="6"/>
  <c r="AT10" i="6"/>
  <c r="AT5" i="6"/>
  <c r="AT11" i="6"/>
  <c r="AT12" i="6"/>
  <c r="AT13" i="6"/>
  <c r="AT14" i="6"/>
  <c r="AT15" i="6"/>
  <c r="AT16" i="6"/>
  <c r="AT17" i="6"/>
  <c r="AT18" i="6"/>
  <c r="AT19" i="6"/>
  <c r="AT20" i="6"/>
  <c r="AT2" i="6"/>
  <c r="AR23" i="8"/>
  <c r="AR45" i="6"/>
  <c r="AR49" i="6" s="1"/>
  <c r="AN45" i="8" s="1"/>
  <c r="AP16" i="7"/>
  <c r="AP19" i="7" s="1"/>
  <c r="AR20" i="8"/>
  <c r="AR18" i="8"/>
  <c r="AQ18" i="7"/>
  <c r="AQ14" i="7"/>
  <c r="AQ17" i="7" s="1"/>
  <c r="AQ15" i="7"/>
  <c r="AR21" i="8"/>
  <c r="AQ2" i="7"/>
  <c r="AP8" i="7"/>
  <c r="AQ52" i="8" s="1"/>
  <c r="AP5" i="7"/>
  <c r="AQ51" i="8" s="1"/>
  <c r="AR16" i="8"/>
  <c r="T7" i="7"/>
  <c r="T5" i="7"/>
  <c r="T55" i="8"/>
  <c r="T59" i="8" s="1"/>
  <c r="T70" i="8" s="1"/>
  <c r="U69" i="8" s="1"/>
  <c r="AQ65" i="8"/>
  <c r="AQ53" i="8"/>
  <c r="AR64" i="8"/>
  <c r="AR65" i="8" s="1"/>
  <c r="AQ39" i="8"/>
  <c r="AQ40" i="8"/>
  <c r="AR50" i="8"/>
  <c r="AR53" i="8" s="1"/>
  <c r="AR31" i="8"/>
  <c r="AR30" i="8"/>
  <c r="AR32" i="8"/>
  <c r="AR34" i="8"/>
  <c r="AR36" i="8"/>
  <c r="AR29" i="8"/>
  <c r="AR33" i="8"/>
  <c r="AR35" i="8"/>
  <c r="AS1" i="8"/>
  <c r="AR2" i="8"/>
  <c r="AR38" i="8" s="1"/>
  <c r="AR12" i="7"/>
  <c r="AE47" i="8" l="1"/>
  <c r="AF11" i="8"/>
  <c r="AF26" i="8" s="1"/>
  <c r="AF37" i="8" s="1"/>
  <c r="AF41" i="8" s="1"/>
  <c r="AF43" i="8" s="1"/>
  <c r="AJ22" i="8"/>
  <c r="AI24" i="8"/>
  <c r="AG8" i="8"/>
  <c r="AG9" i="8"/>
  <c r="AG7" i="8"/>
  <c r="AG10" i="8"/>
  <c r="BJ5" i="2"/>
  <c r="AH6" i="8" s="1"/>
  <c r="BK3" i="2"/>
  <c r="AS15" i="8"/>
  <c r="AT41" i="6"/>
  <c r="AV1" i="6"/>
  <c r="AU40" i="6"/>
  <c r="AU39" i="6"/>
  <c r="AU36" i="6"/>
  <c r="AU37" i="6"/>
  <c r="AU28" i="6"/>
  <c r="AU35" i="6"/>
  <c r="AU25" i="6"/>
  <c r="AU38" i="6"/>
  <c r="AU32" i="6"/>
  <c r="AU30" i="6"/>
  <c r="AU34" i="6"/>
  <c r="AU26" i="6"/>
  <c r="AU6" i="6"/>
  <c r="AU8" i="6"/>
  <c r="AU5" i="6"/>
  <c r="AU29" i="6"/>
  <c r="AU27" i="6"/>
  <c r="AU9" i="6"/>
  <c r="AU31" i="6"/>
  <c r="AU7" i="6"/>
  <c r="AU10" i="6"/>
  <c r="AU11" i="6"/>
  <c r="AU12" i="6"/>
  <c r="AU13" i="6"/>
  <c r="AU14" i="6"/>
  <c r="AU15" i="6"/>
  <c r="AU16" i="6"/>
  <c r="AU17" i="6"/>
  <c r="AU18" i="6"/>
  <c r="AU19" i="6"/>
  <c r="AU20" i="6"/>
  <c r="AU33" i="6"/>
  <c r="AU2" i="6"/>
  <c r="AN14" i="8"/>
  <c r="AS19" i="8"/>
  <c r="AS38" i="8"/>
  <c r="AR2" i="7"/>
  <c r="AQ8" i="7"/>
  <c r="AR52" i="8" s="1"/>
  <c r="AQ5" i="7"/>
  <c r="AR51" i="8" s="1"/>
  <c r="AQ16" i="7"/>
  <c r="AQ19" i="7" s="1"/>
  <c r="AS18" i="8"/>
  <c r="AS17" i="8"/>
  <c r="AT17" i="8" s="1"/>
  <c r="AR18" i="7"/>
  <c r="AR14" i="7"/>
  <c r="AR17" i="7" s="1"/>
  <c r="AR15" i="7"/>
  <c r="AS16" i="8"/>
  <c r="AS21" i="8"/>
  <c r="AS20" i="8"/>
  <c r="AT20" i="8" s="1"/>
  <c r="AS23" i="8"/>
  <c r="AT21" i="6"/>
  <c r="AS45" i="6"/>
  <c r="AS49" i="6" s="1"/>
  <c r="AO45" i="8" s="1"/>
  <c r="T67" i="8"/>
  <c r="T6" i="7"/>
  <c r="T9" i="7" s="1"/>
  <c r="U4" i="7" s="1"/>
  <c r="U51" i="8"/>
  <c r="U54" i="8" s="1"/>
  <c r="AS64" i="8"/>
  <c r="AR40" i="8"/>
  <c r="AR39" i="8"/>
  <c r="AS50" i="8"/>
  <c r="AS31" i="8"/>
  <c r="AS34" i="8"/>
  <c r="AS36" i="8"/>
  <c r="AS35" i="8"/>
  <c r="AS30" i="8"/>
  <c r="AS32" i="8"/>
  <c r="AS29" i="8"/>
  <c r="AS33" i="8"/>
  <c r="AS2" i="8"/>
  <c r="AT1" i="8"/>
  <c r="AS12" i="7"/>
  <c r="AF47" i="8" l="1"/>
  <c r="AG11" i="8"/>
  <c r="AG26" i="8" s="1"/>
  <c r="AG37" i="8" s="1"/>
  <c r="AG41" i="8" s="1"/>
  <c r="AG43" i="8" s="1"/>
  <c r="AH8" i="8"/>
  <c r="AH10" i="8"/>
  <c r="AH9" i="8"/>
  <c r="AH7" i="8"/>
  <c r="BL3" i="2"/>
  <c r="BK5" i="2"/>
  <c r="AI6" i="8" s="1"/>
  <c r="AK22" i="8"/>
  <c r="AJ24" i="8"/>
  <c r="AS18" i="7"/>
  <c r="AS14" i="7"/>
  <c r="AS17" i="7" s="1"/>
  <c r="AS15" i="7"/>
  <c r="AT21" i="8"/>
  <c r="AT19" i="8"/>
  <c r="AW1" i="6"/>
  <c r="AV40" i="6"/>
  <c r="AV39" i="6"/>
  <c r="AV37" i="6"/>
  <c r="AV36" i="6"/>
  <c r="AV35" i="6"/>
  <c r="AV38" i="6"/>
  <c r="AV34" i="6"/>
  <c r="AV27" i="6"/>
  <c r="AV32" i="6"/>
  <c r="AV30" i="6"/>
  <c r="AV6" i="6"/>
  <c r="AV7" i="6"/>
  <c r="AV8" i="6"/>
  <c r="AV9" i="6"/>
  <c r="AV28" i="6"/>
  <c r="AV26" i="6"/>
  <c r="AV33" i="6"/>
  <c r="AV31" i="6"/>
  <c r="AV29" i="6"/>
  <c r="AV14" i="6"/>
  <c r="AV15" i="6"/>
  <c r="AV20" i="6"/>
  <c r="AV5" i="6"/>
  <c r="AV13" i="6"/>
  <c r="AV16" i="6"/>
  <c r="AV19" i="6"/>
  <c r="AV25" i="6"/>
  <c r="AV10" i="6"/>
  <c r="AV11" i="6"/>
  <c r="AV12" i="6"/>
  <c r="AV17" i="6"/>
  <c r="AV18" i="6"/>
  <c r="AV2" i="6"/>
  <c r="AR16" i="7"/>
  <c r="AR19" i="7" s="1"/>
  <c r="AT45" i="6"/>
  <c r="AT49" i="6" s="1"/>
  <c r="AP45" i="8" s="1"/>
  <c r="AT16" i="8"/>
  <c r="AT18" i="8"/>
  <c r="AU21" i="6"/>
  <c r="AU41" i="6"/>
  <c r="AT23" i="8"/>
  <c r="AS2" i="7"/>
  <c r="AR8" i="7"/>
  <c r="AS52" i="8" s="1"/>
  <c r="AR5" i="7"/>
  <c r="AS51" i="8" s="1"/>
  <c r="AO14" i="8"/>
  <c r="AT15" i="8"/>
  <c r="U55" i="8"/>
  <c r="U59" i="8" s="1"/>
  <c r="U70" i="8" s="1"/>
  <c r="V69" i="8" s="1"/>
  <c r="U7" i="7"/>
  <c r="U5" i="7"/>
  <c r="AS65" i="8"/>
  <c r="AS53" i="8"/>
  <c r="AT64" i="8"/>
  <c r="AT65" i="8" s="1"/>
  <c r="AS40" i="8"/>
  <c r="AS39" i="8"/>
  <c r="AT30" i="8"/>
  <c r="AT50" i="8"/>
  <c r="AT53" i="8" s="1"/>
  <c r="AT34" i="8"/>
  <c r="AT36" i="8"/>
  <c r="AT31" i="8"/>
  <c r="AT35" i="8"/>
  <c r="AT32" i="8"/>
  <c r="AT29" i="8"/>
  <c r="AT33" i="8"/>
  <c r="AT2" i="8"/>
  <c r="AT38" i="8" s="1"/>
  <c r="AU1" i="8"/>
  <c r="AU20" i="8" s="1"/>
  <c r="AT12" i="7"/>
  <c r="AG47" i="8" l="1"/>
  <c r="AH11" i="8"/>
  <c r="AH26" i="8" s="1"/>
  <c r="AH37" i="8" s="1"/>
  <c r="AH41" i="8" s="1"/>
  <c r="AH43" i="8" s="1"/>
  <c r="AL22" i="8"/>
  <c r="AK24" i="8"/>
  <c r="AI10" i="8"/>
  <c r="AI7" i="8"/>
  <c r="AI9" i="8"/>
  <c r="AI8" i="8"/>
  <c r="BL5" i="2"/>
  <c r="AJ6" i="8" s="1"/>
  <c r="BM3" i="2"/>
  <c r="AX1" i="6"/>
  <c r="AW39" i="6"/>
  <c r="AW38" i="6"/>
  <c r="AW37" i="6"/>
  <c r="AW36" i="6"/>
  <c r="AW40" i="6"/>
  <c r="AW34" i="6"/>
  <c r="AW35" i="6"/>
  <c r="AW33" i="6"/>
  <c r="AW32" i="6"/>
  <c r="AW31" i="6"/>
  <c r="AW30" i="6"/>
  <c r="AW29" i="6"/>
  <c r="AW28" i="6"/>
  <c r="AW26" i="6"/>
  <c r="AW6" i="6"/>
  <c r="AW7" i="6"/>
  <c r="AW8" i="6"/>
  <c r="AW9" i="6"/>
  <c r="AW10" i="6"/>
  <c r="AW27" i="6"/>
  <c r="AW25" i="6"/>
  <c r="AW11" i="6"/>
  <c r="AW12" i="6"/>
  <c r="AW13" i="6"/>
  <c r="AW14" i="6"/>
  <c r="AW15" i="6"/>
  <c r="AW16" i="6"/>
  <c r="AW17" i="6"/>
  <c r="AW18" i="6"/>
  <c r="AW19" i="6"/>
  <c r="AW20" i="6"/>
  <c r="AW5" i="6"/>
  <c r="AW2" i="6"/>
  <c r="AS16" i="7"/>
  <c r="AS19" i="7" s="1"/>
  <c r="AP14" i="8"/>
  <c r="AU16" i="8"/>
  <c r="AV41" i="6"/>
  <c r="AV21" i="6"/>
  <c r="AU19" i="8"/>
  <c r="AU23" i="8"/>
  <c r="AU21" i="8"/>
  <c r="AT2" i="7"/>
  <c r="AS8" i="7"/>
  <c r="AT52" i="8" s="1"/>
  <c r="AS5" i="7"/>
  <c r="AT51" i="8" s="1"/>
  <c r="AU18" i="8"/>
  <c r="AT14" i="7"/>
  <c r="AT17" i="7" s="1"/>
  <c r="AT18" i="7"/>
  <c r="AT15" i="7"/>
  <c r="AU15" i="8"/>
  <c r="AU45" i="6"/>
  <c r="AU49" i="6" s="1"/>
  <c r="AQ45" i="8" s="1"/>
  <c r="AU17" i="8"/>
  <c r="U67" i="8"/>
  <c r="U6" i="7"/>
  <c r="U9" i="7" s="1"/>
  <c r="V4" i="7" s="1"/>
  <c r="V51" i="8"/>
  <c r="V54" i="8" s="1"/>
  <c r="AU64" i="8"/>
  <c r="AU65" i="8" s="1"/>
  <c r="AT40" i="8"/>
  <c r="AT39" i="8"/>
  <c r="AU50" i="8"/>
  <c r="AU30" i="8"/>
  <c r="AU32" i="8"/>
  <c r="AU31" i="8"/>
  <c r="AU33" i="8"/>
  <c r="AU35" i="8"/>
  <c r="AU34" i="8"/>
  <c r="AU36" i="8"/>
  <c r="AU29" i="8"/>
  <c r="AU2" i="8"/>
  <c r="AU38" i="8" s="1"/>
  <c r="AV1" i="8"/>
  <c r="AU12" i="7"/>
  <c r="AH47" i="8" l="1"/>
  <c r="AI11" i="8"/>
  <c r="AI26" i="8" s="1"/>
  <c r="AI37" i="8" s="1"/>
  <c r="AI41" i="8" s="1"/>
  <c r="AI43" i="8" s="1"/>
  <c r="AJ7" i="8"/>
  <c r="AJ8" i="8"/>
  <c r="AJ10" i="8"/>
  <c r="AJ9" i="8"/>
  <c r="BN3" i="2"/>
  <c r="BM5" i="2"/>
  <c r="AK6" i="8" s="1"/>
  <c r="AM22" i="8"/>
  <c r="AL24" i="8"/>
  <c r="AU2" i="7"/>
  <c r="AT8" i="7"/>
  <c r="AU52" i="8" s="1"/>
  <c r="AT5" i="7"/>
  <c r="AU51" i="8" s="1"/>
  <c r="AV18" i="8"/>
  <c r="AV21" i="8"/>
  <c r="AV19" i="8"/>
  <c r="AW41" i="6"/>
  <c r="AT16" i="7"/>
  <c r="AT19" i="7" s="1"/>
  <c r="AV23" i="8"/>
  <c r="AW23" i="8" s="1"/>
  <c r="AV45" i="6"/>
  <c r="AV49" i="6" s="1"/>
  <c r="AR45" i="8" s="1"/>
  <c r="AW21" i="6"/>
  <c r="AY1" i="6"/>
  <c r="AX36" i="6"/>
  <c r="AX37" i="6"/>
  <c r="AX40" i="6"/>
  <c r="AX38" i="6"/>
  <c r="AX39" i="6"/>
  <c r="AX35" i="6"/>
  <c r="AX34" i="6"/>
  <c r="AX33" i="6"/>
  <c r="AX32" i="6"/>
  <c r="AX31" i="6"/>
  <c r="AX30" i="6"/>
  <c r="AX29" i="6"/>
  <c r="AX28" i="6"/>
  <c r="AX26" i="6"/>
  <c r="AX27" i="6"/>
  <c r="AX25" i="6"/>
  <c r="AX6" i="6"/>
  <c r="AX7" i="6"/>
  <c r="AX8" i="6"/>
  <c r="AX9" i="6"/>
  <c r="AX10" i="6"/>
  <c r="AX11" i="6"/>
  <c r="AX12" i="6"/>
  <c r="AX13" i="6"/>
  <c r="AX14" i="6"/>
  <c r="AX15" i="6"/>
  <c r="AX16" i="6"/>
  <c r="AX17" i="6"/>
  <c r="AX18" i="6"/>
  <c r="AX19" i="6"/>
  <c r="AX20" i="6"/>
  <c r="AX5" i="6"/>
  <c r="AX2" i="6"/>
  <c r="AV16" i="8"/>
  <c r="AU18" i="7"/>
  <c r="AU14" i="7"/>
  <c r="AU17" i="7" s="1"/>
  <c r="AU15" i="7"/>
  <c r="AV17" i="8"/>
  <c r="AW17" i="8" s="1"/>
  <c r="AV15" i="8"/>
  <c r="AQ14" i="8"/>
  <c r="AV20" i="8"/>
  <c r="V55" i="8"/>
  <c r="V59" i="8" s="1"/>
  <c r="V70" i="8" s="1"/>
  <c r="W69" i="8" s="1"/>
  <c r="V7" i="7"/>
  <c r="V5" i="7"/>
  <c r="AU53" i="8"/>
  <c r="AV64" i="8"/>
  <c r="AV65" i="8" s="1"/>
  <c r="AV50" i="8"/>
  <c r="AV53" i="8" s="1"/>
  <c r="AV30" i="8"/>
  <c r="AV32" i="8"/>
  <c r="AV31" i="8"/>
  <c r="AV33" i="8"/>
  <c r="AV35" i="8"/>
  <c r="AV36" i="8"/>
  <c r="AV29" i="8"/>
  <c r="AV34" i="8"/>
  <c r="AU40" i="8"/>
  <c r="AU39" i="8"/>
  <c r="AV2" i="8"/>
  <c r="AV38" i="8" s="1"/>
  <c r="AW1" i="8"/>
  <c r="AV12" i="7"/>
  <c r="AI47" i="8" l="1"/>
  <c r="AJ11" i="8"/>
  <c r="AJ26" i="8" s="1"/>
  <c r="AJ37" i="8" s="1"/>
  <c r="AJ41" i="8" s="1"/>
  <c r="AJ43" i="8" s="1"/>
  <c r="AN22" i="8"/>
  <c r="AM24" i="8"/>
  <c r="AK9" i="8"/>
  <c r="AK7" i="8"/>
  <c r="AK8" i="8"/>
  <c r="AK10" i="8"/>
  <c r="BN5" i="2"/>
  <c r="AL6" i="8" s="1"/>
  <c r="BO3" i="2"/>
  <c r="AX21" i="6"/>
  <c r="AX41" i="6"/>
  <c r="AZ1" i="6"/>
  <c r="AY38" i="6"/>
  <c r="AY37" i="6"/>
  <c r="AY36" i="6"/>
  <c r="AY39" i="6"/>
  <c r="AY35" i="6"/>
  <c r="AY34" i="6"/>
  <c r="AY28" i="6"/>
  <c r="AY40" i="6"/>
  <c r="AY27" i="6"/>
  <c r="AY25" i="6"/>
  <c r="AY33" i="6"/>
  <c r="AY31" i="6"/>
  <c r="AY29" i="6"/>
  <c r="AY32" i="6"/>
  <c r="AY10" i="6"/>
  <c r="AY5" i="6"/>
  <c r="AY26" i="6"/>
  <c r="AY6" i="6"/>
  <c r="AY8" i="6"/>
  <c r="AY9" i="6"/>
  <c r="AY11" i="6"/>
  <c r="AY12" i="6"/>
  <c r="AY13" i="6"/>
  <c r="AY14" i="6"/>
  <c r="AY15" i="6"/>
  <c r="AY16" i="6"/>
  <c r="AY17" i="6"/>
  <c r="AY18" i="6"/>
  <c r="AY19" i="6"/>
  <c r="AY20" i="6"/>
  <c r="AY30" i="6"/>
  <c r="AY7" i="6"/>
  <c r="AY2" i="6"/>
  <c r="AW18" i="8"/>
  <c r="AV14" i="7"/>
  <c r="AV17" i="7" s="1"/>
  <c r="AV18" i="7"/>
  <c r="AV15" i="7"/>
  <c r="AR14" i="8"/>
  <c r="AW45" i="6"/>
  <c r="AW49" i="6" s="1"/>
  <c r="AS45" i="8" s="1"/>
  <c r="AW16" i="8"/>
  <c r="AW19" i="8"/>
  <c r="AW20" i="8"/>
  <c r="AW15" i="8"/>
  <c r="AU16" i="7"/>
  <c r="AU19" i="7" s="1"/>
  <c r="AW21" i="8"/>
  <c r="AV2" i="7"/>
  <c r="AU8" i="7"/>
  <c r="AV52" i="8" s="1"/>
  <c r="AU5" i="7"/>
  <c r="AV51" i="8" s="1"/>
  <c r="V67" i="8"/>
  <c r="V6" i="7"/>
  <c r="V9" i="7" s="1"/>
  <c r="W4" i="7" s="1"/>
  <c r="W51" i="8"/>
  <c r="AW64" i="8"/>
  <c r="AW65" i="8" s="1"/>
  <c r="AW50" i="8"/>
  <c r="AW53" i="8" s="1"/>
  <c r="AW30" i="8"/>
  <c r="AW31" i="8"/>
  <c r="AW33" i="8"/>
  <c r="AW35" i="8"/>
  <c r="AW34" i="8"/>
  <c r="AW32" i="8"/>
  <c r="AW36" i="8"/>
  <c r="AW29" i="8"/>
  <c r="AV40" i="8"/>
  <c r="AV39" i="8"/>
  <c r="AX1" i="8"/>
  <c r="AX17" i="8" s="1"/>
  <c r="AW2" i="8"/>
  <c r="AW38" i="8" s="1"/>
  <c r="AW12" i="7"/>
  <c r="AJ47" i="8" l="1"/>
  <c r="W55" i="8"/>
  <c r="W59" i="8" s="1"/>
  <c r="W67" i="8" s="1"/>
  <c r="W54" i="8"/>
  <c r="AK11" i="8"/>
  <c r="AK26" i="8" s="1"/>
  <c r="AK37" i="8" s="1"/>
  <c r="AK41" i="8" s="1"/>
  <c r="AK43" i="8" s="1"/>
  <c r="AL9" i="8"/>
  <c r="AL7" i="8"/>
  <c r="AL10" i="8"/>
  <c r="AL8" i="8"/>
  <c r="BP3" i="2"/>
  <c r="BO5" i="2"/>
  <c r="AM6" i="8" s="1"/>
  <c r="AO22" i="8"/>
  <c r="AN24" i="8"/>
  <c r="AX45" i="6"/>
  <c r="AX49" i="6" s="1"/>
  <c r="AT45" i="8" s="1"/>
  <c r="AV16" i="7"/>
  <c r="AV19" i="7" s="1"/>
  <c r="AX20" i="8"/>
  <c r="AX18" i="8"/>
  <c r="AX23" i="8"/>
  <c r="AY41" i="6"/>
  <c r="AW18" i="7"/>
  <c r="AW14" i="7"/>
  <c r="AW17" i="7" s="1"/>
  <c r="AW15" i="7"/>
  <c r="AW2" i="7"/>
  <c r="AV8" i="7"/>
  <c r="AW52" i="8" s="1"/>
  <c r="AV5" i="7"/>
  <c r="AW51" i="8" s="1"/>
  <c r="AX19" i="8"/>
  <c r="AY21" i="6"/>
  <c r="BA1" i="6"/>
  <c r="AZ40" i="6"/>
  <c r="AZ39" i="6"/>
  <c r="AZ38" i="6"/>
  <c r="AZ35" i="6"/>
  <c r="AZ37" i="6"/>
  <c r="AZ27" i="6"/>
  <c r="AZ33" i="6"/>
  <c r="AZ31" i="6"/>
  <c r="AZ29" i="6"/>
  <c r="AZ6" i="6"/>
  <c r="AZ7" i="6"/>
  <c r="AZ8" i="6"/>
  <c r="AZ9" i="6"/>
  <c r="AZ34" i="6"/>
  <c r="AZ36" i="6"/>
  <c r="AZ32" i="6"/>
  <c r="AZ30" i="6"/>
  <c r="AZ26" i="6"/>
  <c r="AZ11" i="6"/>
  <c r="AZ17" i="6"/>
  <c r="AZ19" i="6"/>
  <c r="AZ28" i="6"/>
  <c r="AZ25" i="6"/>
  <c r="AZ10" i="6"/>
  <c r="AZ5" i="6"/>
  <c r="AZ12" i="6"/>
  <c r="AZ15" i="6"/>
  <c r="AZ18" i="6"/>
  <c r="AZ13" i="6"/>
  <c r="AZ14" i="6"/>
  <c r="AZ16" i="6"/>
  <c r="AZ20" i="6"/>
  <c r="AZ2" i="6"/>
  <c r="AX16" i="8"/>
  <c r="AX21" i="8"/>
  <c r="AX15" i="8"/>
  <c r="AS14" i="8"/>
  <c r="W7" i="7"/>
  <c r="W5" i="7"/>
  <c r="AX64" i="8"/>
  <c r="AX65" i="8" s="1"/>
  <c r="AW39" i="8"/>
  <c r="AW40" i="8"/>
  <c r="AX50" i="8"/>
  <c r="AX53" i="8" s="1"/>
  <c r="AX31" i="8"/>
  <c r="AX32" i="8"/>
  <c r="AX33" i="8"/>
  <c r="AX35" i="8"/>
  <c r="AX29" i="8"/>
  <c r="AX34" i="8"/>
  <c r="AX30" i="8"/>
  <c r="AX36" i="8"/>
  <c r="AY1" i="8"/>
  <c r="AX2" i="8"/>
  <c r="AX38" i="8" s="1"/>
  <c r="AX12" i="7"/>
  <c r="W70" i="8" l="1"/>
  <c r="X69" i="8" s="1"/>
  <c r="AK47" i="8"/>
  <c r="AL11" i="8"/>
  <c r="AL26" i="8" s="1"/>
  <c r="AL37" i="8" s="1"/>
  <c r="AL41" i="8" s="1"/>
  <c r="AL43" i="8" s="1"/>
  <c r="AP22" i="8"/>
  <c r="AO24" i="8"/>
  <c r="AM10" i="8"/>
  <c r="AM7" i="8"/>
  <c r="AM9" i="8"/>
  <c r="AM8" i="8"/>
  <c r="BP5" i="2"/>
  <c r="AN6" i="8" s="1"/>
  <c r="BQ3" i="2"/>
  <c r="AZ41" i="6"/>
  <c r="AY38" i="8"/>
  <c r="AY15" i="8"/>
  <c r="AY19" i="8"/>
  <c r="AY18" i="8"/>
  <c r="AY45" i="6"/>
  <c r="AY49" i="6" s="1"/>
  <c r="AU45" i="8" s="1"/>
  <c r="AX2" i="7"/>
  <c r="AW8" i="7"/>
  <c r="AX52" i="8" s="1"/>
  <c r="AW5" i="7"/>
  <c r="AX51" i="8" s="1"/>
  <c r="AY21" i="8"/>
  <c r="AZ21" i="6"/>
  <c r="AW16" i="7"/>
  <c r="AW19" i="7" s="1"/>
  <c r="AY23" i="8"/>
  <c r="AZ23" i="8" s="1"/>
  <c r="AY20" i="8"/>
  <c r="AX18" i="7"/>
  <c r="AX15" i="7"/>
  <c r="AX14" i="7"/>
  <c r="AX17" i="7" s="1"/>
  <c r="AT14" i="8"/>
  <c r="AY16" i="8"/>
  <c r="BB1" i="6"/>
  <c r="BA39" i="6"/>
  <c r="BA38" i="6"/>
  <c r="BA37" i="6"/>
  <c r="BA40" i="6"/>
  <c r="BA34" i="6"/>
  <c r="BA36" i="6"/>
  <c r="BA33" i="6"/>
  <c r="BA32" i="6"/>
  <c r="BA31" i="6"/>
  <c r="BA30" i="6"/>
  <c r="BA29" i="6"/>
  <c r="BA26" i="6"/>
  <c r="BA6" i="6"/>
  <c r="BA7" i="6"/>
  <c r="BA8" i="6"/>
  <c r="BA9" i="6"/>
  <c r="BA10" i="6"/>
  <c r="BA28" i="6"/>
  <c r="BA25" i="6"/>
  <c r="BA27" i="6"/>
  <c r="BA11" i="6"/>
  <c r="BA12" i="6"/>
  <c r="BA13" i="6"/>
  <c r="BA14" i="6"/>
  <c r="BA15" i="6"/>
  <c r="BA16" i="6"/>
  <c r="BA17" i="6"/>
  <c r="BA18" i="6"/>
  <c r="BA19" i="6"/>
  <c r="BA20" i="6"/>
  <c r="BA35" i="6"/>
  <c r="BA5" i="6"/>
  <c r="BA2" i="6"/>
  <c r="AY17" i="8"/>
  <c r="X51" i="8"/>
  <c r="X54" i="8" s="1"/>
  <c r="W6" i="7"/>
  <c r="W9" i="7" s="1"/>
  <c r="X4" i="7" s="1"/>
  <c r="AY64" i="8"/>
  <c r="AY65" i="8" s="1"/>
  <c r="AX39" i="8"/>
  <c r="AX40" i="8"/>
  <c r="AY50" i="8"/>
  <c r="AY53" i="8" s="1"/>
  <c r="AY31" i="8"/>
  <c r="AY30" i="8"/>
  <c r="AY32" i="8"/>
  <c r="AY34" i="8"/>
  <c r="AY36" i="8"/>
  <c r="AY33" i="8"/>
  <c r="AY35" i="8"/>
  <c r="AY29" i="8"/>
  <c r="AZ1" i="8"/>
  <c r="AY2" i="8"/>
  <c r="AY12" i="7"/>
  <c r="AL47" i="8" l="1"/>
  <c r="AM11" i="8"/>
  <c r="AM26" i="8" s="1"/>
  <c r="AM37" i="8" s="1"/>
  <c r="AM41" i="8" s="1"/>
  <c r="AM43" i="8" s="1"/>
  <c r="AN10" i="8"/>
  <c r="AN9" i="8"/>
  <c r="AN7" i="8"/>
  <c r="AN8" i="8"/>
  <c r="BR3" i="2"/>
  <c r="BQ5" i="2"/>
  <c r="AO6" i="8" s="1"/>
  <c r="AQ22" i="8"/>
  <c r="AP24" i="8"/>
  <c r="AX16" i="7"/>
  <c r="AX19" i="7" s="1"/>
  <c r="AY14" i="7" s="1"/>
  <c r="AY17" i="7" s="1"/>
  <c r="AY18" i="7"/>
  <c r="AY15" i="7"/>
  <c r="AU14" i="8"/>
  <c r="AZ18" i="8"/>
  <c r="BA21" i="6"/>
  <c r="BC1" i="6"/>
  <c r="BB36" i="6"/>
  <c r="BB39" i="6"/>
  <c r="BB40" i="6"/>
  <c r="BB38" i="6"/>
  <c r="BB33" i="6"/>
  <c r="BB32" i="6"/>
  <c r="BB31" i="6"/>
  <c r="BB30" i="6"/>
  <c r="BB29" i="6"/>
  <c r="BB35" i="6"/>
  <c r="BB34" i="6"/>
  <c r="BB28" i="6"/>
  <c r="BB26" i="6"/>
  <c r="BB25" i="6"/>
  <c r="BB27" i="6"/>
  <c r="BB6" i="6"/>
  <c r="BB7" i="6"/>
  <c r="BB8" i="6"/>
  <c r="BB9" i="6"/>
  <c r="BB10" i="6"/>
  <c r="BB11" i="6"/>
  <c r="BB12" i="6"/>
  <c r="BB13" i="6"/>
  <c r="BB14" i="6"/>
  <c r="BB15" i="6"/>
  <c r="BB16" i="6"/>
  <c r="BB17" i="6"/>
  <c r="BB18" i="6"/>
  <c r="BB19" i="6"/>
  <c r="BB20" i="6"/>
  <c r="BB5" i="6"/>
  <c r="BB37" i="6"/>
  <c r="BB2" i="6"/>
  <c r="AZ45" i="6"/>
  <c r="AZ49" i="6" s="1"/>
  <c r="AV45" i="8" s="1"/>
  <c r="AY2" i="7"/>
  <c r="AX5" i="7"/>
  <c r="AY51" i="8" s="1"/>
  <c r="AZ19" i="8"/>
  <c r="AZ17" i="8"/>
  <c r="BA41" i="6"/>
  <c r="AZ16" i="8"/>
  <c r="AZ20" i="8"/>
  <c r="AZ21" i="8"/>
  <c r="AZ15" i="8"/>
  <c r="X7" i="7"/>
  <c r="X5" i="7"/>
  <c r="X55" i="8"/>
  <c r="X59" i="8" s="1"/>
  <c r="X70" i="8" s="1"/>
  <c r="Y69" i="8" s="1"/>
  <c r="AZ64" i="8"/>
  <c r="AY39" i="8"/>
  <c r="AY40" i="8"/>
  <c r="AZ50" i="8"/>
  <c r="AZ31" i="8"/>
  <c r="AZ30" i="8"/>
  <c r="AZ32" i="8"/>
  <c r="AZ34" i="8"/>
  <c r="AZ36" i="8"/>
  <c r="AZ35" i="8"/>
  <c r="AZ29" i="8"/>
  <c r="AZ33" i="8"/>
  <c r="BA1" i="8"/>
  <c r="BA23" i="8" s="1"/>
  <c r="AZ2" i="8"/>
  <c r="AZ38" i="8" s="1"/>
  <c r="AZ12" i="7"/>
  <c r="AM47" i="8" l="1"/>
  <c r="AN11" i="8"/>
  <c r="AN26" i="8" s="1"/>
  <c r="AN37" i="8" s="1"/>
  <c r="AN41" i="8" s="1"/>
  <c r="AN43" i="8" s="1"/>
  <c r="AR22" i="8"/>
  <c r="AQ24" i="8"/>
  <c r="AO10" i="8"/>
  <c r="AO7" i="8"/>
  <c r="AO8" i="8"/>
  <c r="AO9" i="8"/>
  <c r="BR5" i="2"/>
  <c r="AP6" i="8" s="1"/>
  <c r="BS3" i="2"/>
  <c r="BB21" i="6"/>
  <c r="BA17" i="8"/>
  <c r="BA45" i="6"/>
  <c r="BA49" i="6" s="1"/>
  <c r="AW45" i="8" s="1"/>
  <c r="BA20" i="8"/>
  <c r="BB41" i="6"/>
  <c r="BB45" i="6" s="1"/>
  <c r="AV14" i="8"/>
  <c r="BA21" i="8"/>
  <c r="BB21" i="8" s="1"/>
  <c r="AZ2" i="7"/>
  <c r="AY8" i="7"/>
  <c r="AZ52" i="8" s="1"/>
  <c r="AY5" i="7"/>
  <c r="AZ51" i="8" s="1"/>
  <c r="BA38" i="8"/>
  <c r="BA16" i="8"/>
  <c r="BA19" i="8"/>
  <c r="BA18" i="8"/>
  <c r="AY16" i="7"/>
  <c r="AY19" i="7" s="1"/>
  <c r="AZ14" i="7" s="1"/>
  <c r="AZ17" i="7" s="1"/>
  <c r="AZ18" i="7"/>
  <c r="AZ15" i="7"/>
  <c r="BA15" i="8"/>
  <c r="BB15" i="8" s="1"/>
  <c r="BD1" i="6"/>
  <c r="BC37" i="6"/>
  <c r="BC36" i="6"/>
  <c r="BC39" i="6"/>
  <c r="BC40" i="6"/>
  <c r="BC38" i="6"/>
  <c r="BC35" i="6"/>
  <c r="BC34" i="6"/>
  <c r="BC28" i="6"/>
  <c r="BC26" i="6"/>
  <c r="BC25" i="6"/>
  <c r="BC32" i="6"/>
  <c r="BC30" i="6"/>
  <c r="BC27" i="6"/>
  <c r="BC29" i="6"/>
  <c r="BC7" i="6"/>
  <c r="BC5" i="6"/>
  <c r="BC31" i="6"/>
  <c r="BC33" i="6"/>
  <c r="BC6" i="6"/>
  <c r="BC8" i="6"/>
  <c r="BC10" i="6"/>
  <c r="BC11" i="6"/>
  <c r="BC12" i="6"/>
  <c r="BC13" i="6"/>
  <c r="BC14" i="6"/>
  <c r="BC15" i="6"/>
  <c r="BC16" i="6"/>
  <c r="BC17" i="6"/>
  <c r="BC18" i="6"/>
  <c r="BC19" i="6"/>
  <c r="BC20" i="6"/>
  <c r="BC9" i="6"/>
  <c r="BC2" i="6"/>
  <c r="X67" i="8"/>
  <c r="X6" i="7"/>
  <c r="X9" i="7" s="1"/>
  <c r="Y4" i="7" s="1"/>
  <c r="Y51" i="8"/>
  <c r="Y54" i="8" s="1"/>
  <c r="AZ65" i="8"/>
  <c r="AZ53" i="8"/>
  <c r="BA64" i="8"/>
  <c r="BA65" i="8" s="1"/>
  <c r="AZ40" i="8"/>
  <c r="AZ39" i="8"/>
  <c r="BA50" i="8"/>
  <c r="BA53" i="8" s="1"/>
  <c r="BA31" i="8"/>
  <c r="BA32" i="8"/>
  <c r="BA34" i="8"/>
  <c r="BA36" i="8"/>
  <c r="BA30" i="8"/>
  <c r="BA35" i="8"/>
  <c r="BA29" i="8"/>
  <c r="BA33" i="8"/>
  <c r="BA2" i="8"/>
  <c r="BB1" i="8"/>
  <c r="BA12" i="7"/>
  <c r="AN47" i="8" l="1"/>
  <c r="AN55" i="8" s="1"/>
  <c r="AN54" i="8"/>
  <c r="AO11" i="8"/>
  <c r="AO26" i="8" s="1"/>
  <c r="AO37" i="8" s="1"/>
  <c r="AO41" i="8" s="1"/>
  <c r="AO43" i="8" s="1"/>
  <c r="AP9" i="8"/>
  <c r="AP8" i="8"/>
  <c r="AP10" i="8"/>
  <c r="AP7" i="8"/>
  <c r="BS5" i="2"/>
  <c r="AQ6" i="8" s="1"/>
  <c r="BT3" i="2"/>
  <c r="AS22" i="8"/>
  <c r="AR24" i="8"/>
  <c r="BC41" i="6"/>
  <c r="AZ16" i="7"/>
  <c r="AZ19" i="7" s="1"/>
  <c r="BA18" i="7"/>
  <c r="BA15" i="7"/>
  <c r="BB49" i="6"/>
  <c r="AX45" i="8" s="1"/>
  <c r="BB18" i="8"/>
  <c r="BB20" i="8"/>
  <c r="BC21" i="6"/>
  <c r="BE1" i="6"/>
  <c r="BD40" i="6"/>
  <c r="BD38" i="6"/>
  <c r="BD37" i="6"/>
  <c r="BD36" i="6"/>
  <c r="BD35" i="6"/>
  <c r="BD34" i="6"/>
  <c r="BD27" i="6"/>
  <c r="BD32" i="6"/>
  <c r="BD30" i="6"/>
  <c r="BD6" i="6"/>
  <c r="BD7" i="6"/>
  <c r="BD8" i="6"/>
  <c r="BD9" i="6"/>
  <c r="BD28" i="6"/>
  <c r="BD39" i="6"/>
  <c r="BD33" i="6"/>
  <c r="BD31" i="6"/>
  <c r="BD29" i="6"/>
  <c r="BD26" i="6"/>
  <c r="BD25" i="6"/>
  <c r="BD13" i="6"/>
  <c r="BD5" i="6"/>
  <c r="BD10" i="6"/>
  <c r="BD11" i="6"/>
  <c r="BD14" i="6"/>
  <c r="BD16" i="6"/>
  <c r="BD17" i="6"/>
  <c r="BD20" i="6"/>
  <c r="BD12" i="6"/>
  <c r="BD15" i="6"/>
  <c r="BD18" i="6"/>
  <c r="BD19" i="6"/>
  <c r="BD2" i="6"/>
  <c r="BA14" i="7"/>
  <c r="BA17" i="7" s="1"/>
  <c r="BB19" i="8"/>
  <c r="AW14" i="8"/>
  <c r="BB17" i="8"/>
  <c r="BB16" i="8"/>
  <c r="BA2" i="7"/>
  <c r="AZ8" i="7"/>
  <c r="BA52" i="8" s="1"/>
  <c r="AZ5" i="7"/>
  <c r="BA51" i="8" s="1"/>
  <c r="BB23" i="8"/>
  <c r="Y55" i="8"/>
  <c r="Y59" i="8" s="1"/>
  <c r="Y70" i="8" s="1"/>
  <c r="Z69" i="8" s="1"/>
  <c r="Y5" i="7"/>
  <c r="Y7" i="7"/>
  <c r="BB64" i="8"/>
  <c r="BA40" i="8"/>
  <c r="BA39" i="8"/>
  <c r="BB50" i="8"/>
  <c r="BB30" i="8"/>
  <c r="BB31" i="8"/>
  <c r="BB32" i="8"/>
  <c r="BB34" i="8"/>
  <c r="BB36" i="8"/>
  <c r="BB33" i="8"/>
  <c r="BB35" i="8"/>
  <c r="BB29" i="8"/>
  <c r="BB2" i="8"/>
  <c r="BB38" i="8" s="1"/>
  <c r="BC1" i="8"/>
  <c r="BC15" i="8" s="1"/>
  <c r="BB12" i="7"/>
  <c r="AO47" i="8" l="1"/>
  <c r="AO55" i="8" s="1"/>
  <c r="AO54" i="8"/>
  <c r="AP11" i="8"/>
  <c r="AP26" i="8" s="1"/>
  <c r="AP37" i="8" s="1"/>
  <c r="AP41" i="8" s="1"/>
  <c r="AP43" i="8" s="1"/>
  <c r="AT22" i="8"/>
  <c r="AS24" i="8"/>
  <c r="BU3" i="2"/>
  <c r="BT5" i="2"/>
  <c r="AR6" i="8" s="1"/>
  <c r="AQ7" i="8"/>
  <c r="AQ10" i="8"/>
  <c r="AQ9" i="8"/>
  <c r="AQ8" i="8"/>
  <c r="BA16" i="7"/>
  <c r="BA19" i="7" s="1"/>
  <c r="BB14" i="7" s="1"/>
  <c r="BB17" i="7" s="1"/>
  <c r="BC17" i="8"/>
  <c r="BD41" i="6"/>
  <c r="BF1" i="6"/>
  <c r="BE39" i="6"/>
  <c r="BE38" i="6"/>
  <c r="BE37" i="6"/>
  <c r="BE40" i="6"/>
  <c r="BE36" i="6"/>
  <c r="BE35" i="6"/>
  <c r="BE34" i="6"/>
  <c r="BE33" i="6"/>
  <c r="BE32" i="6"/>
  <c r="BE31" i="6"/>
  <c r="BE30" i="6"/>
  <c r="BE29" i="6"/>
  <c r="BE28" i="6"/>
  <c r="BE27" i="6"/>
  <c r="BE6" i="6"/>
  <c r="BE7" i="6"/>
  <c r="BE8" i="6"/>
  <c r="BE9" i="6"/>
  <c r="BE10" i="6"/>
  <c r="BE26" i="6"/>
  <c r="BE25" i="6"/>
  <c r="BE11" i="6"/>
  <c r="BE12" i="6"/>
  <c r="BE13" i="6"/>
  <c r="BE14" i="6"/>
  <c r="BE15" i="6"/>
  <c r="BE16" i="6"/>
  <c r="BE17" i="6"/>
  <c r="BE18" i="6"/>
  <c r="BE19" i="6"/>
  <c r="BE20" i="6"/>
  <c r="BE5" i="6"/>
  <c r="BE2" i="6"/>
  <c r="BC18" i="8"/>
  <c r="BC21" i="8"/>
  <c r="BC16" i="8"/>
  <c r="BC45" i="6"/>
  <c r="BC49" i="6" s="1"/>
  <c r="AY45" i="8" s="1"/>
  <c r="BC19" i="8"/>
  <c r="BB18" i="7"/>
  <c r="BB15" i="7"/>
  <c r="BC23" i="8"/>
  <c r="BB2" i="7"/>
  <c r="BA8" i="7"/>
  <c r="BB52" i="8" s="1"/>
  <c r="BA5" i="7"/>
  <c r="BB51" i="8" s="1"/>
  <c r="AX14" i="8"/>
  <c r="BD21" i="6"/>
  <c r="BC20" i="8"/>
  <c r="BD20" i="8" s="1"/>
  <c r="Y6" i="7"/>
  <c r="Y9" i="7" s="1"/>
  <c r="Z4" i="7" s="1"/>
  <c r="Z51" i="8"/>
  <c r="Y67" i="8"/>
  <c r="BB65" i="8"/>
  <c r="BB53" i="8"/>
  <c r="BC64" i="8"/>
  <c r="BC65" i="8" s="1"/>
  <c r="BC50" i="8"/>
  <c r="BC53" i="8" s="1"/>
  <c r="BC30" i="8"/>
  <c r="BC32" i="8"/>
  <c r="BC31" i="8"/>
  <c r="BC33" i="8"/>
  <c r="BC35" i="8"/>
  <c r="BC34" i="8"/>
  <c r="BC36" i="8"/>
  <c r="BC29" i="8"/>
  <c r="BB39" i="8"/>
  <c r="BB40" i="8"/>
  <c r="BC2" i="8"/>
  <c r="BC38" i="8" s="1"/>
  <c r="BD1" i="8"/>
  <c r="BC12" i="7"/>
  <c r="Z55" i="8" l="1"/>
  <c r="Z59" i="8" s="1"/>
  <c r="Z67" i="8" s="1"/>
  <c r="Z54" i="8"/>
  <c r="AP47" i="8"/>
  <c r="AP55" i="8" s="1"/>
  <c r="AP54" i="8"/>
  <c r="AQ11" i="8"/>
  <c r="AQ26" i="8" s="1"/>
  <c r="AQ37" i="8" s="1"/>
  <c r="AQ41" i="8" s="1"/>
  <c r="AQ43" i="8" s="1"/>
  <c r="BU5" i="2"/>
  <c r="AS6" i="8" s="1"/>
  <c r="BV3" i="2"/>
  <c r="AR7" i="8"/>
  <c r="AR8" i="8"/>
  <c r="AR9" i="8"/>
  <c r="AR10" i="8"/>
  <c r="AU22" i="8"/>
  <c r="AT24" i="8"/>
  <c r="BB16" i="7"/>
  <c r="BB19" i="7" s="1"/>
  <c r="BC14" i="7" s="1"/>
  <c r="BC17" i="7" s="1"/>
  <c r="BD45" i="6"/>
  <c r="BD49" i="6" s="1"/>
  <c r="AZ45" i="8" s="1"/>
  <c r="BE41" i="6"/>
  <c r="BD18" i="8"/>
  <c r="BE18" i="8" s="1"/>
  <c r="BD17" i="8"/>
  <c r="BC18" i="7"/>
  <c r="BC15" i="7"/>
  <c r="BC2" i="7"/>
  <c r="BB8" i="7"/>
  <c r="BC52" i="8" s="1"/>
  <c r="BB5" i="7"/>
  <c r="BC51" i="8" s="1"/>
  <c r="BD16" i="8"/>
  <c r="BE21" i="6"/>
  <c r="BG1" i="6"/>
  <c r="BF36" i="6"/>
  <c r="BF40" i="6"/>
  <c r="BF39" i="6"/>
  <c r="BF37" i="6"/>
  <c r="BF38" i="6"/>
  <c r="BF35" i="6"/>
  <c r="BF33" i="6"/>
  <c r="BF32" i="6"/>
  <c r="BF31" i="6"/>
  <c r="BF30" i="6"/>
  <c r="BF29" i="6"/>
  <c r="BF28" i="6"/>
  <c r="BF26" i="6"/>
  <c r="BF34" i="6"/>
  <c r="BF25" i="6"/>
  <c r="BF6" i="6"/>
  <c r="BF7" i="6"/>
  <c r="BF8" i="6"/>
  <c r="BF9" i="6"/>
  <c r="BF10" i="6"/>
  <c r="BF5" i="6"/>
  <c r="BF11" i="6"/>
  <c r="BF12" i="6"/>
  <c r="BF13" i="6"/>
  <c r="BF14" i="6"/>
  <c r="BF15" i="6"/>
  <c r="BF16" i="6"/>
  <c r="BF17" i="6"/>
  <c r="BF18" i="6"/>
  <c r="BF19" i="6"/>
  <c r="BF20" i="6"/>
  <c r="BF27" i="6"/>
  <c r="BF2" i="6"/>
  <c r="AY14" i="8"/>
  <c r="BD23" i="8"/>
  <c r="BD19" i="8"/>
  <c r="BD21" i="8"/>
  <c r="BD15" i="8"/>
  <c r="BE15" i="8" s="1"/>
  <c r="Z7" i="7"/>
  <c r="Z5" i="7"/>
  <c r="Z70" i="8"/>
  <c r="AA69" i="8" s="1"/>
  <c r="BD64" i="8"/>
  <c r="BC40" i="8"/>
  <c r="BC39" i="8"/>
  <c r="BD50" i="8"/>
  <c r="BD30" i="8"/>
  <c r="BD32" i="8"/>
  <c r="BD31" i="8"/>
  <c r="BD33" i="8"/>
  <c r="BD35" i="8"/>
  <c r="BD34" i="8"/>
  <c r="BD36" i="8"/>
  <c r="BD29" i="8"/>
  <c r="BD2" i="8"/>
  <c r="BD38" i="8" s="1"/>
  <c r="BE1" i="8"/>
  <c r="BD12" i="7"/>
  <c r="AQ47" i="8" l="1"/>
  <c r="AQ55" i="8" s="1"/>
  <c r="AQ54" i="8"/>
  <c r="AR11" i="8"/>
  <c r="AR26" i="8" s="1"/>
  <c r="AR37" i="8" s="1"/>
  <c r="AR41" i="8" s="1"/>
  <c r="AR43" i="8" s="1"/>
  <c r="AV22" i="8"/>
  <c r="AU24" i="8"/>
  <c r="BV5" i="2"/>
  <c r="AT6" i="8" s="1"/>
  <c r="BW3" i="2"/>
  <c r="AS9" i="8"/>
  <c r="AS10" i="8"/>
  <c r="AS7" i="8"/>
  <c r="AS8" i="8"/>
  <c r="BC16" i="7"/>
  <c r="BC19" i="7" s="1"/>
  <c r="BE21" i="8"/>
  <c r="AZ14" i="8"/>
  <c r="BF41" i="6"/>
  <c r="BE45" i="6"/>
  <c r="BE49" i="6" s="1"/>
  <c r="BA45" i="8" s="1"/>
  <c r="BD2" i="7"/>
  <c r="BC8" i="7"/>
  <c r="BD52" i="8" s="1"/>
  <c r="BC5" i="7"/>
  <c r="BD51" i="8" s="1"/>
  <c r="BH1" i="6"/>
  <c r="BG38" i="6"/>
  <c r="BG40" i="6"/>
  <c r="BG36" i="6"/>
  <c r="BG28" i="6"/>
  <c r="BG39" i="6"/>
  <c r="BG37" i="6"/>
  <c r="BG34" i="6"/>
  <c r="BG25" i="6"/>
  <c r="BG33" i="6"/>
  <c r="BG31" i="6"/>
  <c r="BG29" i="6"/>
  <c r="BG26" i="6"/>
  <c r="BG35" i="6"/>
  <c r="BG27" i="6"/>
  <c r="BG9" i="6"/>
  <c r="BG10" i="6"/>
  <c r="BG5" i="6"/>
  <c r="BG7" i="6"/>
  <c r="BG30" i="6"/>
  <c r="BG11" i="6"/>
  <c r="BG12" i="6"/>
  <c r="BG13" i="6"/>
  <c r="BG14" i="6"/>
  <c r="BG15" i="6"/>
  <c r="BG16" i="6"/>
  <c r="BG17" i="6"/>
  <c r="BG18" i="6"/>
  <c r="BG19" i="6"/>
  <c r="BG20" i="6"/>
  <c r="BG32" i="6"/>
  <c r="BG6" i="6"/>
  <c r="BG8" i="6"/>
  <c r="BG2" i="6"/>
  <c r="BD14" i="7"/>
  <c r="BD17" i="7" s="1"/>
  <c r="BE19" i="8"/>
  <c r="BF19" i="8" s="1"/>
  <c r="BE16" i="8"/>
  <c r="BD18" i="7"/>
  <c r="BD15" i="7"/>
  <c r="BF15" i="8"/>
  <c r="BE23" i="8"/>
  <c r="BF21" i="6"/>
  <c r="BE17" i="8"/>
  <c r="BE20" i="8"/>
  <c r="BF20" i="8" s="1"/>
  <c r="Z6" i="7"/>
  <c r="Z9" i="7" s="1"/>
  <c r="AA4" i="7" s="1"/>
  <c r="AA51" i="8"/>
  <c r="AA54" i="8" s="1"/>
  <c r="BD65" i="8"/>
  <c r="BD53" i="8"/>
  <c r="BE64" i="8"/>
  <c r="BE65" i="8" s="1"/>
  <c r="BE50" i="8"/>
  <c r="BE53" i="8" s="1"/>
  <c r="BE30" i="8"/>
  <c r="BE31" i="8"/>
  <c r="BE33" i="8"/>
  <c r="BE35" i="8"/>
  <c r="BE32" i="8"/>
  <c r="BE34" i="8"/>
  <c r="BE36" i="8"/>
  <c r="BE29" i="8"/>
  <c r="BD39" i="8"/>
  <c r="BD40" i="8"/>
  <c r="BF1" i="8"/>
  <c r="BE2" i="8"/>
  <c r="BE38" i="8" s="1"/>
  <c r="BE12" i="7"/>
  <c r="AR47" i="8" l="1"/>
  <c r="AR55" i="8" s="1"/>
  <c r="AR54" i="8"/>
  <c r="AS11" i="8"/>
  <c r="AS26" i="8" s="1"/>
  <c r="AS37" i="8" s="1"/>
  <c r="AS41" i="8" s="1"/>
  <c r="AS43" i="8" s="1"/>
  <c r="BX3" i="2"/>
  <c r="BW5" i="2"/>
  <c r="AU6" i="8" s="1"/>
  <c r="AT7" i="8"/>
  <c r="AT8" i="8"/>
  <c r="AT9" i="8"/>
  <c r="AT10" i="8"/>
  <c r="AW22" i="8"/>
  <c r="AV24" i="8"/>
  <c r="BD16" i="7"/>
  <c r="BD19" i="7" s="1"/>
  <c r="BF17" i="8"/>
  <c r="BG17" i="8" s="1"/>
  <c r="BE14" i="7"/>
  <c r="BE17" i="7" s="1"/>
  <c r="BF21" i="8"/>
  <c r="BG41" i="6"/>
  <c r="BI1" i="6"/>
  <c r="BH40" i="6"/>
  <c r="BH37" i="6"/>
  <c r="BH36" i="6"/>
  <c r="BH39" i="6"/>
  <c r="BH35" i="6"/>
  <c r="BH34" i="6"/>
  <c r="BH27" i="6"/>
  <c r="BH38" i="6"/>
  <c r="BH33" i="6"/>
  <c r="BH31" i="6"/>
  <c r="BH29" i="6"/>
  <c r="BH26" i="6"/>
  <c r="BH6" i="6"/>
  <c r="BH7" i="6"/>
  <c r="BH8" i="6"/>
  <c r="BH9" i="6"/>
  <c r="BH32" i="6"/>
  <c r="BH30" i="6"/>
  <c r="BH28" i="6"/>
  <c r="BH15" i="6"/>
  <c r="BH16" i="6"/>
  <c r="BH10" i="6"/>
  <c r="BH5" i="6"/>
  <c r="BH12" i="6"/>
  <c r="BH13" i="6"/>
  <c r="BH18" i="6"/>
  <c r="BH19" i="6"/>
  <c r="BH25" i="6"/>
  <c r="BH11" i="6"/>
  <c r="BH14" i="6"/>
  <c r="BH17" i="6"/>
  <c r="BH20" i="6"/>
  <c r="BH2" i="6"/>
  <c r="BE18" i="7"/>
  <c r="BE15" i="7"/>
  <c r="BF45" i="6"/>
  <c r="BF49" i="6" s="1"/>
  <c r="BB45" i="8" s="1"/>
  <c r="BF16" i="8"/>
  <c r="BG16" i="8" s="1"/>
  <c r="BA14" i="8"/>
  <c r="BF23" i="8"/>
  <c r="BG21" i="6"/>
  <c r="BE2" i="7"/>
  <c r="BD8" i="7"/>
  <c r="BE52" i="8" s="1"/>
  <c r="BD5" i="7"/>
  <c r="BE51" i="8" s="1"/>
  <c r="BF18" i="8"/>
  <c r="AA55" i="8"/>
  <c r="AA59" i="8" s="1"/>
  <c r="AA70" i="8" s="1"/>
  <c r="AB69" i="8" s="1"/>
  <c r="AA5" i="7"/>
  <c r="AA7" i="7"/>
  <c r="BF64" i="8"/>
  <c r="BE39" i="8"/>
  <c r="BE40" i="8"/>
  <c r="BF50" i="8"/>
  <c r="BF31" i="8"/>
  <c r="BF30" i="8"/>
  <c r="BF33" i="8"/>
  <c r="BF35" i="8"/>
  <c r="BF32" i="8"/>
  <c r="BF36" i="8"/>
  <c r="BF29" i="8"/>
  <c r="BF34" i="8"/>
  <c r="BG1" i="8"/>
  <c r="BG15" i="8" s="1"/>
  <c r="BF2" i="8"/>
  <c r="BF38" i="8" s="1"/>
  <c r="BF12" i="7"/>
  <c r="AS47" i="8" l="1"/>
  <c r="AS55" i="8" s="1"/>
  <c r="AS54" i="8"/>
  <c r="AT11" i="8"/>
  <c r="AT26" i="8" s="1"/>
  <c r="AT37" i="8" s="1"/>
  <c r="AT41" i="8" s="1"/>
  <c r="AT43" i="8" s="1"/>
  <c r="BX5" i="2"/>
  <c r="AV6" i="8" s="1"/>
  <c r="BY3" i="2"/>
  <c r="AX22" i="8"/>
  <c r="AW24" i="8"/>
  <c r="AU9" i="8"/>
  <c r="AU8" i="8"/>
  <c r="AU7" i="8"/>
  <c r="AU10" i="8"/>
  <c r="BH21" i="6"/>
  <c r="BB14" i="8"/>
  <c r="BG23" i="8"/>
  <c r="BG19" i="8"/>
  <c r="BF18" i="7"/>
  <c r="BF15" i="7"/>
  <c r="BF2" i="7"/>
  <c r="BE8" i="7"/>
  <c r="BF52" i="8" s="1"/>
  <c r="BE5" i="7"/>
  <c r="BF51" i="8" s="1"/>
  <c r="BG21" i="8"/>
  <c r="BH17" i="8"/>
  <c r="BG18" i="8"/>
  <c r="BG45" i="6"/>
  <c r="BG49" i="6" s="1"/>
  <c r="BC45" i="8" s="1"/>
  <c r="BG20" i="8"/>
  <c r="BE16" i="7"/>
  <c r="BE19" i="7" s="1"/>
  <c r="BF14" i="7" s="1"/>
  <c r="BF17" i="7" s="1"/>
  <c r="BH41" i="6"/>
  <c r="BJ1" i="6"/>
  <c r="BI39" i="6"/>
  <c r="BI38" i="6"/>
  <c r="BI37" i="6"/>
  <c r="BI35" i="6"/>
  <c r="BI34" i="6"/>
  <c r="BI36" i="6"/>
  <c r="BI33" i="6"/>
  <c r="BI32" i="6"/>
  <c r="BI31" i="6"/>
  <c r="BI30" i="6"/>
  <c r="BI29" i="6"/>
  <c r="BI40" i="6"/>
  <c r="BI27" i="6"/>
  <c r="BI6" i="6"/>
  <c r="BI7" i="6"/>
  <c r="BI8" i="6"/>
  <c r="BI9" i="6"/>
  <c r="BI10" i="6"/>
  <c r="BI28" i="6"/>
  <c r="BI25" i="6"/>
  <c r="BI11" i="6"/>
  <c r="BI12" i="6"/>
  <c r="BI13" i="6"/>
  <c r="BI14" i="6"/>
  <c r="BI15" i="6"/>
  <c r="BI16" i="6"/>
  <c r="BI17" i="6"/>
  <c r="BI18" i="6"/>
  <c r="BI19" i="6"/>
  <c r="BI20" i="6"/>
  <c r="BI5" i="6"/>
  <c r="BI26" i="6"/>
  <c r="BI2" i="6"/>
  <c r="AA67" i="8"/>
  <c r="AB51" i="8"/>
  <c r="AB54" i="8" s="1"/>
  <c r="AA6" i="7"/>
  <c r="AA9" i="7" s="1"/>
  <c r="AB4" i="7" s="1"/>
  <c r="BF65" i="8"/>
  <c r="BF53" i="8"/>
  <c r="BG64" i="8"/>
  <c r="BG65" i="8" s="1"/>
  <c r="BG50" i="8"/>
  <c r="BG53" i="8" s="1"/>
  <c r="BG31" i="8"/>
  <c r="BG30" i="8"/>
  <c r="BG32" i="8"/>
  <c r="BG34" i="8"/>
  <c r="BG36" i="8"/>
  <c r="BG33" i="8"/>
  <c r="BG35" i="8"/>
  <c r="BG29" i="8"/>
  <c r="BF40" i="8"/>
  <c r="BF39" i="8"/>
  <c r="BG2" i="8"/>
  <c r="BG38" i="8" s="1"/>
  <c r="BH1" i="8"/>
  <c r="BG12" i="7"/>
  <c r="AT47" i="8" l="1"/>
  <c r="AT55" i="8" s="1"/>
  <c r="AT54" i="8"/>
  <c r="AU11" i="8"/>
  <c r="AU26" i="8" s="1"/>
  <c r="AU37" i="8" s="1"/>
  <c r="AU41" i="8" s="1"/>
  <c r="AU43" i="8" s="1"/>
  <c r="AY22" i="8"/>
  <c r="AX24" i="8"/>
  <c r="BZ3" i="2"/>
  <c r="BY5" i="2"/>
  <c r="AW6" i="8" s="1"/>
  <c r="AV7" i="8"/>
  <c r="AV8" i="8"/>
  <c r="AV9" i="8"/>
  <c r="AV10" i="8"/>
  <c r="BI21" i="6"/>
  <c r="BH38" i="8"/>
  <c r="BH18" i="8"/>
  <c r="BH45" i="6"/>
  <c r="BH49" i="6" s="1"/>
  <c r="BD45" i="8" s="1"/>
  <c r="BG2" i="7"/>
  <c r="BF8" i="7"/>
  <c r="BG52" i="8" s="1"/>
  <c r="BF5" i="7"/>
  <c r="BG51" i="8" s="1"/>
  <c r="BG18" i="7"/>
  <c r="BG15" i="7"/>
  <c r="BH20" i="8"/>
  <c r="BI20" i="8" s="1"/>
  <c r="BH19" i="8"/>
  <c r="BC14" i="8"/>
  <c r="BI41" i="6"/>
  <c r="BK1" i="6"/>
  <c r="BJ36" i="6"/>
  <c r="BJ38" i="6"/>
  <c r="BJ39" i="6"/>
  <c r="BJ40" i="6"/>
  <c r="BJ34" i="6"/>
  <c r="BJ37" i="6"/>
  <c r="BJ33" i="6"/>
  <c r="BJ32" i="6"/>
  <c r="BJ31" i="6"/>
  <c r="BJ30" i="6"/>
  <c r="BJ29" i="6"/>
  <c r="BJ35" i="6"/>
  <c r="BJ28" i="6"/>
  <c r="BJ26" i="6"/>
  <c r="BJ27" i="6"/>
  <c r="BJ25" i="6"/>
  <c r="BJ6" i="6"/>
  <c r="BJ7" i="6"/>
  <c r="BJ8" i="6"/>
  <c r="BJ9" i="6"/>
  <c r="BJ10" i="6"/>
  <c r="BJ11" i="6"/>
  <c r="BJ12" i="6"/>
  <c r="BJ13" i="6"/>
  <c r="BJ14" i="6"/>
  <c r="BJ15" i="6"/>
  <c r="BJ16" i="6"/>
  <c r="BJ17" i="6"/>
  <c r="BJ18" i="6"/>
  <c r="BJ19" i="6"/>
  <c r="BJ20" i="6"/>
  <c r="BJ5" i="6"/>
  <c r="BJ2" i="6"/>
  <c r="BH16" i="8"/>
  <c r="BH21" i="8"/>
  <c r="BI21" i="8" s="1"/>
  <c r="BF16" i="7"/>
  <c r="BF19" i="7" s="1"/>
  <c r="BG14" i="7" s="1"/>
  <c r="BG17" i="7" s="1"/>
  <c r="BH23" i="8"/>
  <c r="BH15" i="8"/>
  <c r="AB5" i="7"/>
  <c r="AB7" i="7"/>
  <c r="AB55" i="8"/>
  <c r="AB59" i="8" s="1"/>
  <c r="AB70" i="8" s="1"/>
  <c r="AC69" i="8" s="1"/>
  <c r="BH64" i="8"/>
  <c r="BG39" i="8"/>
  <c r="BG40" i="8"/>
  <c r="BH50" i="8"/>
  <c r="BH31" i="8"/>
  <c r="BH30" i="8"/>
  <c r="BH32" i="8"/>
  <c r="BH34" i="8"/>
  <c r="BH36" i="8"/>
  <c r="BH33" i="8"/>
  <c r="BH29" i="8"/>
  <c r="BH35" i="8"/>
  <c r="BH2" i="8"/>
  <c r="BI1" i="8"/>
  <c r="BH12" i="7"/>
  <c r="AU47" i="8" l="1"/>
  <c r="AU55" i="8" s="1"/>
  <c r="AU54" i="8"/>
  <c r="AV11" i="8"/>
  <c r="AV26" i="8" s="1"/>
  <c r="AV37" i="8" s="1"/>
  <c r="AV41" i="8" s="1"/>
  <c r="AV43" i="8" s="1"/>
  <c r="AZ22" i="8"/>
  <c r="AY24" i="8"/>
  <c r="AW7" i="8"/>
  <c r="AW9" i="8"/>
  <c r="AW10" i="8"/>
  <c r="AW8" i="8"/>
  <c r="CA3" i="2"/>
  <c r="BZ5" i="2"/>
  <c r="AX6" i="8" s="1"/>
  <c r="BI45" i="6"/>
  <c r="BI49" i="6" s="1"/>
  <c r="BE45" i="8" s="1"/>
  <c r="BH18" i="7"/>
  <c r="BH15" i="7"/>
  <c r="BI15" i="8"/>
  <c r="BI16" i="8"/>
  <c r="BG16" i="7"/>
  <c r="BG19" i="7" s="1"/>
  <c r="BH14" i="7" s="1"/>
  <c r="BH17" i="7" s="1"/>
  <c r="BI18" i="8"/>
  <c r="BI23" i="8"/>
  <c r="BD14" i="8"/>
  <c r="BH2" i="7"/>
  <c r="BG8" i="7"/>
  <c r="BH52" i="8" s="1"/>
  <c r="BG5" i="7"/>
  <c r="BH51" i="8" s="1"/>
  <c r="BI17" i="8"/>
  <c r="BJ21" i="6"/>
  <c r="BJ41" i="6"/>
  <c r="BL1" i="6"/>
  <c r="BK40" i="6"/>
  <c r="BK39" i="6"/>
  <c r="BK37" i="6"/>
  <c r="BK36" i="6"/>
  <c r="BK35" i="6"/>
  <c r="BK28" i="6"/>
  <c r="BK38" i="6"/>
  <c r="BK25" i="6"/>
  <c r="BK32" i="6"/>
  <c r="BK30" i="6"/>
  <c r="BK26" i="6"/>
  <c r="BK31" i="6"/>
  <c r="BK6" i="6"/>
  <c r="BK8" i="6"/>
  <c r="BK5" i="6"/>
  <c r="BK34" i="6"/>
  <c r="BK33" i="6"/>
  <c r="BK9" i="6"/>
  <c r="BK27" i="6"/>
  <c r="BK7" i="6"/>
  <c r="BK10" i="6"/>
  <c r="BK11" i="6"/>
  <c r="BK12" i="6"/>
  <c r="BK13" i="6"/>
  <c r="BK14" i="6"/>
  <c r="BK15" i="6"/>
  <c r="BK16" i="6"/>
  <c r="BK17" i="6"/>
  <c r="BK18" i="6"/>
  <c r="BK19" i="6"/>
  <c r="BK20" i="6"/>
  <c r="BK29" i="6"/>
  <c r="BK2" i="6"/>
  <c r="BI19" i="8"/>
  <c r="AB67" i="8"/>
  <c r="AC51" i="8"/>
  <c r="AB6" i="7"/>
  <c r="AB9" i="7" s="1"/>
  <c r="AC4" i="7" s="1"/>
  <c r="BH65" i="8"/>
  <c r="BH53" i="8"/>
  <c r="BI64" i="8"/>
  <c r="BI65" i="8" s="1"/>
  <c r="BH40" i="8"/>
  <c r="BH39" i="8"/>
  <c r="BI50" i="8"/>
  <c r="BI53" i="8" s="1"/>
  <c r="BI31" i="8"/>
  <c r="BI30" i="8"/>
  <c r="BI34" i="8"/>
  <c r="BI36" i="8"/>
  <c r="BI33" i="8"/>
  <c r="BI29" i="8"/>
  <c r="BI32" i="8"/>
  <c r="BI35" i="8"/>
  <c r="BI2" i="8"/>
  <c r="BI38" i="8" s="1"/>
  <c r="BJ1" i="8"/>
  <c r="BI12" i="7"/>
  <c r="AC55" i="8" l="1"/>
  <c r="AC59" i="8" s="1"/>
  <c r="AC67" i="8" s="1"/>
  <c r="AC54" i="8"/>
  <c r="AV47" i="8"/>
  <c r="AV55" i="8" s="1"/>
  <c r="AV54" i="8"/>
  <c r="AW11" i="8"/>
  <c r="AW26" i="8" s="1"/>
  <c r="AW37" i="8" s="1"/>
  <c r="AW41" i="8" s="1"/>
  <c r="AW43" i="8" s="1"/>
  <c r="AX10" i="8"/>
  <c r="AX9" i="8"/>
  <c r="AX7" i="8"/>
  <c r="AX8" i="8"/>
  <c r="CB3" i="2"/>
  <c r="CA5" i="2"/>
  <c r="AY6" i="8" s="1"/>
  <c r="BA22" i="8"/>
  <c r="AZ24" i="8"/>
  <c r="BE14" i="8"/>
  <c r="BJ16" i="8"/>
  <c r="BJ17" i="8"/>
  <c r="BK17" i="8" s="1"/>
  <c r="BI2" i="7"/>
  <c r="BH8" i="7"/>
  <c r="BI52" i="8" s="1"/>
  <c r="BH5" i="7"/>
  <c r="BI51" i="8" s="1"/>
  <c r="BJ23" i="8"/>
  <c r="BK23" i="8" s="1"/>
  <c r="BJ15" i="8"/>
  <c r="BJ19" i="8"/>
  <c r="BK41" i="6"/>
  <c r="BM1" i="6"/>
  <c r="BL40" i="6"/>
  <c r="BL37" i="6"/>
  <c r="BL36" i="6"/>
  <c r="BL38" i="6"/>
  <c r="BL35" i="6"/>
  <c r="BL39" i="6"/>
  <c r="BL34" i="6"/>
  <c r="BL27" i="6"/>
  <c r="BL32" i="6"/>
  <c r="BL30" i="6"/>
  <c r="BL6" i="6"/>
  <c r="BL7" i="6"/>
  <c r="BL8" i="6"/>
  <c r="BL9" i="6"/>
  <c r="BL28" i="6"/>
  <c r="BL26" i="6"/>
  <c r="BL33" i="6"/>
  <c r="BL31" i="6"/>
  <c r="BL29" i="6"/>
  <c r="BL11" i="6"/>
  <c r="BL17" i="6"/>
  <c r="BL18" i="6"/>
  <c r="BL5" i="6"/>
  <c r="BL14" i="6"/>
  <c r="BL15" i="6"/>
  <c r="BL16" i="6"/>
  <c r="BL20" i="6"/>
  <c r="BL25" i="6"/>
  <c r="BL10" i="6"/>
  <c r="BL12" i="6"/>
  <c r="BL13" i="6"/>
  <c r="BL19" i="6"/>
  <c r="BL2" i="6"/>
  <c r="BJ20" i="8"/>
  <c r="BJ45" i="6"/>
  <c r="BJ49" i="6" s="1"/>
  <c r="BF45" i="8" s="1"/>
  <c r="BI18" i="7"/>
  <c r="BI15" i="7"/>
  <c r="BK21" i="6"/>
  <c r="BJ18" i="8"/>
  <c r="BH16" i="7"/>
  <c r="BH19" i="7" s="1"/>
  <c r="BI14" i="7" s="1"/>
  <c r="BI17" i="7" s="1"/>
  <c r="BJ21" i="8"/>
  <c r="BK21" i="8" s="1"/>
  <c r="AC70" i="8"/>
  <c r="AD69" i="8" s="1"/>
  <c r="AC7" i="7"/>
  <c r="AC5" i="7"/>
  <c r="BJ64" i="8"/>
  <c r="BJ65" i="8" s="1"/>
  <c r="BI40" i="8"/>
  <c r="BI39" i="8"/>
  <c r="BJ50" i="8"/>
  <c r="BJ53" i="8" s="1"/>
  <c r="BJ30" i="8"/>
  <c r="BJ31" i="8"/>
  <c r="BJ34" i="8"/>
  <c r="BJ36" i="8"/>
  <c r="BJ33" i="8"/>
  <c r="BJ29" i="8"/>
  <c r="BJ32" i="8"/>
  <c r="BJ35" i="8"/>
  <c r="BJ2" i="8"/>
  <c r="BK1" i="8"/>
  <c r="BJ12" i="7"/>
  <c r="AW47" i="8" l="1"/>
  <c r="AW55" i="8" s="1"/>
  <c r="AW54" i="8"/>
  <c r="AX11" i="8"/>
  <c r="AX26" i="8" s="1"/>
  <c r="AX37" i="8" s="1"/>
  <c r="AX41" i="8" s="1"/>
  <c r="AX43" i="8" s="1"/>
  <c r="BB22" i="8"/>
  <c r="BA24" i="8"/>
  <c r="AY9" i="8"/>
  <c r="AY7" i="8"/>
  <c r="AY10" i="8"/>
  <c r="AY8" i="8"/>
  <c r="CC3" i="2"/>
  <c r="CB5" i="2"/>
  <c r="AZ6" i="8" s="1"/>
  <c r="BK19" i="8"/>
  <c r="BF14" i="8"/>
  <c r="BJ17" i="7"/>
  <c r="BJ15" i="7"/>
  <c r="BK18" i="8"/>
  <c r="BI16" i="7"/>
  <c r="BI19" i="7" s="1"/>
  <c r="BL41" i="6"/>
  <c r="BN1" i="6"/>
  <c r="BM39" i="6"/>
  <c r="BM38" i="6"/>
  <c r="BM37" i="6"/>
  <c r="BM36" i="6"/>
  <c r="BM40" i="6"/>
  <c r="BM35" i="6"/>
  <c r="BM34" i="6"/>
  <c r="BM33" i="6"/>
  <c r="BM32" i="6"/>
  <c r="BM31" i="6"/>
  <c r="BM30" i="6"/>
  <c r="BM29" i="6"/>
  <c r="BM28" i="6"/>
  <c r="BM26" i="6"/>
  <c r="BM6" i="6"/>
  <c r="BM7" i="6"/>
  <c r="BM8" i="6"/>
  <c r="BM9" i="6"/>
  <c r="BM10" i="6"/>
  <c r="BM27" i="6"/>
  <c r="BM25" i="6"/>
  <c r="BM11" i="6"/>
  <c r="BM12" i="6"/>
  <c r="BM13" i="6"/>
  <c r="BM14" i="6"/>
  <c r="BM15" i="6"/>
  <c r="BM16" i="6"/>
  <c r="BM17" i="6"/>
  <c r="BM18" i="6"/>
  <c r="BM19" i="6"/>
  <c r="BM20" i="6"/>
  <c r="BM5" i="6"/>
  <c r="BM2" i="6"/>
  <c r="BJ38" i="8"/>
  <c r="BK45" i="6"/>
  <c r="BK49" i="6" s="1"/>
  <c r="BG45" i="8" s="1"/>
  <c r="BK20" i="8"/>
  <c r="BL21" i="6"/>
  <c r="BK15" i="8"/>
  <c r="BJ2" i="7"/>
  <c r="BI8" i="7"/>
  <c r="BJ52" i="8" s="1"/>
  <c r="BI5" i="7"/>
  <c r="BJ51" i="8" s="1"/>
  <c r="BK16" i="8"/>
  <c r="AC6" i="7"/>
  <c r="AC9" i="7" s="1"/>
  <c r="AD4" i="7" s="1"/>
  <c r="AD51" i="8"/>
  <c r="AD54" i="8" s="1"/>
  <c r="BK30" i="8"/>
  <c r="BK32" i="8"/>
  <c r="BK31" i="8"/>
  <c r="BK33" i="8"/>
  <c r="BK35" i="8"/>
  <c r="BK34" i="8"/>
  <c r="BK36" i="8"/>
  <c r="BK29" i="8"/>
  <c r="BJ40" i="8"/>
  <c r="BJ39" i="8"/>
  <c r="BK2" i="8"/>
  <c r="BL1" i="8"/>
  <c r="BL23" i="8" s="1"/>
  <c r="BK12" i="7"/>
  <c r="BK18" i="7" s="1"/>
  <c r="AX47" i="8" l="1"/>
  <c r="AX55" i="8" s="1"/>
  <c r="AX54" i="8"/>
  <c r="AY11" i="8"/>
  <c r="AY26" i="8" s="1"/>
  <c r="AY37" i="8" s="1"/>
  <c r="AY41" i="8" s="1"/>
  <c r="AY43" i="8" s="1"/>
  <c r="CC5" i="2"/>
  <c r="BA6" i="8" s="1"/>
  <c r="CD3" i="2"/>
  <c r="AZ8" i="8"/>
  <c r="AZ10" i="8"/>
  <c r="AZ7" i="8"/>
  <c r="AZ9" i="8"/>
  <c r="BC22" i="8"/>
  <c r="BB24" i="8"/>
  <c r="BJ16" i="7"/>
  <c r="BK38" i="8"/>
  <c r="BL17" i="8"/>
  <c r="BK2" i="7"/>
  <c r="BJ5" i="7"/>
  <c r="BK51" i="8" s="1"/>
  <c r="BL19" i="8"/>
  <c r="BL45" i="6"/>
  <c r="BL49" i="6" s="1"/>
  <c r="BH45" i="8" s="1"/>
  <c r="BL20" i="8"/>
  <c r="BG14" i="8"/>
  <c r="BL16" i="8"/>
  <c r="BL15" i="8"/>
  <c r="BL21" i="8"/>
  <c r="BM41" i="6"/>
  <c r="BL18" i="8"/>
  <c r="BM21" i="6"/>
  <c r="BO1" i="6"/>
  <c r="BN36" i="6"/>
  <c r="BN37" i="6"/>
  <c r="BN38" i="6"/>
  <c r="BN39" i="6"/>
  <c r="BN35" i="6"/>
  <c r="BN34" i="6"/>
  <c r="BN33" i="6"/>
  <c r="BN32" i="6"/>
  <c r="BN31" i="6"/>
  <c r="BN30" i="6"/>
  <c r="BN29" i="6"/>
  <c r="BN40" i="6"/>
  <c r="BN28" i="6"/>
  <c r="BN26" i="6"/>
  <c r="BN27" i="6"/>
  <c r="BN25" i="6"/>
  <c r="BN6" i="6"/>
  <c r="BN7" i="6"/>
  <c r="BN8" i="6"/>
  <c r="BN9" i="6"/>
  <c r="BN10" i="6"/>
  <c r="BN11" i="6"/>
  <c r="BN12" i="6"/>
  <c r="BN13" i="6"/>
  <c r="BN14" i="6"/>
  <c r="BN15" i="6"/>
  <c r="BN16" i="6"/>
  <c r="BN17" i="6"/>
  <c r="BN18" i="6"/>
  <c r="BN19" i="6"/>
  <c r="BN20" i="6"/>
  <c r="BN5" i="6"/>
  <c r="BN2" i="6"/>
  <c r="AD55" i="8"/>
  <c r="AD59" i="8" s="1"/>
  <c r="AD70" i="8" s="1"/>
  <c r="AE69" i="8" s="1"/>
  <c r="AD5" i="7"/>
  <c r="AD7" i="7"/>
  <c r="BL64" i="8"/>
  <c r="BK40" i="8"/>
  <c r="BK39" i="8"/>
  <c r="BL50" i="8"/>
  <c r="BL30" i="8"/>
  <c r="BL32" i="8"/>
  <c r="BL31" i="8"/>
  <c r="BL33" i="8"/>
  <c r="BL35" i="8"/>
  <c r="BL36" i="8"/>
  <c r="BL34" i="8"/>
  <c r="BL29" i="8"/>
  <c r="BM1" i="8"/>
  <c r="BL2" i="8"/>
  <c r="BL12" i="7"/>
  <c r="BL18" i="7" s="1"/>
  <c r="AY47" i="8" l="1"/>
  <c r="AY55" i="8" s="1"/>
  <c r="AY54" i="8"/>
  <c r="AZ11" i="8"/>
  <c r="AZ26" i="8" s="1"/>
  <c r="AZ37" i="8" s="1"/>
  <c r="AZ41" i="8" s="1"/>
  <c r="AZ43" i="8" s="1"/>
  <c r="BD22" i="8"/>
  <c r="BC24" i="8"/>
  <c r="CE3" i="2"/>
  <c r="CD5" i="2"/>
  <c r="BB6" i="8" s="1"/>
  <c r="BA10" i="8"/>
  <c r="BA8" i="8"/>
  <c r="BA7" i="8"/>
  <c r="BA9" i="8"/>
  <c r="BM21" i="8"/>
  <c r="BH14" i="8"/>
  <c r="BL38" i="8"/>
  <c r="BM17" i="8"/>
  <c r="BN21" i="6"/>
  <c r="BN41" i="6"/>
  <c r="BP1" i="6"/>
  <c r="BO38" i="6"/>
  <c r="BO35" i="6"/>
  <c r="BO39" i="6"/>
  <c r="BO37" i="6"/>
  <c r="BO34" i="6"/>
  <c r="BO40" i="6"/>
  <c r="BO28" i="6"/>
  <c r="BO27" i="6"/>
  <c r="BO25" i="6"/>
  <c r="BO36" i="6"/>
  <c r="BO33" i="6"/>
  <c r="BO31" i="6"/>
  <c r="BO29" i="6"/>
  <c r="BO10" i="6"/>
  <c r="BO5" i="6"/>
  <c r="BO30" i="6"/>
  <c r="BO6" i="6"/>
  <c r="BO8" i="6"/>
  <c r="BO7" i="6"/>
  <c r="BO32" i="6"/>
  <c r="BO26" i="6"/>
  <c r="BO9" i="6"/>
  <c r="BO11" i="6"/>
  <c r="BO12" i="6"/>
  <c r="BO13" i="6"/>
  <c r="BO14" i="6"/>
  <c r="BO15" i="6"/>
  <c r="BO16" i="6"/>
  <c r="BO17" i="6"/>
  <c r="BO18" i="6"/>
  <c r="BO19" i="6"/>
  <c r="BO20" i="6"/>
  <c r="BO2" i="6"/>
  <c r="BM15" i="8"/>
  <c r="BM20" i="8"/>
  <c r="BM19" i="8"/>
  <c r="BM45" i="6"/>
  <c r="BM49" i="6" s="1"/>
  <c r="BI45" i="8" s="1"/>
  <c r="BM18" i="8"/>
  <c r="BM16" i="8"/>
  <c r="BL2" i="7"/>
  <c r="BK5" i="7"/>
  <c r="BK8" i="7"/>
  <c r="BL52" i="8" s="1"/>
  <c r="BM23" i="8"/>
  <c r="AD67" i="8"/>
  <c r="AE51" i="8"/>
  <c r="AE54" i="8" s="1"/>
  <c r="AD6" i="7"/>
  <c r="AD9" i="7" s="1"/>
  <c r="AE4" i="7" s="1"/>
  <c r="BL65" i="8"/>
  <c r="BL53" i="8"/>
  <c r="BM64" i="8"/>
  <c r="BM65" i="8" s="1"/>
  <c r="BL39" i="8"/>
  <c r="BL40" i="8"/>
  <c r="BM50" i="8"/>
  <c r="BM53" i="8" s="1"/>
  <c r="BM30" i="8"/>
  <c r="BM33" i="8"/>
  <c r="BM35" i="8"/>
  <c r="BM31" i="8"/>
  <c r="BM36" i="8"/>
  <c r="BM32" i="8"/>
  <c r="BM34" i="8"/>
  <c r="BM29" i="8"/>
  <c r="BM2" i="8"/>
  <c r="BM38" i="8" s="1"/>
  <c r="BN1" i="8"/>
  <c r="BM12" i="7"/>
  <c r="BM18" i="7" s="1"/>
  <c r="AZ47" i="8" l="1"/>
  <c r="AZ55" i="8" s="1"/>
  <c r="AZ54" i="8"/>
  <c r="BA11" i="8"/>
  <c r="BA26" i="8" s="1"/>
  <c r="BA37" i="8" s="1"/>
  <c r="BA41" i="8" s="1"/>
  <c r="BA43" i="8" s="1"/>
  <c r="BB9" i="8"/>
  <c r="BB10" i="8"/>
  <c r="BB7" i="8"/>
  <c r="BB8" i="8"/>
  <c r="CE5" i="2"/>
  <c r="BC6" i="8" s="1"/>
  <c r="CF3" i="2"/>
  <c r="BE22" i="8"/>
  <c r="BD24" i="8"/>
  <c r="BN18" i="8"/>
  <c r="BQ1" i="6"/>
  <c r="BP40" i="6"/>
  <c r="BP39" i="6"/>
  <c r="BP38" i="6"/>
  <c r="BP36" i="6"/>
  <c r="BP27" i="6"/>
  <c r="BP33" i="6"/>
  <c r="BP31" i="6"/>
  <c r="BP29" i="6"/>
  <c r="BP6" i="6"/>
  <c r="BP7" i="6"/>
  <c r="BP8" i="6"/>
  <c r="BP9" i="6"/>
  <c r="BP35" i="6"/>
  <c r="BP37" i="6"/>
  <c r="BP34" i="6"/>
  <c r="BP32" i="6"/>
  <c r="BP30" i="6"/>
  <c r="BP26" i="6"/>
  <c r="BP12" i="6"/>
  <c r="BP13" i="6"/>
  <c r="BP14" i="6"/>
  <c r="BP19" i="6"/>
  <c r="BP20" i="6"/>
  <c r="BP25" i="6"/>
  <c r="BP10" i="6"/>
  <c r="BP5" i="6"/>
  <c r="BP11" i="6"/>
  <c r="BP17" i="6"/>
  <c r="BP28" i="6"/>
  <c r="BP15" i="6"/>
  <c r="BP16" i="6"/>
  <c r="BP18" i="6"/>
  <c r="BP2" i="6"/>
  <c r="BN21" i="8"/>
  <c r="BN23" i="8"/>
  <c r="BO23" i="8" s="1"/>
  <c r="BN17" i="8"/>
  <c r="BN20" i="8"/>
  <c r="BO21" i="6"/>
  <c r="BM2" i="7"/>
  <c r="BL5" i="7"/>
  <c r="BL8" i="7"/>
  <c r="BM52" i="8" s="1"/>
  <c r="BO41" i="6"/>
  <c r="BI14" i="8"/>
  <c r="BN19" i="8"/>
  <c r="BN16" i="8"/>
  <c r="BO16" i="8" s="1"/>
  <c r="BN15" i="8"/>
  <c r="BN45" i="6"/>
  <c r="BN49" i="6" s="1"/>
  <c r="BJ45" i="8" s="1"/>
  <c r="AE5" i="7"/>
  <c r="AE7" i="7"/>
  <c r="AE55" i="8"/>
  <c r="AE59" i="8" s="1"/>
  <c r="AE70" i="8" s="1"/>
  <c r="AF69" i="8" s="1"/>
  <c r="BN64" i="8"/>
  <c r="BN50" i="8"/>
  <c r="BN31" i="8"/>
  <c r="BN32" i="8"/>
  <c r="BN30" i="8"/>
  <c r="BN33" i="8"/>
  <c r="BN35" i="8"/>
  <c r="BN29" i="8"/>
  <c r="BN36" i="8"/>
  <c r="BN34" i="8"/>
  <c r="BM39" i="8"/>
  <c r="BM40" i="8"/>
  <c r="BO1" i="8"/>
  <c r="BN2" i="8"/>
  <c r="BN38" i="8" s="1"/>
  <c r="BN12" i="7"/>
  <c r="BN18" i="7" s="1"/>
  <c r="BA47" i="8" l="1"/>
  <c r="BA55" i="8" s="1"/>
  <c r="BA54" i="8"/>
  <c r="BB11" i="8"/>
  <c r="BB26" i="8" s="1"/>
  <c r="BB37" i="8" s="1"/>
  <c r="BB41" i="8" s="1"/>
  <c r="BB43" i="8" s="1"/>
  <c r="BF22" i="8"/>
  <c r="BE24" i="8"/>
  <c r="BC10" i="8"/>
  <c r="BC9" i="8"/>
  <c r="BC7" i="8"/>
  <c r="BC8" i="8"/>
  <c r="CF5" i="2"/>
  <c r="BD6" i="8" s="1"/>
  <c r="CG3" i="2"/>
  <c r="BO19" i="8"/>
  <c r="BP41" i="6"/>
  <c r="BR1" i="6"/>
  <c r="BQ39" i="6"/>
  <c r="BQ38" i="6"/>
  <c r="BQ37" i="6"/>
  <c r="BQ40" i="6"/>
  <c r="BQ36" i="6"/>
  <c r="BQ35" i="6"/>
  <c r="BQ34" i="6"/>
  <c r="BQ33" i="6"/>
  <c r="BQ32" i="6"/>
  <c r="BQ31" i="6"/>
  <c r="BQ30" i="6"/>
  <c r="BQ29" i="6"/>
  <c r="BQ26" i="6"/>
  <c r="BQ6" i="6"/>
  <c r="BQ7" i="6"/>
  <c r="BQ8" i="6"/>
  <c r="BQ9" i="6"/>
  <c r="BQ10" i="6"/>
  <c r="BQ28" i="6"/>
  <c r="BQ25" i="6"/>
  <c r="BQ11" i="6"/>
  <c r="BQ12" i="6"/>
  <c r="BQ13" i="6"/>
  <c r="BQ14" i="6"/>
  <c r="BQ15" i="6"/>
  <c r="BQ16" i="6"/>
  <c r="BQ17" i="6"/>
  <c r="BQ18" i="6"/>
  <c r="BQ19" i="6"/>
  <c r="BQ20" i="6"/>
  <c r="BQ27" i="6"/>
  <c r="BQ5" i="6"/>
  <c r="BQ2" i="6"/>
  <c r="BO15" i="8"/>
  <c r="BO20" i="8"/>
  <c r="BO18" i="8"/>
  <c r="BO45" i="6"/>
  <c r="BO49" i="6" s="1"/>
  <c r="BK45" i="8" s="1"/>
  <c r="BJ14" i="8"/>
  <c r="BN2" i="7"/>
  <c r="BM5" i="7"/>
  <c r="BM8" i="7"/>
  <c r="BN52" i="8" s="1"/>
  <c r="BO17" i="8"/>
  <c r="BO21" i="8"/>
  <c r="BP21" i="6"/>
  <c r="AE67" i="8"/>
  <c r="AF51" i="8"/>
  <c r="AF54" i="8" s="1"/>
  <c r="AE6" i="7"/>
  <c r="AE9" i="7" s="1"/>
  <c r="AF4" i="7" s="1"/>
  <c r="BN65" i="8"/>
  <c r="BN53" i="8"/>
  <c r="BO64" i="8"/>
  <c r="BO65" i="8" s="1"/>
  <c r="BN39" i="8"/>
  <c r="BN40" i="8"/>
  <c r="BO50" i="8"/>
  <c r="BO53" i="8" s="1"/>
  <c r="BO31" i="8"/>
  <c r="BO30" i="8"/>
  <c r="BO32" i="8"/>
  <c r="BO34" i="8"/>
  <c r="BO36" i="8"/>
  <c r="BO33" i="8"/>
  <c r="BO35" i="8"/>
  <c r="BO29" i="8"/>
  <c r="BP1" i="8"/>
  <c r="BO2" i="8"/>
  <c r="BP16" i="8" s="1"/>
  <c r="BO12" i="7"/>
  <c r="BO18" i="7" s="1"/>
  <c r="BB47" i="8" l="1"/>
  <c r="BB55" i="8" s="1"/>
  <c r="BB54" i="8"/>
  <c r="BC11" i="8"/>
  <c r="BC26" i="8" s="1"/>
  <c r="BC37" i="8" s="1"/>
  <c r="BC41" i="8" s="1"/>
  <c r="BC43" i="8" s="1"/>
  <c r="BD7" i="8"/>
  <c r="BD8" i="8"/>
  <c r="BD9" i="8"/>
  <c r="BD10" i="8"/>
  <c r="CH3" i="2"/>
  <c r="CG5" i="2"/>
  <c r="BE6" i="8" s="1"/>
  <c r="BG22" i="8"/>
  <c r="BF24" i="8"/>
  <c r="BO38" i="8"/>
  <c r="BP21" i="8"/>
  <c r="BP18" i="8"/>
  <c r="BP17" i="8"/>
  <c r="BP19" i="8"/>
  <c r="BP45" i="6"/>
  <c r="BP49" i="6" s="1"/>
  <c r="BL45" i="8" s="1"/>
  <c r="BP20" i="8"/>
  <c r="BO2" i="7"/>
  <c r="BN5" i="7"/>
  <c r="BN8" i="7"/>
  <c r="BO52" i="8" s="1"/>
  <c r="BP15" i="8"/>
  <c r="BK14" i="8"/>
  <c r="BQ21" i="6"/>
  <c r="BQ41" i="6"/>
  <c r="BS1" i="6"/>
  <c r="BR36" i="6"/>
  <c r="BR39" i="6"/>
  <c r="BR35" i="6"/>
  <c r="BR40" i="6"/>
  <c r="BR37" i="6"/>
  <c r="BR38" i="6"/>
  <c r="BR33" i="6"/>
  <c r="BR32" i="6"/>
  <c r="BR31" i="6"/>
  <c r="BR30" i="6"/>
  <c r="BR29" i="6"/>
  <c r="BR34" i="6"/>
  <c r="BR28" i="6"/>
  <c r="BR26" i="6"/>
  <c r="BR25" i="6"/>
  <c r="BR27" i="6"/>
  <c r="BR6" i="6"/>
  <c r="BR7" i="6"/>
  <c r="BR8" i="6"/>
  <c r="BR9" i="6"/>
  <c r="BR10" i="6"/>
  <c r="BR5" i="6"/>
  <c r="BR11" i="6"/>
  <c r="BR12" i="6"/>
  <c r="BR13" i="6"/>
  <c r="BR14" i="6"/>
  <c r="BR15" i="6"/>
  <c r="BR16" i="6"/>
  <c r="BR17" i="6"/>
  <c r="BR18" i="6"/>
  <c r="BR19" i="6"/>
  <c r="BR20" i="6"/>
  <c r="BR2" i="6"/>
  <c r="BP23" i="8"/>
  <c r="AF7" i="7"/>
  <c r="AF5" i="7"/>
  <c r="AF55" i="8"/>
  <c r="AF59" i="8" s="1"/>
  <c r="AF70" i="8" s="1"/>
  <c r="AG69" i="8" s="1"/>
  <c r="BP64" i="8"/>
  <c r="BP50" i="8"/>
  <c r="BP31" i="8"/>
  <c r="BP30" i="8"/>
  <c r="BP32" i="8"/>
  <c r="BP34" i="8"/>
  <c r="BP36" i="8"/>
  <c r="BP35" i="8"/>
  <c r="BP29" i="8"/>
  <c r="BP33" i="8"/>
  <c r="BO39" i="8"/>
  <c r="BO40" i="8"/>
  <c r="BQ1" i="8"/>
  <c r="BP2" i="8"/>
  <c r="BP38" i="8" s="1"/>
  <c r="BP12" i="7"/>
  <c r="BP18" i="7" s="1"/>
  <c r="BC47" i="8" l="1"/>
  <c r="BC55" i="8" s="1"/>
  <c r="BC54" i="8"/>
  <c r="BD11" i="8"/>
  <c r="BD26" i="8" s="1"/>
  <c r="BD37" i="8" s="1"/>
  <c r="BD41" i="8" s="1"/>
  <c r="BD43" i="8" s="1"/>
  <c r="BH22" i="8"/>
  <c r="BG24" i="8"/>
  <c r="BE7" i="8"/>
  <c r="BE10" i="8"/>
  <c r="BE8" i="8"/>
  <c r="BE9" i="8"/>
  <c r="CH5" i="2"/>
  <c r="BF6" i="8" s="1"/>
  <c r="CI3" i="2"/>
  <c r="BQ20" i="8"/>
  <c r="BR41" i="6"/>
  <c r="BQ23" i="8"/>
  <c r="BR21" i="6"/>
  <c r="BQ45" i="6"/>
  <c r="BQ49" i="6" s="1"/>
  <c r="BM45" i="8" s="1"/>
  <c r="BQ17" i="8"/>
  <c r="BL14" i="8"/>
  <c r="BP2" i="7"/>
  <c r="BO5" i="7"/>
  <c r="BO8" i="7"/>
  <c r="BP52" i="8" s="1"/>
  <c r="BQ18" i="8"/>
  <c r="BT1" i="6"/>
  <c r="BS37" i="6"/>
  <c r="BS36" i="6"/>
  <c r="BS35" i="6"/>
  <c r="BS40" i="6"/>
  <c r="BS38" i="6"/>
  <c r="BS34" i="6"/>
  <c r="BS28" i="6"/>
  <c r="BS26" i="6"/>
  <c r="BS25" i="6"/>
  <c r="BS39" i="6"/>
  <c r="BS32" i="6"/>
  <c r="BS30" i="6"/>
  <c r="BS27" i="6"/>
  <c r="BS33" i="6"/>
  <c r="BS7" i="6"/>
  <c r="BS5" i="6"/>
  <c r="BS9" i="6"/>
  <c r="BS29" i="6"/>
  <c r="BS6" i="6"/>
  <c r="BS8" i="6"/>
  <c r="BS10" i="6"/>
  <c r="BS11" i="6"/>
  <c r="BS12" i="6"/>
  <c r="BS13" i="6"/>
  <c r="BS14" i="6"/>
  <c r="BS15" i="6"/>
  <c r="BS16" i="6"/>
  <c r="BS17" i="6"/>
  <c r="BS18" i="6"/>
  <c r="BS19" i="6"/>
  <c r="BS20" i="6"/>
  <c r="BS31" i="6"/>
  <c r="BS2" i="6"/>
  <c r="BQ15" i="8"/>
  <c r="BQ19" i="8"/>
  <c r="BQ21" i="8"/>
  <c r="BQ16" i="8"/>
  <c r="BR16" i="8" s="1"/>
  <c r="AF67" i="8"/>
  <c r="AG51" i="8"/>
  <c r="AG54" i="8" s="1"/>
  <c r="AF6" i="7"/>
  <c r="AF9" i="7" s="1"/>
  <c r="AG4" i="7" s="1"/>
  <c r="BP65" i="8"/>
  <c r="BP53" i="8"/>
  <c r="BQ64" i="8"/>
  <c r="BQ65" i="8" s="1"/>
  <c r="BQ50" i="8"/>
  <c r="BQ53" i="8" s="1"/>
  <c r="BQ31" i="8"/>
  <c r="BQ32" i="8"/>
  <c r="BQ34" i="8"/>
  <c r="BQ36" i="8"/>
  <c r="BQ30" i="8"/>
  <c r="BQ35" i="8"/>
  <c r="BQ29" i="8"/>
  <c r="BQ33" i="8"/>
  <c r="BP40" i="8"/>
  <c r="BP39" i="8"/>
  <c r="BQ2" i="8"/>
  <c r="BQ38" i="8" s="1"/>
  <c r="BR1" i="8"/>
  <c r="BQ12" i="7"/>
  <c r="BQ18" i="7" s="1"/>
  <c r="BD47" i="8" l="1"/>
  <c r="BD55" i="8" s="1"/>
  <c r="BD54" i="8"/>
  <c r="BE11" i="8"/>
  <c r="BE26" i="8" s="1"/>
  <c r="BE37" i="8" s="1"/>
  <c r="BE41" i="8" s="1"/>
  <c r="BE43" i="8" s="1"/>
  <c r="BF9" i="8"/>
  <c r="BF7" i="8"/>
  <c r="BF8" i="8"/>
  <c r="BF10" i="8"/>
  <c r="CJ3" i="2"/>
  <c r="CI5" i="2"/>
  <c r="BG6" i="8" s="1"/>
  <c r="BI22" i="8"/>
  <c r="BH24" i="8"/>
  <c r="BR45" i="6"/>
  <c r="BR49" i="6" s="1"/>
  <c r="BN45" i="8" s="1"/>
  <c r="BR21" i="8"/>
  <c r="BQ2" i="7"/>
  <c r="BP5" i="7"/>
  <c r="BP8" i="7"/>
  <c r="BQ52" i="8" s="1"/>
  <c r="BR17" i="8"/>
  <c r="BR23" i="8"/>
  <c r="BR20" i="8"/>
  <c r="BR38" i="8"/>
  <c r="BR19" i="8"/>
  <c r="BS41" i="6"/>
  <c r="BR18" i="8"/>
  <c r="BR15" i="8"/>
  <c r="BS21" i="6"/>
  <c r="BU1" i="6"/>
  <c r="BT40" i="6"/>
  <c r="BT38" i="6"/>
  <c r="BT37" i="6"/>
  <c r="BT36" i="6"/>
  <c r="BT34" i="6"/>
  <c r="BT39" i="6"/>
  <c r="BT35" i="6"/>
  <c r="BT27" i="6"/>
  <c r="BT32" i="6"/>
  <c r="BT30" i="6"/>
  <c r="BT6" i="6"/>
  <c r="BT7" i="6"/>
  <c r="BT8" i="6"/>
  <c r="BT9" i="6"/>
  <c r="BT28" i="6"/>
  <c r="BT33" i="6"/>
  <c r="BT31" i="6"/>
  <c r="BT29" i="6"/>
  <c r="BT25" i="6"/>
  <c r="BT26" i="6"/>
  <c r="BT5" i="6"/>
  <c r="BT10" i="6"/>
  <c r="BT12" i="6"/>
  <c r="BT13" i="6"/>
  <c r="BT15" i="6"/>
  <c r="BT16" i="6"/>
  <c r="BT18" i="6"/>
  <c r="BT19" i="6"/>
  <c r="BT20" i="6"/>
  <c r="BT11" i="6"/>
  <c r="BT14" i="6"/>
  <c r="BT17" i="6"/>
  <c r="BT2" i="6"/>
  <c r="BM14" i="8"/>
  <c r="AG5" i="7"/>
  <c r="AG7" i="7"/>
  <c r="AG55" i="8"/>
  <c r="AG59" i="8" s="1"/>
  <c r="AG70" i="8" s="1"/>
  <c r="AH69" i="8" s="1"/>
  <c r="BR64" i="8"/>
  <c r="BR65" i="8" s="1"/>
  <c r="BR50" i="8"/>
  <c r="BR30" i="8"/>
  <c r="BR32" i="8"/>
  <c r="BR34" i="8"/>
  <c r="BR36" i="8"/>
  <c r="BR31" i="8"/>
  <c r="BR35" i="8"/>
  <c r="BR29" i="8"/>
  <c r="BR33" i="8"/>
  <c r="BQ40" i="8"/>
  <c r="BQ39" i="8"/>
  <c r="BR2" i="8"/>
  <c r="BS1" i="8"/>
  <c r="BR12" i="7"/>
  <c r="BR18" i="7" s="1"/>
  <c r="BE47" i="8" l="1"/>
  <c r="BE55" i="8" s="1"/>
  <c r="BE54" i="8"/>
  <c r="BF11" i="8"/>
  <c r="BF26" i="8" s="1"/>
  <c r="BF37" i="8" s="1"/>
  <c r="BF41" i="8" s="1"/>
  <c r="BF43" i="8" s="1"/>
  <c r="BJ22" i="8"/>
  <c r="BI24" i="8"/>
  <c r="BG8" i="8"/>
  <c r="BG10" i="8"/>
  <c r="BG9" i="8"/>
  <c r="BG7" i="8"/>
  <c r="CK3" i="2"/>
  <c r="CJ5" i="2"/>
  <c r="BH6" i="8" s="1"/>
  <c r="BT21" i="6"/>
  <c r="BS17" i="8"/>
  <c r="BV1" i="6"/>
  <c r="BU39" i="6"/>
  <c r="BU38" i="6"/>
  <c r="BU37" i="6"/>
  <c r="BU34" i="6"/>
  <c r="BU40" i="6"/>
  <c r="BU36" i="6"/>
  <c r="BU35" i="6"/>
  <c r="BU33" i="6"/>
  <c r="BU32" i="6"/>
  <c r="BU31" i="6"/>
  <c r="BU30" i="6"/>
  <c r="BU29" i="6"/>
  <c r="BU28" i="6"/>
  <c r="BU27" i="6"/>
  <c r="BU6" i="6"/>
  <c r="BU7" i="6"/>
  <c r="BU8" i="6"/>
  <c r="BU9" i="6"/>
  <c r="BU10" i="6"/>
  <c r="BU26" i="6"/>
  <c r="BU25" i="6"/>
  <c r="BU11" i="6"/>
  <c r="BU12" i="6"/>
  <c r="BU13" i="6"/>
  <c r="BU14" i="6"/>
  <c r="BU15" i="6"/>
  <c r="BU16" i="6"/>
  <c r="BU17" i="6"/>
  <c r="BU18" i="6"/>
  <c r="BU19" i="6"/>
  <c r="BU20" i="6"/>
  <c r="BU5" i="6"/>
  <c r="BU2" i="6"/>
  <c r="BS18" i="8"/>
  <c r="BS20" i="8"/>
  <c r="BT41" i="6"/>
  <c r="BS45" i="6"/>
  <c r="BS49" i="6" s="1"/>
  <c r="BO45" i="8" s="1"/>
  <c r="BS21" i="8"/>
  <c r="BT21" i="8" s="1"/>
  <c r="BN14" i="8"/>
  <c r="BS15" i="8"/>
  <c r="BS19" i="8"/>
  <c r="BT19" i="8" s="1"/>
  <c r="BS23" i="8"/>
  <c r="BR2" i="7"/>
  <c r="BQ5" i="7"/>
  <c r="BQ8" i="7"/>
  <c r="BR52" i="8" s="1"/>
  <c r="BS16" i="8"/>
  <c r="AG67" i="8"/>
  <c r="AH51" i="8"/>
  <c r="AG6" i="7"/>
  <c r="AG9" i="7" s="1"/>
  <c r="AH4" i="7" s="1"/>
  <c r="BR53" i="8"/>
  <c r="BS64" i="8"/>
  <c r="BS50" i="8"/>
  <c r="BS53" i="8" s="1"/>
  <c r="BS30" i="8"/>
  <c r="BS32" i="8"/>
  <c r="BS31" i="8"/>
  <c r="BS33" i="8"/>
  <c r="BS35" i="8"/>
  <c r="BS34" i="8"/>
  <c r="BS36" i="8"/>
  <c r="BS29" i="8"/>
  <c r="BR39" i="8"/>
  <c r="BR40" i="8"/>
  <c r="BS2" i="8"/>
  <c r="BS38" i="8" s="1"/>
  <c r="BT1" i="8"/>
  <c r="BS12" i="7"/>
  <c r="BS18" i="7" s="1"/>
  <c r="BF47" i="8" l="1"/>
  <c r="BF55" i="8" s="1"/>
  <c r="BF54" i="8"/>
  <c r="AH55" i="8"/>
  <c r="AH59" i="8" s="1"/>
  <c r="AH67" i="8" s="1"/>
  <c r="AH54" i="8"/>
  <c r="BG11" i="8"/>
  <c r="BG26" i="8" s="1"/>
  <c r="BG37" i="8" s="1"/>
  <c r="BG41" i="8" s="1"/>
  <c r="BG43" i="8" s="1"/>
  <c r="CL3" i="2"/>
  <c r="CK5" i="2"/>
  <c r="BI6" i="8" s="1"/>
  <c r="BH8" i="8"/>
  <c r="BH10" i="8"/>
  <c r="BH7" i="8"/>
  <c r="BH9" i="8"/>
  <c r="BK22" i="8"/>
  <c r="BJ24" i="8"/>
  <c r="BT45" i="6"/>
  <c r="BT49" i="6" s="1"/>
  <c r="BP45" i="8" s="1"/>
  <c r="BU21" i="6"/>
  <c r="BT16" i="8"/>
  <c r="BT15" i="8"/>
  <c r="BT20" i="8"/>
  <c r="BW1" i="6"/>
  <c r="BV36" i="6"/>
  <c r="BV40" i="6"/>
  <c r="BV39" i="6"/>
  <c r="BV38" i="6"/>
  <c r="BV35" i="6"/>
  <c r="BV33" i="6"/>
  <c r="BV32" i="6"/>
  <c r="BV31" i="6"/>
  <c r="BV30" i="6"/>
  <c r="BV29" i="6"/>
  <c r="BV37" i="6"/>
  <c r="BV28" i="6"/>
  <c r="BV26" i="6"/>
  <c r="BV34" i="6"/>
  <c r="BV25" i="6"/>
  <c r="BV6" i="6"/>
  <c r="BV7" i="6"/>
  <c r="BV8" i="6"/>
  <c r="BV9" i="6"/>
  <c r="BV10" i="6"/>
  <c r="BV27" i="6"/>
  <c r="BV11" i="6"/>
  <c r="BV12" i="6"/>
  <c r="BV13" i="6"/>
  <c r="BV14" i="6"/>
  <c r="BV15" i="6"/>
  <c r="BV16" i="6"/>
  <c r="BV17" i="6"/>
  <c r="BV18" i="6"/>
  <c r="BV19" i="6"/>
  <c r="BV20" i="6"/>
  <c r="BV5" i="6"/>
  <c r="BV2" i="6"/>
  <c r="BS2" i="7"/>
  <c r="BR5" i="7"/>
  <c r="BR8" i="7"/>
  <c r="BS52" i="8" s="1"/>
  <c r="BT18" i="8"/>
  <c r="BT23" i="8"/>
  <c r="BO14" i="8"/>
  <c r="BU41" i="6"/>
  <c r="BT17" i="8"/>
  <c r="AH5" i="7"/>
  <c r="AH7" i="7"/>
  <c r="AH70" i="8"/>
  <c r="AI69" i="8" s="1"/>
  <c r="BS65" i="8"/>
  <c r="BT64" i="8"/>
  <c r="BT65" i="8" s="1"/>
  <c r="BT50" i="8"/>
  <c r="BT30" i="8"/>
  <c r="BT32" i="8"/>
  <c r="BT31" i="8"/>
  <c r="BT33" i="8"/>
  <c r="BT35" i="8"/>
  <c r="BT34" i="8"/>
  <c r="BT36" i="8"/>
  <c r="BT29" i="8"/>
  <c r="BS40" i="8"/>
  <c r="BS39" i="8"/>
  <c r="BU1" i="8"/>
  <c r="BT2" i="8"/>
  <c r="BT38" i="8" s="1"/>
  <c r="BT12" i="7"/>
  <c r="BT18" i="7" s="1"/>
  <c r="BG47" i="8" l="1"/>
  <c r="BG55" i="8" s="1"/>
  <c r="BG54" i="8"/>
  <c r="BH11" i="8"/>
  <c r="BH26" i="8" s="1"/>
  <c r="BH37" i="8" s="1"/>
  <c r="BH41" i="8" s="1"/>
  <c r="BH43" i="8" s="1"/>
  <c r="BI7" i="8"/>
  <c r="BI8" i="8"/>
  <c r="BI10" i="8"/>
  <c r="BI9" i="8"/>
  <c r="CM3" i="2"/>
  <c r="CL5" i="2"/>
  <c r="BJ6" i="8" s="1"/>
  <c r="BL22" i="8"/>
  <c r="BK24" i="8"/>
  <c r="BU45" i="6"/>
  <c r="BU49" i="6" s="1"/>
  <c r="BQ45" i="8" s="1"/>
  <c r="BU38" i="8"/>
  <c r="BU21" i="8"/>
  <c r="BU16" i="8"/>
  <c r="BU17" i="8"/>
  <c r="BP14" i="8"/>
  <c r="BU23" i="8"/>
  <c r="BT2" i="7"/>
  <c r="BS5" i="7"/>
  <c r="BS8" i="7"/>
  <c r="BT52" i="8" s="1"/>
  <c r="BV21" i="6"/>
  <c r="BX1" i="6"/>
  <c r="BW35" i="6"/>
  <c r="BW39" i="6"/>
  <c r="BW36" i="6"/>
  <c r="BW37" i="6"/>
  <c r="BW28" i="6"/>
  <c r="BW34" i="6"/>
  <c r="BW25" i="6"/>
  <c r="BW33" i="6"/>
  <c r="BW31" i="6"/>
  <c r="BW29" i="6"/>
  <c r="BW26" i="6"/>
  <c r="BW27" i="6"/>
  <c r="BW40" i="6"/>
  <c r="BW30" i="6"/>
  <c r="BW9" i="6"/>
  <c r="BW10" i="6"/>
  <c r="BW5" i="6"/>
  <c r="BW32" i="6"/>
  <c r="BW7" i="6"/>
  <c r="BW6" i="6"/>
  <c r="BW8" i="6"/>
  <c r="BW11" i="6"/>
  <c r="BW12" i="6"/>
  <c r="BW13" i="6"/>
  <c r="BW14" i="6"/>
  <c r="BW15" i="6"/>
  <c r="BW16" i="6"/>
  <c r="BW17" i="6"/>
  <c r="BW18" i="6"/>
  <c r="BW19" i="6"/>
  <c r="BW20" i="6"/>
  <c r="BW38" i="6"/>
  <c r="BW2" i="6"/>
  <c r="BU20" i="8"/>
  <c r="BU18" i="8"/>
  <c r="BV41" i="6"/>
  <c r="BU15" i="8"/>
  <c r="BV15" i="8" s="1"/>
  <c r="BU19" i="8"/>
  <c r="AI51" i="8"/>
  <c r="AH6" i="7"/>
  <c r="AH9" i="7" s="1"/>
  <c r="AI4" i="7" s="1"/>
  <c r="BT53" i="8"/>
  <c r="BU64" i="8"/>
  <c r="BU65" i="8" s="1"/>
  <c r="BU50" i="8"/>
  <c r="BU53" i="8" s="1"/>
  <c r="BU30" i="8"/>
  <c r="BU33" i="8"/>
  <c r="BU35" i="8"/>
  <c r="BU32" i="8"/>
  <c r="BU34" i="8"/>
  <c r="BU31" i="8"/>
  <c r="BU36" i="8"/>
  <c r="BU29" i="8"/>
  <c r="BT39" i="8"/>
  <c r="BT40" i="8"/>
  <c r="BV1" i="8"/>
  <c r="BU2" i="8"/>
  <c r="BU12" i="7"/>
  <c r="BU18" i="7" s="1"/>
  <c r="BH47" i="8" l="1"/>
  <c r="BH55" i="8" s="1"/>
  <c r="BH54" i="8"/>
  <c r="AI55" i="8"/>
  <c r="AI59" i="8" s="1"/>
  <c r="AI67" i="8" s="1"/>
  <c r="AI54" i="8"/>
  <c r="BI11" i="8"/>
  <c r="BI26" i="8" s="1"/>
  <c r="BI37" i="8" s="1"/>
  <c r="BI41" i="8" s="1"/>
  <c r="BI43" i="8" s="1"/>
  <c r="CM5" i="2"/>
  <c r="BK6" i="8" s="1"/>
  <c r="CN3" i="2"/>
  <c r="BM22" i="8"/>
  <c r="BL24" i="8"/>
  <c r="BJ8" i="8"/>
  <c r="BJ9" i="8"/>
  <c r="BJ7" i="8"/>
  <c r="BJ10" i="8"/>
  <c r="BV20" i="8"/>
  <c r="BV17" i="8"/>
  <c r="BV18" i="8"/>
  <c r="BW21" i="6"/>
  <c r="BV23" i="8"/>
  <c r="BV16" i="8"/>
  <c r="BW41" i="6"/>
  <c r="BV45" i="6"/>
  <c r="BV49" i="6" s="1"/>
  <c r="BR45" i="8" s="1"/>
  <c r="BQ14" i="8"/>
  <c r="BV38" i="8"/>
  <c r="BV19" i="8"/>
  <c r="BY1" i="6"/>
  <c r="BX40" i="6"/>
  <c r="BX37" i="6"/>
  <c r="BX36" i="6"/>
  <c r="BX39" i="6"/>
  <c r="BX35" i="6"/>
  <c r="BX34" i="6"/>
  <c r="BX38" i="6"/>
  <c r="BX27" i="6"/>
  <c r="BX33" i="6"/>
  <c r="BX31" i="6"/>
  <c r="BX29" i="6"/>
  <c r="BX26" i="6"/>
  <c r="BX6" i="6"/>
  <c r="BX7" i="6"/>
  <c r="BX8" i="6"/>
  <c r="BX9" i="6"/>
  <c r="BX32" i="6"/>
  <c r="BX30" i="6"/>
  <c r="BX11" i="6"/>
  <c r="BX17" i="6"/>
  <c r="BX10" i="6"/>
  <c r="BX5" i="6"/>
  <c r="BX25" i="6"/>
  <c r="BX14" i="6"/>
  <c r="BX28" i="6"/>
  <c r="BX12" i="6"/>
  <c r="BX13" i="6"/>
  <c r="BX15" i="6"/>
  <c r="BX16" i="6"/>
  <c r="BX18" i="6"/>
  <c r="BX19" i="6"/>
  <c r="BX20" i="6"/>
  <c r="BX2" i="6"/>
  <c r="BU2" i="7"/>
  <c r="BT5" i="7"/>
  <c r="BT8" i="7"/>
  <c r="BU52" i="8" s="1"/>
  <c r="BV21" i="8"/>
  <c r="BW21" i="8" s="1"/>
  <c r="AI5" i="7"/>
  <c r="AI7" i="7"/>
  <c r="BV64" i="8"/>
  <c r="BV65" i="8" s="1"/>
  <c r="BU39" i="8"/>
  <c r="BU40" i="8"/>
  <c r="BV50" i="8"/>
  <c r="BV53" i="8" s="1"/>
  <c r="BV31" i="8"/>
  <c r="BV33" i="8"/>
  <c r="BV35" i="8"/>
  <c r="BV30" i="8"/>
  <c r="BV32" i="8"/>
  <c r="BV29" i="8"/>
  <c r="BV34" i="8"/>
  <c r="BV36" i="8"/>
  <c r="BW1" i="8"/>
  <c r="BW15" i="8" s="1"/>
  <c r="BV2" i="8"/>
  <c r="BV12" i="7"/>
  <c r="BV18" i="7" s="1"/>
  <c r="AI70" i="8" l="1"/>
  <c r="AJ69" i="8" s="1"/>
  <c r="BI47" i="8"/>
  <c r="BI55" i="8" s="1"/>
  <c r="BI54" i="8"/>
  <c r="BJ11" i="8"/>
  <c r="BJ26" i="8" s="1"/>
  <c r="BJ37" i="8" s="1"/>
  <c r="BJ41" i="8" s="1"/>
  <c r="BJ43" i="8" s="1"/>
  <c r="BN22" i="8"/>
  <c r="BM24" i="8"/>
  <c r="CN5" i="2"/>
  <c r="BL6" i="8" s="1"/>
  <c r="CO3" i="2"/>
  <c r="BK8" i="8"/>
  <c r="BK7" i="8"/>
  <c r="BK9" i="8"/>
  <c r="BK10" i="8"/>
  <c r="BX21" i="6"/>
  <c r="BW18" i="8"/>
  <c r="BW16" i="8"/>
  <c r="BZ1" i="6"/>
  <c r="BY39" i="6"/>
  <c r="BY38" i="6"/>
  <c r="BY37" i="6"/>
  <c r="BY40" i="6"/>
  <c r="BY36" i="6"/>
  <c r="BY34" i="6"/>
  <c r="BY35" i="6"/>
  <c r="BY33" i="6"/>
  <c r="BY32" i="6"/>
  <c r="BY31" i="6"/>
  <c r="BY30" i="6"/>
  <c r="BY29" i="6"/>
  <c r="BY27" i="6"/>
  <c r="BY6" i="6"/>
  <c r="BY7" i="6"/>
  <c r="BY8" i="6"/>
  <c r="BY9" i="6"/>
  <c r="BY10" i="6"/>
  <c r="BY28" i="6"/>
  <c r="BY25" i="6"/>
  <c r="BY26" i="6"/>
  <c r="BY11" i="6"/>
  <c r="BY12" i="6"/>
  <c r="BY13" i="6"/>
  <c r="BY14" i="6"/>
  <c r="BY15" i="6"/>
  <c r="BY16" i="6"/>
  <c r="BY17" i="6"/>
  <c r="BY18" i="6"/>
  <c r="BY19" i="6"/>
  <c r="BY20" i="6"/>
  <c r="BY5" i="6"/>
  <c r="BY2" i="6"/>
  <c r="BR14" i="8"/>
  <c r="BW23" i="8"/>
  <c r="BW20" i="8"/>
  <c r="BV2" i="7"/>
  <c r="BU5" i="7"/>
  <c r="BU8" i="7"/>
  <c r="BV52" i="8" s="1"/>
  <c r="BX41" i="6"/>
  <c r="BX45" i="6" s="1"/>
  <c r="BW19" i="8"/>
  <c r="BW45" i="6"/>
  <c r="BW49" i="6" s="1"/>
  <c r="BS45" i="8" s="1"/>
  <c r="BW17" i="8"/>
  <c r="AJ51" i="8"/>
  <c r="AI6" i="7"/>
  <c r="AI9" i="7" s="1"/>
  <c r="AJ4" i="7" s="1"/>
  <c r="BW64" i="8"/>
  <c r="BW65" i="8" s="1"/>
  <c r="BV40" i="8"/>
  <c r="BV39" i="8"/>
  <c r="BW50" i="8"/>
  <c r="BW53" i="8" s="1"/>
  <c r="BW31" i="8"/>
  <c r="BW30" i="8"/>
  <c r="BW32" i="8"/>
  <c r="BW34" i="8"/>
  <c r="BW36" i="8"/>
  <c r="BW33" i="8"/>
  <c r="BW35" i="8"/>
  <c r="BW29" i="8"/>
  <c r="BX1" i="8"/>
  <c r="BX21" i="8" s="1"/>
  <c r="BW2" i="8"/>
  <c r="BW38" i="8" s="1"/>
  <c r="BW12" i="7"/>
  <c r="BW18" i="7" s="1"/>
  <c r="AJ55" i="8" l="1"/>
  <c r="AJ59" i="8" s="1"/>
  <c r="AJ67" i="8" s="1"/>
  <c r="AJ54" i="8"/>
  <c r="BJ47" i="8"/>
  <c r="BJ55" i="8" s="1"/>
  <c r="BJ54" i="8"/>
  <c r="BK11" i="8"/>
  <c r="BK26" i="8" s="1"/>
  <c r="BK37" i="8" s="1"/>
  <c r="BK41" i="8" s="1"/>
  <c r="BK43" i="8" s="1"/>
  <c r="BO22" i="8"/>
  <c r="BN24" i="8"/>
  <c r="CP3" i="2"/>
  <c r="CO5" i="2"/>
  <c r="BM6" i="8" s="1"/>
  <c r="BL9" i="8"/>
  <c r="BL8" i="8"/>
  <c r="BL10" i="8"/>
  <c r="BL7" i="8"/>
  <c r="BX49" i="6"/>
  <c r="BT45" i="8" s="1"/>
  <c r="BX20" i="8"/>
  <c r="BS14" i="8"/>
  <c r="BX17" i="8"/>
  <c r="BW2" i="7"/>
  <c r="BV5" i="7"/>
  <c r="BV8" i="7"/>
  <c r="BW52" i="8" s="1"/>
  <c r="BX16" i="8"/>
  <c r="BX23" i="8"/>
  <c r="BY23" i="8" s="1"/>
  <c r="BX19" i="8"/>
  <c r="BY21" i="6"/>
  <c r="BY41" i="6"/>
  <c r="CA1" i="6"/>
  <c r="BZ36" i="6"/>
  <c r="BZ38" i="6"/>
  <c r="BZ40" i="6"/>
  <c r="BZ37" i="6"/>
  <c r="BZ34" i="6"/>
  <c r="BZ39" i="6"/>
  <c r="BZ33" i="6"/>
  <c r="BZ32" i="6"/>
  <c r="BZ31" i="6"/>
  <c r="BZ30" i="6"/>
  <c r="BZ29" i="6"/>
  <c r="BZ28" i="6"/>
  <c r="BZ26" i="6"/>
  <c r="BZ35" i="6"/>
  <c r="BZ27" i="6"/>
  <c r="BZ25" i="6"/>
  <c r="BZ6" i="6"/>
  <c r="BZ7" i="6"/>
  <c r="BZ8" i="6"/>
  <c r="BZ9" i="6"/>
  <c r="BZ10" i="6"/>
  <c r="BZ11" i="6"/>
  <c r="BZ12" i="6"/>
  <c r="BZ13" i="6"/>
  <c r="BZ14" i="6"/>
  <c r="BZ15" i="6"/>
  <c r="BZ16" i="6"/>
  <c r="BZ17" i="6"/>
  <c r="BZ18" i="6"/>
  <c r="BZ19" i="6"/>
  <c r="BZ20" i="6"/>
  <c r="BZ5" i="6"/>
  <c r="BZ2" i="6"/>
  <c r="BX18" i="8"/>
  <c r="BY18" i="8" s="1"/>
  <c r="BX15" i="8"/>
  <c r="AJ5" i="7"/>
  <c r="AJ7" i="7"/>
  <c r="BX64" i="8"/>
  <c r="BW39" i="8"/>
  <c r="BW40" i="8"/>
  <c r="BX50" i="8"/>
  <c r="BX31" i="8"/>
  <c r="BX30" i="8"/>
  <c r="BX32" i="8"/>
  <c r="BX34" i="8"/>
  <c r="BX36" i="8"/>
  <c r="BX29" i="8"/>
  <c r="BX35" i="8"/>
  <c r="BX33" i="8"/>
  <c r="BY1" i="8"/>
  <c r="BX2" i="8"/>
  <c r="BX12" i="7"/>
  <c r="BX18" i="7" s="1"/>
  <c r="AJ70" i="8" l="1"/>
  <c r="AK69" i="8" s="1"/>
  <c r="BK47" i="8"/>
  <c r="BK55" i="8" s="1"/>
  <c r="BK54" i="8"/>
  <c r="BL11" i="8"/>
  <c r="BL26" i="8" s="1"/>
  <c r="BL37" i="8" s="1"/>
  <c r="BL41" i="8" s="1"/>
  <c r="BL43" i="8" s="1"/>
  <c r="BM9" i="8"/>
  <c r="BM10" i="8"/>
  <c r="BM7" i="8"/>
  <c r="BM8" i="8"/>
  <c r="CQ3" i="2"/>
  <c r="CP5" i="2"/>
  <c r="BN6" i="8" s="1"/>
  <c r="BP22" i="8"/>
  <c r="BO24" i="8"/>
  <c r="BX2" i="7"/>
  <c r="BW5" i="7"/>
  <c r="BW8" i="7"/>
  <c r="BX52" i="8" s="1"/>
  <c r="BT14" i="8"/>
  <c r="BY16" i="8"/>
  <c r="BY17" i="8"/>
  <c r="BY20" i="8"/>
  <c r="BZ18" i="8"/>
  <c r="BZ21" i="6"/>
  <c r="BZ41" i="6"/>
  <c r="CB1" i="6"/>
  <c r="CA40" i="6"/>
  <c r="CA39" i="6"/>
  <c r="CA35" i="6"/>
  <c r="CA37" i="6"/>
  <c r="CA36" i="6"/>
  <c r="CA38" i="6"/>
  <c r="CA28" i="6"/>
  <c r="CA34" i="6"/>
  <c r="CA25" i="6"/>
  <c r="CA32" i="6"/>
  <c r="CA30" i="6"/>
  <c r="CA26" i="6"/>
  <c r="CA6" i="6"/>
  <c r="CA8" i="6"/>
  <c r="CA5" i="6"/>
  <c r="CA29" i="6"/>
  <c r="CA9" i="6"/>
  <c r="CA31" i="6"/>
  <c r="CA7" i="6"/>
  <c r="CA10" i="6"/>
  <c r="CA11" i="6"/>
  <c r="CA12" i="6"/>
  <c r="CA13" i="6"/>
  <c r="CA14" i="6"/>
  <c r="CA15" i="6"/>
  <c r="CA16" i="6"/>
  <c r="CA17" i="6"/>
  <c r="CA18" i="6"/>
  <c r="CA19" i="6"/>
  <c r="CA20" i="6"/>
  <c r="CA33" i="6"/>
  <c r="CA27" i="6"/>
  <c r="CA2" i="6"/>
  <c r="BY19" i="8"/>
  <c r="BY45" i="6"/>
  <c r="BY49" i="6" s="1"/>
  <c r="BU45" i="8" s="1"/>
  <c r="BY15" i="8"/>
  <c r="BZ15" i="8" s="1"/>
  <c r="BX38" i="8"/>
  <c r="BY21" i="8"/>
  <c r="BZ21" i="8" s="1"/>
  <c r="AK51" i="8"/>
  <c r="AK54" i="8" s="1"/>
  <c r="AJ6" i="7"/>
  <c r="AJ9" i="7" s="1"/>
  <c r="AK4" i="7" s="1"/>
  <c r="BX65" i="8"/>
  <c r="AX8" i="7"/>
  <c r="AY52" i="8" s="1"/>
  <c r="BX53" i="8"/>
  <c r="BY64" i="8"/>
  <c r="BY65" i="8" s="1"/>
  <c r="BX40" i="8"/>
  <c r="BX39" i="8"/>
  <c r="BY50" i="8"/>
  <c r="BY53" i="8" s="1"/>
  <c r="BY31" i="8"/>
  <c r="BY34" i="8"/>
  <c r="BY36" i="8"/>
  <c r="BY33" i="8"/>
  <c r="BY29" i="8"/>
  <c r="BY30" i="8"/>
  <c r="BY35" i="8"/>
  <c r="BY32" i="8"/>
  <c r="BY2" i="8"/>
  <c r="BY38" i="8" s="1"/>
  <c r="BZ1" i="8"/>
  <c r="BY12" i="7"/>
  <c r="BY18" i="7" s="1"/>
  <c r="BL47" i="8" l="1"/>
  <c r="BM11" i="8"/>
  <c r="BM26" i="8" s="1"/>
  <c r="BM37" i="8" s="1"/>
  <c r="BM41" i="8" s="1"/>
  <c r="BM43" i="8" s="1"/>
  <c r="BN7" i="8"/>
  <c r="BN10" i="8"/>
  <c r="BN9" i="8"/>
  <c r="BN8" i="8"/>
  <c r="CR3" i="2"/>
  <c r="CQ5" i="2"/>
  <c r="BO6" i="8" s="1"/>
  <c r="BQ22" i="8"/>
  <c r="BP24" i="8"/>
  <c r="CC1" i="6"/>
  <c r="CB40" i="6"/>
  <c r="CB38" i="6"/>
  <c r="CB35" i="6"/>
  <c r="CB39" i="6"/>
  <c r="CB37" i="6"/>
  <c r="CB34" i="6"/>
  <c r="CB27" i="6"/>
  <c r="CB36" i="6"/>
  <c r="CB32" i="6"/>
  <c r="CB30" i="6"/>
  <c r="CB6" i="6"/>
  <c r="CB7" i="6"/>
  <c r="CB8" i="6"/>
  <c r="CB9" i="6"/>
  <c r="CB28" i="6"/>
  <c r="CB26" i="6"/>
  <c r="CB33" i="6"/>
  <c r="CB31" i="6"/>
  <c r="CB29" i="6"/>
  <c r="CB15" i="6"/>
  <c r="CB16" i="6"/>
  <c r="CB19" i="6"/>
  <c r="CB5" i="6"/>
  <c r="CB11" i="6"/>
  <c r="CB12" i="6"/>
  <c r="CB13" i="6"/>
  <c r="CB17" i="6"/>
  <c r="CB18" i="6"/>
  <c r="CB20" i="6"/>
  <c r="CB25" i="6"/>
  <c r="CB10" i="6"/>
  <c r="CB14" i="6"/>
  <c r="CB2" i="6"/>
  <c r="CA18" i="8"/>
  <c r="CA21" i="6"/>
  <c r="BZ20" i="8"/>
  <c r="BY2" i="7"/>
  <c r="BX5" i="7"/>
  <c r="BX8" i="7"/>
  <c r="BY52" i="8" s="1"/>
  <c r="BZ23" i="8"/>
  <c r="BZ19" i="8"/>
  <c r="BZ45" i="6"/>
  <c r="BZ49" i="6" s="1"/>
  <c r="BV45" i="8" s="1"/>
  <c r="BZ17" i="8"/>
  <c r="BU14" i="8"/>
  <c r="CA41" i="6"/>
  <c r="BZ16" i="8"/>
  <c r="AK7" i="7"/>
  <c r="AK5" i="7"/>
  <c r="AK55" i="8"/>
  <c r="AK59" i="8" s="1"/>
  <c r="AK70" i="8" s="1"/>
  <c r="AL69" i="8" s="1"/>
  <c r="BZ64" i="8"/>
  <c r="BZ65" i="8" s="1"/>
  <c r="BY40" i="8"/>
  <c r="BY39" i="8"/>
  <c r="BZ50" i="8"/>
  <c r="BZ30" i="8"/>
  <c r="BZ34" i="8"/>
  <c r="BZ36" i="8"/>
  <c r="BZ32" i="8"/>
  <c r="BZ33" i="8"/>
  <c r="BZ31" i="8"/>
  <c r="BZ29" i="8"/>
  <c r="BZ35" i="8"/>
  <c r="BZ2" i="8"/>
  <c r="CA1" i="8"/>
  <c r="CA21" i="8" s="1"/>
  <c r="BZ12" i="7"/>
  <c r="BZ18" i="7" s="1"/>
  <c r="BM47" i="8" l="1"/>
  <c r="BN11" i="8"/>
  <c r="BN26" i="8" s="1"/>
  <c r="BN37" i="8" s="1"/>
  <c r="BN41" i="8" s="1"/>
  <c r="BN43" i="8" s="1"/>
  <c r="BR22" i="8"/>
  <c r="BQ24" i="8"/>
  <c r="BO8" i="8"/>
  <c r="BO10" i="8"/>
  <c r="BO9" i="8"/>
  <c r="BO7" i="8"/>
  <c r="CR5" i="2"/>
  <c r="BP6" i="8" s="1"/>
  <c r="CS3" i="2"/>
  <c r="CB41" i="6"/>
  <c r="CA45" i="6"/>
  <c r="CA49" i="6" s="1"/>
  <c r="BW45" i="8" s="1"/>
  <c r="BV14" i="8"/>
  <c r="CA19" i="8"/>
  <c r="BZ2" i="7"/>
  <c r="BY5" i="7"/>
  <c r="BY8" i="7"/>
  <c r="BZ52" i="8" s="1"/>
  <c r="CA16" i="8"/>
  <c r="CA17" i="8"/>
  <c r="CA23" i="8"/>
  <c r="BZ38" i="8"/>
  <c r="CD1" i="6"/>
  <c r="CC39" i="6"/>
  <c r="CC38" i="6"/>
  <c r="CC37" i="6"/>
  <c r="CC36" i="6"/>
  <c r="CC35" i="6"/>
  <c r="CC34" i="6"/>
  <c r="CC40" i="6"/>
  <c r="CC33" i="6"/>
  <c r="CC32" i="6"/>
  <c r="CC31" i="6"/>
  <c r="CC30" i="6"/>
  <c r="CC29" i="6"/>
  <c r="CC28" i="6"/>
  <c r="CC26" i="6"/>
  <c r="CC6" i="6"/>
  <c r="CC7" i="6"/>
  <c r="CC8" i="6"/>
  <c r="CC9" i="6"/>
  <c r="CC10" i="6"/>
  <c r="CC27" i="6"/>
  <c r="CC25" i="6"/>
  <c r="CC11" i="6"/>
  <c r="CC12" i="6"/>
  <c r="CC13" i="6"/>
  <c r="CC14" i="6"/>
  <c r="CC15" i="6"/>
  <c r="CC16" i="6"/>
  <c r="CC17" i="6"/>
  <c r="CC18" i="6"/>
  <c r="CC19" i="6"/>
  <c r="CC20" i="6"/>
  <c r="CC5" i="6"/>
  <c r="CC2" i="6"/>
  <c r="CA20" i="8"/>
  <c r="CB21" i="6"/>
  <c r="CA15" i="8"/>
  <c r="AK67" i="8"/>
  <c r="AK6" i="7"/>
  <c r="AK9" i="7" s="1"/>
  <c r="AL4" i="7" s="1"/>
  <c r="AL51" i="8"/>
  <c r="AL54" i="8" s="1"/>
  <c r="BK64" i="8"/>
  <c r="BK65" i="8" s="1"/>
  <c r="BZ53" i="8"/>
  <c r="CA64" i="8"/>
  <c r="CA50" i="8"/>
  <c r="CA53" i="8" s="1"/>
  <c r="CA30" i="8"/>
  <c r="CA32" i="8"/>
  <c r="CA31" i="8"/>
  <c r="CA33" i="8"/>
  <c r="CA35" i="8"/>
  <c r="CA34" i="8"/>
  <c r="CA36" i="8"/>
  <c r="CA29" i="8"/>
  <c r="BZ40" i="8"/>
  <c r="BZ39" i="8"/>
  <c r="CA2" i="8"/>
  <c r="CB1" i="8"/>
  <c r="CB21" i="8" s="1"/>
  <c r="CA12" i="7"/>
  <c r="CA18" i="7" s="1"/>
  <c r="BN47" i="8" l="1"/>
  <c r="BO11" i="8"/>
  <c r="BO26" i="8" s="1"/>
  <c r="BO37" i="8" s="1"/>
  <c r="BO41" i="8" s="1"/>
  <c r="BO43" i="8" s="1"/>
  <c r="CT3" i="2"/>
  <c r="CS5" i="2"/>
  <c r="BQ6" i="8" s="1"/>
  <c r="BP10" i="8"/>
  <c r="BP9" i="8"/>
  <c r="BP7" i="8"/>
  <c r="BP8" i="8"/>
  <c r="BS22" i="8"/>
  <c r="BR24" i="8"/>
  <c r="CB45" i="6"/>
  <c r="CB49" i="6" s="1"/>
  <c r="BX45" i="8" s="1"/>
  <c r="CA38" i="8"/>
  <c r="CB23" i="8"/>
  <c r="CB18" i="8"/>
  <c r="BW14" i="8"/>
  <c r="CB15" i="8"/>
  <c r="CC41" i="6"/>
  <c r="CB17" i="8"/>
  <c r="CC17" i="8" s="1"/>
  <c r="CA2" i="7"/>
  <c r="BZ5" i="7"/>
  <c r="BZ8" i="7"/>
  <c r="CA52" i="8" s="1"/>
  <c r="CB20" i="8"/>
  <c r="CC21" i="6"/>
  <c r="CE1" i="6"/>
  <c r="CD36" i="6"/>
  <c r="CD37" i="6"/>
  <c r="CD40" i="6"/>
  <c r="CD39" i="6"/>
  <c r="CD38" i="6"/>
  <c r="CD34" i="6"/>
  <c r="CD33" i="6"/>
  <c r="CD32" i="6"/>
  <c r="CD31" i="6"/>
  <c r="CD30" i="6"/>
  <c r="CD29" i="6"/>
  <c r="CD35" i="6"/>
  <c r="CD28" i="6"/>
  <c r="CD26" i="6"/>
  <c r="CD27" i="6"/>
  <c r="CD25" i="6"/>
  <c r="CD6" i="6"/>
  <c r="CD7" i="6"/>
  <c r="CD8" i="6"/>
  <c r="CD9" i="6"/>
  <c r="CD10" i="6"/>
  <c r="CD11" i="6"/>
  <c r="CD12" i="6"/>
  <c r="CD13" i="6"/>
  <c r="CD14" i="6"/>
  <c r="CD15" i="6"/>
  <c r="CD16" i="6"/>
  <c r="CD17" i="6"/>
  <c r="CD18" i="6"/>
  <c r="CD19" i="6"/>
  <c r="CD20" i="6"/>
  <c r="CD5" i="6"/>
  <c r="CD2" i="6"/>
  <c r="CB16" i="8"/>
  <c r="CB19" i="8"/>
  <c r="AL55" i="8"/>
  <c r="AL59" i="8" s="1"/>
  <c r="AL70" i="8" s="1"/>
  <c r="AM69" i="8" s="1"/>
  <c r="AL7" i="7"/>
  <c r="AL5" i="7"/>
  <c r="BJ18" i="7"/>
  <c r="CA65" i="8"/>
  <c r="CB64" i="8"/>
  <c r="CB65" i="8" s="1"/>
  <c r="CA40" i="8"/>
  <c r="CA39" i="8"/>
  <c r="CB50" i="8"/>
  <c r="CB30" i="8"/>
  <c r="CB32" i="8"/>
  <c r="CB31" i="8"/>
  <c r="CB33" i="8"/>
  <c r="CB35" i="8"/>
  <c r="CB34" i="8"/>
  <c r="CB29" i="8"/>
  <c r="CB36" i="8"/>
  <c r="CC1" i="8"/>
  <c r="CB2" i="8"/>
  <c r="CB12" i="7"/>
  <c r="CB18" i="7" s="1"/>
  <c r="BO47" i="8" l="1"/>
  <c r="BP11" i="8"/>
  <c r="BP26" i="8" s="1"/>
  <c r="BP37" i="8" s="1"/>
  <c r="BP41" i="8" s="1"/>
  <c r="BP43" i="8" s="1"/>
  <c r="BT22" i="8"/>
  <c r="BS24" i="8"/>
  <c r="BQ9" i="8"/>
  <c r="BQ7" i="8"/>
  <c r="BQ10" i="8"/>
  <c r="BQ8" i="8"/>
  <c r="CU3" i="2"/>
  <c r="CT5" i="2"/>
  <c r="BR6" i="8" s="1"/>
  <c r="CC45" i="6"/>
  <c r="CC49" i="6" s="1"/>
  <c r="BY45" i="8" s="1"/>
  <c r="CC16" i="8"/>
  <c r="CC20" i="8"/>
  <c r="BX14" i="8"/>
  <c r="CC19" i="8"/>
  <c r="CB38" i="8"/>
  <c r="CB2" i="7"/>
  <c r="CA5" i="7"/>
  <c r="CA8" i="7"/>
  <c r="CB52" i="8" s="1"/>
  <c r="CC18" i="8"/>
  <c r="CD21" i="6"/>
  <c r="CD41" i="6"/>
  <c r="CF1" i="6"/>
  <c r="CE38" i="6"/>
  <c r="CE35" i="6"/>
  <c r="CE39" i="6"/>
  <c r="CE34" i="6"/>
  <c r="CE40" i="6"/>
  <c r="CE28" i="6"/>
  <c r="CE36" i="6"/>
  <c r="CE27" i="6"/>
  <c r="CE25" i="6"/>
  <c r="CE37" i="6"/>
  <c r="CE33" i="6"/>
  <c r="CE31" i="6"/>
  <c r="CE29" i="6"/>
  <c r="CE32" i="6"/>
  <c r="CE10" i="6"/>
  <c r="CE5" i="6"/>
  <c r="CE6" i="6"/>
  <c r="CE8" i="6"/>
  <c r="CE30" i="6"/>
  <c r="CE9" i="6"/>
  <c r="CE11" i="6"/>
  <c r="CE12" i="6"/>
  <c r="CE13" i="6"/>
  <c r="CE14" i="6"/>
  <c r="CE15" i="6"/>
  <c r="CE16" i="6"/>
  <c r="CE17" i="6"/>
  <c r="CE18" i="6"/>
  <c r="CE19" i="6"/>
  <c r="CE20" i="6"/>
  <c r="CE26" i="6"/>
  <c r="CE7" i="6"/>
  <c r="CE2" i="6"/>
  <c r="CC15" i="8"/>
  <c r="CC23" i="8"/>
  <c r="CC21" i="8"/>
  <c r="AL67" i="8"/>
  <c r="AL6" i="7"/>
  <c r="AL9" i="7" s="1"/>
  <c r="AM4" i="7" s="1"/>
  <c r="AM7" i="7" s="1"/>
  <c r="AM6" i="7" s="1"/>
  <c r="AM9" i="7" s="1"/>
  <c r="AN4" i="7" s="1"/>
  <c r="AN7" i="7" s="1"/>
  <c r="AN6" i="7" s="1"/>
  <c r="AN9" i="7" s="1"/>
  <c r="AO4" i="7" s="1"/>
  <c r="AO7" i="7" s="1"/>
  <c r="AO6" i="7" s="1"/>
  <c r="AO9" i="7" s="1"/>
  <c r="AP4" i="7" s="1"/>
  <c r="AP7" i="7" s="1"/>
  <c r="AP6" i="7" s="1"/>
  <c r="AP9" i="7" s="1"/>
  <c r="AQ4" i="7" s="1"/>
  <c r="AQ7" i="7" s="1"/>
  <c r="AQ6" i="7" s="1"/>
  <c r="AQ9" i="7" s="1"/>
  <c r="AR4" i="7" s="1"/>
  <c r="AR7" i="7" s="1"/>
  <c r="AR6" i="7" s="1"/>
  <c r="AR9" i="7" s="1"/>
  <c r="AS4" i="7" s="1"/>
  <c r="AS7" i="7" s="1"/>
  <c r="AS6" i="7" s="1"/>
  <c r="AS9" i="7" s="1"/>
  <c r="AT4" i="7" s="1"/>
  <c r="AT7" i="7" s="1"/>
  <c r="AT6" i="7" s="1"/>
  <c r="AT9" i="7" s="1"/>
  <c r="AU4" i="7" s="1"/>
  <c r="AU7" i="7" s="1"/>
  <c r="AU6" i="7" s="1"/>
  <c r="AU9" i="7" s="1"/>
  <c r="AV4" i="7" s="1"/>
  <c r="AV7" i="7" s="1"/>
  <c r="AV6" i="7" s="1"/>
  <c r="AV9" i="7" s="1"/>
  <c r="AW4" i="7" s="1"/>
  <c r="AW7" i="7" s="1"/>
  <c r="AW6" i="7" s="1"/>
  <c r="AW9" i="7" s="1"/>
  <c r="AX4" i="7" s="1"/>
  <c r="AM51" i="8"/>
  <c r="AM54" i="8" s="1"/>
  <c r="CB53" i="8"/>
  <c r="CC64" i="8"/>
  <c r="CB39" i="8"/>
  <c r="CB40" i="8"/>
  <c r="CC50" i="8"/>
  <c r="CC53" i="8" s="1"/>
  <c r="CC30" i="8"/>
  <c r="CC31" i="8"/>
  <c r="CC33" i="8"/>
  <c r="CC35" i="8"/>
  <c r="CC36" i="8"/>
  <c r="CC32" i="8"/>
  <c r="CC34" i="8"/>
  <c r="CC29" i="8"/>
  <c r="CD1" i="8"/>
  <c r="CC2" i="8"/>
  <c r="CC38" i="8" s="1"/>
  <c r="CC12" i="7"/>
  <c r="CC18" i="7" s="1"/>
  <c r="BP47" i="8" l="1"/>
  <c r="BQ11" i="8"/>
  <c r="BQ26" i="8" s="1"/>
  <c r="BQ37" i="8" s="1"/>
  <c r="BQ41" i="8" s="1"/>
  <c r="BQ43" i="8" s="1"/>
  <c r="CV3" i="2"/>
  <c r="CU5" i="2"/>
  <c r="BS6" i="8" s="1"/>
  <c r="BR9" i="8"/>
  <c r="BR7" i="8"/>
  <c r="BR8" i="8"/>
  <c r="BR10" i="8"/>
  <c r="BU22" i="8"/>
  <c r="BT24" i="8"/>
  <c r="CE41" i="6"/>
  <c r="CD19" i="8"/>
  <c r="CE19" i="8" s="1"/>
  <c r="CD21" i="8"/>
  <c r="CE21" i="6"/>
  <c r="CG1" i="6"/>
  <c r="CF40" i="6"/>
  <c r="CF39" i="6"/>
  <c r="CF37" i="6"/>
  <c r="CF36" i="6"/>
  <c r="CF38" i="6"/>
  <c r="CF35" i="6"/>
  <c r="CF27" i="6"/>
  <c r="CF33" i="6"/>
  <c r="CF31" i="6"/>
  <c r="CF29" i="6"/>
  <c r="CF6" i="6"/>
  <c r="CF7" i="6"/>
  <c r="CF8" i="6"/>
  <c r="CF32" i="6"/>
  <c r="CF30" i="6"/>
  <c r="CF26" i="6"/>
  <c r="CF34" i="6"/>
  <c r="CF14" i="6"/>
  <c r="CF18" i="6"/>
  <c r="CF28" i="6"/>
  <c r="CF25" i="6"/>
  <c r="CF10" i="6"/>
  <c r="CF5" i="6"/>
  <c r="CF15" i="6"/>
  <c r="CF16" i="6"/>
  <c r="CF19" i="6"/>
  <c r="CF9" i="6"/>
  <c r="CF11" i="6"/>
  <c r="CF12" i="6"/>
  <c r="CF13" i="6"/>
  <c r="CF17" i="6"/>
  <c r="CF20" i="6"/>
  <c r="CF2" i="6"/>
  <c r="CD20" i="8"/>
  <c r="CD23" i="8"/>
  <c r="CD18" i="8"/>
  <c r="CE18" i="8" s="1"/>
  <c r="CC2" i="7"/>
  <c r="CB8" i="7"/>
  <c r="CC52" i="8" s="1"/>
  <c r="CB5" i="7"/>
  <c r="CD17" i="8"/>
  <c r="CE17" i="8" s="1"/>
  <c r="CD16" i="8"/>
  <c r="BY14" i="8"/>
  <c r="CD15" i="8"/>
  <c r="CD45" i="6"/>
  <c r="CD49" i="6" s="1"/>
  <c r="BZ45" i="8" s="1"/>
  <c r="AM55" i="8"/>
  <c r="AM59" i="8" s="1"/>
  <c r="AM70" i="8" s="1"/>
  <c r="AN69" i="8" s="1"/>
  <c r="AX7" i="7"/>
  <c r="AX6" i="7" s="1"/>
  <c r="AX9" i="7" s="1"/>
  <c r="AY4" i="7" s="1"/>
  <c r="AY7" i="7" s="1"/>
  <c r="AY6" i="7" s="1"/>
  <c r="AY9" i="7" s="1"/>
  <c r="AZ4" i="7" s="1"/>
  <c r="AZ7" i="7" s="1"/>
  <c r="AZ6" i="7" s="1"/>
  <c r="AZ9" i="7" s="1"/>
  <c r="BA4" i="7" s="1"/>
  <c r="BA7" i="7" s="1"/>
  <c r="BA6" i="7" s="1"/>
  <c r="BA9" i="7" s="1"/>
  <c r="BB4" i="7" s="1"/>
  <c r="BB7" i="7" s="1"/>
  <c r="BB6" i="7" s="1"/>
  <c r="BB9" i="7" s="1"/>
  <c r="BC4" i="7" s="1"/>
  <c r="BC7" i="7" s="1"/>
  <c r="BC6" i="7" s="1"/>
  <c r="BC9" i="7" s="1"/>
  <c r="BD4" i="7" s="1"/>
  <c r="BD7" i="7" s="1"/>
  <c r="BD6" i="7" s="1"/>
  <c r="BD9" i="7" s="1"/>
  <c r="BE4" i="7" s="1"/>
  <c r="BE7" i="7" s="1"/>
  <c r="BE6" i="7" s="1"/>
  <c r="BE9" i="7" s="1"/>
  <c r="BF4" i="7" s="1"/>
  <c r="BF7" i="7" s="1"/>
  <c r="BF6" i="7" s="1"/>
  <c r="BF9" i="7" s="1"/>
  <c r="BG4" i="7" s="1"/>
  <c r="BG7" i="7" s="1"/>
  <c r="BG6" i="7" s="1"/>
  <c r="BG9" i="7" s="1"/>
  <c r="BH4" i="7" s="1"/>
  <c r="BH7" i="7" s="1"/>
  <c r="BH6" i="7" s="1"/>
  <c r="BH9" i="7" s="1"/>
  <c r="BI4" i="7" s="1"/>
  <c r="BI7" i="7" s="1"/>
  <c r="BI6" i="7" s="1"/>
  <c r="BI9" i="7" s="1"/>
  <c r="BJ4" i="7" s="1"/>
  <c r="BJ7" i="7" s="1"/>
  <c r="BJ6" i="7" s="1"/>
  <c r="BJ8" i="7" s="1"/>
  <c r="CC65" i="8"/>
  <c r="CD64" i="8"/>
  <c r="CD65" i="8" s="1"/>
  <c r="CD50" i="8"/>
  <c r="CD31" i="8"/>
  <c r="CD32" i="8"/>
  <c r="CD33" i="8"/>
  <c r="CD35" i="8"/>
  <c r="CD29" i="8"/>
  <c r="CD36" i="8"/>
  <c r="CD30" i="8"/>
  <c r="CD34" i="8"/>
  <c r="CC39" i="8"/>
  <c r="CC40" i="8"/>
  <c r="CE1" i="8"/>
  <c r="CD2" i="8"/>
  <c r="CD38" i="8" s="1"/>
  <c r="CD12" i="7"/>
  <c r="CD18" i="7" s="1"/>
  <c r="BQ47" i="8" l="1"/>
  <c r="BR11" i="8"/>
  <c r="BR26" i="8" s="1"/>
  <c r="BR37" i="8" s="1"/>
  <c r="BR41" i="8" s="1"/>
  <c r="BR43" i="8" s="1"/>
  <c r="BV22" i="8"/>
  <c r="BU24" i="8"/>
  <c r="BS9" i="8"/>
  <c r="BS8" i="8"/>
  <c r="BS7" i="8"/>
  <c r="BS10" i="8"/>
  <c r="CW3" i="2"/>
  <c r="CV5" i="2"/>
  <c r="BT6" i="8" s="1"/>
  <c r="AN59" i="8"/>
  <c r="AN67" i="8" s="1"/>
  <c r="BZ14" i="8"/>
  <c r="CE23" i="8"/>
  <c r="CH1" i="6"/>
  <c r="CG39" i="6"/>
  <c r="CG38" i="6"/>
  <c r="CG37" i="6"/>
  <c r="CG40" i="6"/>
  <c r="CG36" i="6"/>
  <c r="CG35" i="6"/>
  <c r="CG34" i="6"/>
  <c r="CG33" i="6"/>
  <c r="CG32" i="6"/>
  <c r="CG31" i="6"/>
  <c r="CG30" i="6"/>
  <c r="CG29" i="6"/>
  <c r="CG26" i="6"/>
  <c r="CG6" i="6"/>
  <c r="CG7" i="6"/>
  <c r="CG8" i="6"/>
  <c r="CG9" i="6"/>
  <c r="CG10" i="6"/>
  <c r="CG28" i="6"/>
  <c r="CG25" i="6"/>
  <c r="CG11" i="6"/>
  <c r="CG12" i="6"/>
  <c r="CG13" i="6"/>
  <c r="CG14" i="6"/>
  <c r="CG15" i="6"/>
  <c r="CG16" i="6"/>
  <c r="CG17" i="6"/>
  <c r="CG18" i="6"/>
  <c r="CG19" i="6"/>
  <c r="CG20" i="6"/>
  <c r="CG27" i="6"/>
  <c r="CG5" i="6"/>
  <c r="CG2" i="6"/>
  <c r="CF18" i="8"/>
  <c r="CF41" i="6"/>
  <c r="CE15" i="8"/>
  <c r="CF21" i="6"/>
  <c r="CE45" i="6"/>
  <c r="CE49" i="6" s="1"/>
  <c r="CA45" i="8" s="1"/>
  <c r="CE38" i="8"/>
  <c r="CE16" i="8"/>
  <c r="CD2" i="7"/>
  <c r="CC5" i="7"/>
  <c r="CC8" i="7"/>
  <c r="CD52" i="8" s="1"/>
  <c r="CE20" i="8"/>
  <c r="CE21" i="8"/>
  <c r="CF21" i="8" s="1"/>
  <c r="BJ9" i="7"/>
  <c r="BK4" i="7" s="1"/>
  <c r="BK7" i="7" s="1"/>
  <c r="BK6" i="7" s="1"/>
  <c r="BK9" i="7" s="1"/>
  <c r="BL4" i="7" s="1"/>
  <c r="BL7" i="7" s="1"/>
  <c r="BL6" i="7" s="1"/>
  <c r="BL9" i="7" s="1"/>
  <c r="BM4" i="7" s="1"/>
  <c r="BM7" i="7" s="1"/>
  <c r="BM6" i="7" s="1"/>
  <c r="BM9" i="7" s="1"/>
  <c r="BN4" i="7" s="1"/>
  <c r="BN7" i="7" s="1"/>
  <c r="BN6" i="7" s="1"/>
  <c r="BN9" i="7" s="1"/>
  <c r="BO4" i="7" s="1"/>
  <c r="BO7" i="7" s="1"/>
  <c r="BO6" i="7" s="1"/>
  <c r="BO9" i="7" s="1"/>
  <c r="BP4" i="7" s="1"/>
  <c r="BP7" i="7" s="1"/>
  <c r="BP6" i="7" s="1"/>
  <c r="BP9" i="7" s="1"/>
  <c r="BQ4" i="7" s="1"/>
  <c r="BQ7" i="7" s="1"/>
  <c r="BQ6" i="7" s="1"/>
  <c r="BQ9" i="7" s="1"/>
  <c r="BR4" i="7" s="1"/>
  <c r="BR7" i="7" s="1"/>
  <c r="BR6" i="7" s="1"/>
  <c r="BR9" i="7" s="1"/>
  <c r="BS4" i="7" s="1"/>
  <c r="BS7" i="7" s="1"/>
  <c r="BS6" i="7" s="1"/>
  <c r="BS9" i="7" s="1"/>
  <c r="BT4" i="7" s="1"/>
  <c r="BT7" i="7" s="1"/>
  <c r="BT6" i="7" s="1"/>
  <c r="BT9" i="7" s="1"/>
  <c r="BU4" i="7" s="1"/>
  <c r="BU7" i="7" s="1"/>
  <c r="BU6" i="7" s="1"/>
  <c r="BU9" i="7" s="1"/>
  <c r="BV4" i="7" s="1"/>
  <c r="BV7" i="7" s="1"/>
  <c r="BV6" i="7" s="1"/>
  <c r="BV9" i="7" s="1"/>
  <c r="BW4" i="7" s="1"/>
  <c r="BW7" i="7" s="1"/>
  <c r="BW6" i="7" s="1"/>
  <c r="BW9" i="7" s="1"/>
  <c r="BX4" i="7" s="1"/>
  <c r="BK52" i="8"/>
  <c r="AM67" i="8"/>
  <c r="CD53" i="8"/>
  <c r="CE64" i="8"/>
  <c r="CD39" i="8"/>
  <c r="CD40" i="8"/>
  <c r="CE50" i="8"/>
  <c r="CE53" i="8" s="1"/>
  <c r="CE31" i="8"/>
  <c r="CE30" i="8"/>
  <c r="CE32" i="8"/>
  <c r="CE34" i="8"/>
  <c r="CE36" i="8"/>
  <c r="CE33" i="8"/>
  <c r="CE35" i="8"/>
  <c r="CE29" i="8"/>
  <c r="CE2" i="8"/>
  <c r="CF1" i="8"/>
  <c r="CF19" i="8" s="1"/>
  <c r="CE12" i="7"/>
  <c r="CE18" i="7" s="1"/>
  <c r="BR47" i="8" l="1"/>
  <c r="BS11" i="8"/>
  <c r="BS26" i="8" s="1"/>
  <c r="BS37" i="8" s="1"/>
  <c r="BS41" i="8" s="1"/>
  <c r="BS43" i="8" s="1"/>
  <c r="CX3" i="2"/>
  <c r="CW5" i="2"/>
  <c r="BU6" i="8" s="1"/>
  <c r="BT7" i="8"/>
  <c r="BT10" i="8"/>
  <c r="BT9" i="8"/>
  <c r="BT8" i="8"/>
  <c r="BW22" i="8"/>
  <c r="BV24" i="8"/>
  <c r="AN70" i="8"/>
  <c r="AO69" i="8" s="1"/>
  <c r="CE2" i="7"/>
  <c r="CD5" i="7"/>
  <c r="CD8" i="7"/>
  <c r="CF20" i="8"/>
  <c r="CF16" i="8"/>
  <c r="CF15" i="8"/>
  <c r="CF45" i="6"/>
  <c r="CF49" i="6" s="1"/>
  <c r="CB45" i="8" s="1"/>
  <c r="CG21" i="6"/>
  <c r="CG41" i="6"/>
  <c r="CI1" i="6"/>
  <c r="CH36" i="6"/>
  <c r="CH37" i="6"/>
  <c r="CH35" i="6"/>
  <c r="CH40" i="6"/>
  <c r="CH38" i="6"/>
  <c r="CH33" i="6"/>
  <c r="CH32" i="6"/>
  <c r="CH31" i="6"/>
  <c r="CH30" i="6"/>
  <c r="CH29" i="6"/>
  <c r="CH34" i="6"/>
  <c r="CH28" i="6"/>
  <c r="CH26" i="6"/>
  <c r="CH39" i="6"/>
  <c r="CH25" i="6"/>
  <c r="CH27" i="6"/>
  <c r="CH6" i="6"/>
  <c r="CH7" i="6"/>
  <c r="CH8" i="6"/>
  <c r="CH9" i="6"/>
  <c r="CH10" i="6"/>
  <c r="CH11" i="6"/>
  <c r="CH12" i="6"/>
  <c r="CH13" i="6"/>
  <c r="CH14" i="6"/>
  <c r="CH15" i="6"/>
  <c r="CH16" i="6"/>
  <c r="CH17" i="6"/>
  <c r="CH18" i="6"/>
  <c r="CH19" i="6"/>
  <c r="CH20" i="6"/>
  <c r="CH5" i="6"/>
  <c r="CH2" i="6"/>
  <c r="CA14" i="8"/>
  <c r="CF23" i="8"/>
  <c r="CF17" i="8"/>
  <c r="CE65" i="8"/>
  <c r="CF64" i="8"/>
  <c r="CF65" i="8" s="1"/>
  <c r="CF50" i="8"/>
  <c r="CF31" i="8"/>
  <c r="CF30" i="8"/>
  <c r="CF32" i="8"/>
  <c r="CF34" i="8"/>
  <c r="CF33" i="8"/>
  <c r="CF36" i="8"/>
  <c r="CF29" i="8"/>
  <c r="CF35" i="8"/>
  <c r="CE39" i="8"/>
  <c r="CE40" i="8"/>
  <c r="CF2" i="8"/>
  <c r="CG1" i="8"/>
  <c r="CG19" i="8" s="1"/>
  <c r="CF12" i="7"/>
  <c r="CF18" i="7" s="1"/>
  <c r="BX7" i="7"/>
  <c r="BX6" i="7" s="1"/>
  <c r="BX9" i="7" s="1"/>
  <c r="BY4" i="7" s="1"/>
  <c r="BS47" i="8" l="1"/>
  <c r="BT11" i="8"/>
  <c r="BT26" i="8" s="1"/>
  <c r="BT37" i="8" s="1"/>
  <c r="BT41" i="8" s="1"/>
  <c r="BT43" i="8" s="1"/>
  <c r="BX22" i="8"/>
  <c r="BW24" i="8"/>
  <c r="BU10" i="8"/>
  <c r="BU8" i="8"/>
  <c r="BU7" i="8"/>
  <c r="BU9" i="8"/>
  <c r="CX5" i="2"/>
  <c r="BV6" i="8" s="1"/>
  <c r="CY3" i="2"/>
  <c r="AO59" i="8"/>
  <c r="AO67" i="8" s="1"/>
  <c r="CH41" i="6"/>
  <c r="CG23" i="8"/>
  <c r="CG20" i="8"/>
  <c r="CG21" i="8"/>
  <c r="CB14" i="8"/>
  <c r="CG45" i="6"/>
  <c r="CG49" i="6" s="1"/>
  <c r="CC45" i="8" s="1"/>
  <c r="CE52" i="8"/>
  <c r="CG15" i="8"/>
  <c r="CG17" i="8"/>
  <c r="CF38" i="8"/>
  <c r="CG18" i="8"/>
  <c r="CH21" i="6"/>
  <c r="CJ1" i="6"/>
  <c r="CI37" i="6"/>
  <c r="CI36" i="6"/>
  <c r="CI35" i="6"/>
  <c r="CI40" i="6"/>
  <c r="CI38" i="6"/>
  <c r="CI34" i="6"/>
  <c r="CI28" i="6"/>
  <c r="CI39" i="6"/>
  <c r="CI26" i="6"/>
  <c r="CI25" i="6"/>
  <c r="CI32" i="6"/>
  <c r="CI30" i="6"/>
  <c r="CI27" i="6"/>
  <c r="CI29" i="6"/>
  <c r="CI7" i="6"/>
  <c r="CI9" i="6"/>
  <c r="CI5" i="6"/>
  <c r="CI31" i="6"/>
  <c r="CI33" i="6"/>
  <c r="CI6" i="6"/>
  <c r="CI8" i="6"/>
  <c r="CI10" i="6"/>
  <c r="CI11" i="6"/>
  <c r="CI12" i="6"/>
  <c r="CI13" i="6"/>
  <c r="CI14" i="6"/>
  <c r="CI15" i="6"/>
  <c r="CI16" i="6"/>
  <c r="CI17" i="6"/>
  <c r="CI18" i="6"/>
  <c r="CI19" i="6"/>
  <c r="CI20" i="6"/>
  <c r="CI2" i="6"/>
  <c r="CG16" i="8"/>
  <c r="CF2" i="7"/>
  <c r="CE5" i="7"/>
  <c r="CE8" i="7"/>
  <c r="CF52" i="8" s="1"/>
  <c r="CF53" i="8"/>
  <c r="CG64" i="8"/>
  <c r="CG65" i="8" s="1"/>
  <c r="CG50" i="8"/>
  <c r="CG53" i="8" s="1"/>
  <c r="CG31" i="8"/>
  <c r="CG32" i="8"/>
  <c r="CG34" i="8"/>
  <c r="CG36" i="8"/>
  <c r="CG33" i="8"/>
  <c r="CG29" i="8"/>
  <c r="CG30" i="8"/>
  <c r="CG35" i="8"/>
  <c r="CF40" i="8"/>
  <c r="CF39" i="8"/>
  <c r="CG2" i="8"/>
  <c r="CH1" i="8"/>
  <c r="CG12" i="7"/>
  <c r="CG18" i="7" s="1"/>
  <c r="BY7" i="7"/>
  <c r="BY6" i="7" s="1"/>
  <c r="BY9" i="7" s="1"/>
  <c r="BZ4" i="7" s="1"/>
  <c r="BT47" i="8" l="1"/>
  <c r="BU11" i="8"/>
  <c r="BU26" i="8" s="1"/>
  <c r="BU37" i="8" s="1"/>
  <c r="BU41" i="8" s="1"/>
  <c r="BU43" i="8" s="1"/>
  <c r="CZ3" i="2"/>
  <c r="CY5" i="2"/>
  <c r="BW6" i="8" s="1"/>
  <c r="BY22" i="8"/>
  <c r="BX24" i="8"/>
  <c r="BV9" i="8"/>
  <c r="BV8" i="8"/>
  <c r="BV10" i="8"/>
  <c r="BV7" i="8"/>
  <c r="AO70" i="8"/>
  <c r="AP69" i="8" s="1"/>
  <c r="AP59" i="8" s="1"/>
  <c r="AP67" i="8" s="1"/>
  <c r="CH45" i="6"/>
  <c r="CH49" i="6" s="1"/>
  <c r="CD45" i="8" s="1"/>
  <c r="CH17" i="8"/>
  <c r="CH20" i="8"/>
  <c r="CH16" i="8"/>
  <c r="CK1" i="6"/>
  <c r="CJ40" i="6"/>
  <c r="CJ38" i="6"/>
  <c r="CJ39" i="6"/>
  <c r="CJ35" i="6"/>
  <c r="CJ34" i="6"/>
  <c r="CJ36" i="6"/>
  <c r="CJ37" i="6"/>
  <c r="CJ27" i="6"/>
  <c r="CJ32" i="6"/>
  <c r="CJ30" i="6"/>
  <c r="CJ6" i="6"/>
  <c r="CJ7" i="6"/>
  <c r="CJ8" i="6"/>
  <c r="CJ28" i="6"/>
  <c r="CJ33" i="6"/>
  <c r="CJ31" i="6"/>
  <c r="CJ29" i="6"/>
  <c r="CJ25" i="6"/>
  <c r="CJ11" i="6"/>
  <c r="CJ12" i="6"/>
  <c r="CJ13" i="6"/>
  <c r="CJ20" i="6"/>
  <c r="CJ9" i="6"/>
  <c r="CJ5" i="6"/>
  <c r="CJ10" i="6"/>
  <c r="CJ14" i="6"/>
  <c r="CJ17" i="6"/>
  <c r="CJ26" i="6"/>
  <c r="CJ15" i="6"/>
  <c r="CJ16" i="6"/>
  <c r="CJ18" i="6"/>
  <c r="CJ19" i="6"/>
  <c r="CJ2" i="6"/>
  <c r="CH21" i="8"/>
  <c r="CI41" i="6"/>
  <c r="CH18" i="8"/>
  <c r="CC14" i="8"/>
  <c r="CH23" i="8"/>
  <c r="CG2" i="7"/>
  <c r="CF5" i="7"/>
  <c r="CF8" i="7"/>
  <c r="CG52" i="8" s="1"/>
  <c r="CI21" i="6"/>
  <c r="CG38" i="8"/>
  <c r="CH15" i="8"/>
  <c r="CH19" i="8"/>
  <c r="CH64" i="8"/>
  <c r="CH65" i="8" s="1"/>
  <c r="CH50" i="8"/>
  <c r="CH53" i="8" s="1"/>
  <c r="CH30" i="8"/>
  <c r="CH31" i="8"/>
  <c r="CH32" i="8"/>
  <c r="CH34" i="8"/>
  <c r="CH35" i="8"/>
  <c r="CH36" i="8"/>
  <c r="CH33" i="8"/>
  <c r="CH29" i="8"/>
  <c r="CG40" i="8"/>
  <c r="CG39" i="8"/>
  <c r="CH2" i="8"/>
  <c r="CH38" i="8" s="1"/>
  <c r="CI1" i="8"/>
  <c r="CH12" i="7"/>
  <c r="BZ7" i="7"/>
  <c r="BZ6" i="7" s="1"/>
  <c r="BZ9" i="7" s="1"/>
  <c r="CA4" i="7" s="1"/>
  <c r="BU47" i="8" l="1"/>
  <c r="BV11" i="8"/>
  <c r="BV26" i="8" s="1"/>
  <c r="BV37" i="8" s="1"/>
  <c r="BV41" i="8" s="1"/>
  <c r="BV43" i="8" s="1"/>
  <c r="BW8" i="8"/>
  <c r="BW10" i="8"/>
  <c r="BW9" i="8"/>
  <c r="BW7" i="8"/>
  <c r="BZ22" i="8"/>
  <c r="BY24" i="8"/>
  <c r="CZ5" i="2"/>
  <c r="BX6" i="8" s="1"/>
  <c r="DA3" i="2"/>
  <c r="AP70" i="8"/>
  <c r="AQ69" i="8" s="1"/>
  <c r="CI15" i="8"/>
  <c r="CJ21" i="6"/>
  <c r="CL1" i="6"/>
  <c r="CK39" i="6"/>
  <c r="CK38" i="6"/>
  <c r="CK37" i="6"/>
  <c r="CK40" i="6"/>
  <c r="CK34" i="6"/>
  <c r="CK36" i="6"/>
  <c r="CK33" i="6"/>
  <c r="CK32" i="6"/>
  <c r="CK31" i="6"/>
  <c r="CK30" i="6"/>
  <c r="CK29" i="6"/>
  <c r="CK28" i="6"/>
  <c r="CK27" i="6"/>
  <c r="CK6" i="6"/>
  <c r="CK7" i="6"/>
  <c r="CK8" i="6"/>
  <c r="CK9" i="6"/>
  <c r="CK10" i="6"/>
  <c r="CK26" i="6"/>
  <c r="CK25" i="6"/>
  <c r="CK11" i="6"/>
  <c r="CK12" i="6"/>
  <c r="CK13" i="6"/>
  <c r="CK14" i="6"/>
  <c r="CK15" i="6"/>
  <c r="CK16" i="6"/>
  <c r="CK17" i="6"/>
  <c r="CK18" i="6"/>
  <c r="CK19" i="6"/>
  <c r="CK20" i="6"/>
  <c r="CK35" i="6"/>
  <c r="CK5" i="6"/>
  <c r="CK2" i="6"/>
  <c r="CI17" i="8"/>
  <c r="CI23" i="8"/>
  <c r="CI19" i="8"/>
  <c r="CH2" i="7"/>
  <c r="CG5" i="7"/>
  <c r="CG8" i="7"/>
  <c r="CH52" i="8" s="1"/>
  <c r="CD14" i="8"/>
  <c r="CI16" i="8"/>
  <c r="CI38" i="8"/>
  <c r="CI45" i="6"/>
  <c r="CI49" i="6" s="1"/>
  <c r="CE45" i="8" s="1"/>
  <c r="CI18" i="8"/>
  <c r="CI21" i="8"/>
  <c r="CJ21" i="8" s="1"/>
  <c r="CJ41" i="6"/>
  <c r="CI20" i="8"/>
  <c r="CH39" i="8"/>
  <c r="CH40" i="8"/>
  <c r="CI50" i="8"/>
  <c r="CI53" i="8" s="1"/>
  <c r="CI30" i="8"/>
  <c r="CI32" i="8"/>
  <c r="CI31" i="8"/>
  <c r="CI33" i="8"/>
  <c r="CI35" i="8"/>
  <c r="CI34" i="8"/>
  <c r="CI36" i="8"/>
  <c r="CI29" i="8"/>
  <c r="CI2" i="8"/>
  <c r="CJ1" i="8"/>
  <c r="CI12" i="7"/>
  <c r="CI18" i="7" s="1"/>
  <c r="CA7" i="7"/>
  <c r="CA6" i="7" s="1"/>
  <c r="CA9" i="7" s="1"/>
  <c r="CB4" i="7" s="1"/>
  <c r="BV47" i="8" l="1"/>
  <c r="BW11" i="8"/>
  <c r="BW26" i="8" s="1"/>
  <c r="BW37" i="8" s="1"/>
  <c r="BW41" i="8" s="1"/>
  <c r="BW43" i="8" s="1"/>
  <c r="BX7" i="8"/>
  <c r="BX9" i="8"/>
  <c r="BX8" i="8"/>
  <c r="BX10" i="8"/>
  <c r="CA22" i="8"/>
  <c r="BZ24" i="8"/>
  <c r="DB3" i="2"/>
  <c r="DA5" i="2"/>
  <c r="BY6" i="8" s="1"/>
  <c r="AQ59" i="8"/>
  <c r="AQ67" i="8" s="1"/>
  <c r="CK41" i="6"/>
  <c r="CJ18" i="8"/>
  <c r="CJ23" i="8"/>
  <c r="CJ45" i="6"/>
  <c r="CJ49" i="6" s="1"/>
  <c r="CF45" i="8" s="1"/>
  <c r="CI2" i="7"/>
  <c r="CH5" i="7"/>
  <c r="CH8" i="7"/>
  <c r="CJ17" i="8"/>
  <c r="CK21" i="6"/>
  <c r="CM1" i="6"/>
  <c r="CL36" i="6"/>
  <c r="CL40" i="6"/>
  <c r="CL39" i="6"/>
  <c r="CL35" i="6"/>
  <c r="CL37" i="6"/>
  <c r="CL33" i="6"/>
  <c r="CL32" i="6"/>
  <c r="CL31" i="6"/>
  <c r="CL30" i="6"/>
  <c r="CL29" i="6"/>
  <c r="CL28" i="6"/>
  <c r="CL26" i="6"/>
  <c r="CL25" i="6"/>
  <c r="CL38" i="6"/>
  <c r="CL34" i="6"/>
  <c r="CL6" i="6"/>
  <c r="CL7" i="6"/>
  <c r="CL8" i="6"/>
  <c r="CL9" i="6"/>
  <c r="CL10" i="6"/>
  <c r="CL5" i="6"/>
  <c r="CL27" i="6"/>
  <c r="CL11" i="6"/>
  <c r="CL12" i="6"/>
  <c r="CL13" i="6"/>
  <c r="CL14" i="6"/>
  <c r="CL15" i="6"/>
  <c r="CL16" i="6"/>
  <c r="CL17" i="6"/>
  <c r="CL18" i="6"/>
  <c r="CL19" i="6"/>
  <c r="CL20" i="6"/>
  <c r="CL2" i="6"/>
  <c r="CJ20" i="8"/>
  <c r="CJ16" i="8"/>
  <c r="CE14" i="8"/>
  <c r="CJ19" i="8"/>
  <c r="CJ15" i="8"/>
  <c r="CJ64" i="8"/>
  <c r="CJ50" i="8"/>
  <c r="CJ30" i="8"/>
  <c r="CJ32" i="8"/>
  <c r="CJ31" i="8"/>
  <c r="CJ33" i="8"/>
  <c r="CJ35" i="8"/>
  <c r="CJ36" i="8"/>
  <c r="CJ34" i="8"/>
  <c r="CJ29" i="8"/>
  <c r="CI40" i="8"/>
  <c r="CI39" i="8"/>
  <c r="CJ2" i="8"/>
  <c r="CJ38" i="8" s="1"/>
  <c r="CK1" i="8"/>
  <c r="CK21" i="8" s="1"/>
  <c r="CJ12" i="7"/>
  <c r="CJ18" i="7" s="1"/>
  <c r="CB7" i="7"/>
  <c r="CB6" i="7" s="1"/>
  <c r="CB9" i="7" s="1"/>
  <c r="CC4" i="7" s="1"/>
  <c r="BW47" i="8" l="1"/>
  <c r="BX11" i="8"/>
  <c r="BX26" i="8" s="1"/>
  <c r="BX37" i="8" s="1"/>
  <c r="BX41" i="8" s="1"/>
  <c r="BX43" i="8" s="1"/>
  <c r="DC3" i="2"/>
  <c r="DB5" i="2"/>
  <c r="BZ6" i="8" s="1"/>
  <c r="CB22" i="8"/>
  <c r="CA24" i="8"/>
  <c r="BY8" i="8"/>
  <c r="BY9" i="8"/>
  <c r="BY7" i="8"/>
  <c r="BY10" i="8"/>
  <c r="AQ70" i="8"/>
  <c r="AR69" i="8" s="1"/>
  <c r="CK19" i="8"/>
  <c r="CK45" i="6"/>
  <c r="CK49" i="6" s="1"/>
  <c r="CG45" i="8" s="1"/>
  <c r="CJ2" i="7"/>
  <c r="CI5" i="7"/>
  <c r="CI8" i="7"/>
  <c r="CJ52" i="8" s="1"/>
  <c r="CK23" i="8"/>
  <c r="CK18" i="8"/>
  <c r="CK20" i="8"/>
  <c r="CF14" i="8"/>
  <c r="CL21" i="6"/>
  <c r="CL41" i="6"/>
  <c r="CK17" i="8"/>
  <c r="CK15" i="8"/>
  <c r="CK16" i="8"/>
  <c r="CN1" i="6"/>
  <c r="CM35" i="6"/>
  <c r="CM39" i="6"/>
  <c r="CM37" i="6"/>
  <c r="CM36" i="6"/>
  <c r="CM40" i="6"/>
  <c r="CM28" i="6"/>
  <c r="CM38" i="6"/>
  <c r="CM34" i="6"/>
  <c r="CM25" i="6"/>
  <c r="CM33" i="6"/>
  <c r="CM31" i="6"/>
  <c r="CM29" i="6"/>
  <c r="CM26" i="6"/>
  <c r="CM27" i="6"/>
  <c r="CM10" i="6"/>
  <c r="CM5" i="6"/>
  <c r="CM7" i="6"/>
  <c r="CM32" i="6"/>
  <c r="CM30" i="6"/>
  <c r="CM9" i="6"/>
  <c r="CM11" i="6"/>
  <c r="CM12" i="6"/>
  <c r="CM13" i="6"/>
  <c r="CM14" i="6"/>
  <c r="CM15" i="6"/>
  <c r="CM16" i="6"/>
  <c r="CM17" i="6"/>
  <c r="CM18" i="6"/>
  <c r="CM19" i="6"/>
  <c r="CM20" i="6"/>
  <c r="CM6" i="6"/>
  <c r="CM8" i="6"/>
  <c r="CM2" i="6"/>
  <c r="CJ65" i="8"/>
  <c r="CJ53" i="8"/>
  <c r="CK64" i="8"/>
  <c r="CK65" i="8" s="1"/>
  <c r="CJ39" i="8"/>
  <c r="CJ40" i="8"/>
  <c r="CK50" i="8"/>
  <c r="CK53" i="8" s="1"/>
  <c r="CK30" i="8"/>
  <c r="CK31" i="8"/>
  <c r="CK33" i="8"/>
  <c r="CK35" i="8"/>
  <c r="CK32" i="8"/>
  <c r="CK36" i="8"/>
  <c r="CK34" i="8"/>
  <c r="CK29" i="8"/>
  <c r="CL1" i="8"/>
  <c r="CK2" i="8"/>
  <c r="CK38" i="8" s="1"/>
  <c r="CK12" i="7"/>
  <c r="CK18" i="7" s="1"/>
  <c r="CC7" i="7"/>
  <c r="CC6" i="7" s="1"/>
  <c r="CC9" i="7" s="1"/>
  <c r="CD4" i="7" s="1"/>
  <c r="BX47" i="8" l="1"/>
  <c r="BY11" i="8"/>
  <c r="BY26" i="8" s="1"/>
  <c r="BY37" i="8" s="1"/>
  <c r="BY41" i="8" s="1"/>
  <c r="BY43" i="8" s="1"/>
  <c r="DD3" i="2"/>
  <c r="DC5" i="2"/>
  <c r="CA6" i="8" s="1"/>
  <c r="BZ9" i="8"/>
  <c r="BZ7" i="8"/>
  <c r="BZ8" i="8"/>
  <c r="BZ10" i="8"/>
  <c r="CC22" i="8"/>
  <c r="CB24" i="8"/>
  <c r="AR59" i="8"/>
  <c r="AR67" i="8" s="1"/>
  <c r="CM21" i="6"/>
  <c r="CL17" i="8"/>
  <c r="CL16" i="8"/>
  <c r="CL23" i="8"/>
  <c r="CL21" i="8"/>
  <c r="CG14" i="8"/>
  <c r="CK2" i="7"/>
  <c r="CJ5" i="7"/>
  <c r="CJ8" i="7"/>
  <c r="CK52" i="8" s="1"/>
  <c r="CL15" i="8"/>
  <c r="CL45" i="6"/>
  <c r="CL49" i="6" s="1"/>
  <c r="CH45" i="8" s="1"/>
  <c r="CO1" i="6"/>
  <c r="CN40" i="6"/>
  <c r="CN37" i="6"/>
  <c r="CN36" i="6"/>
  <c r="CN35" i="6"/>
  <c r="CN38" i="6"/>
  <c r="CN39" i="6"/>
  <c r="CN34" i="6"/>
  <c r="CN27" i="6"/>
  <c r="CN33" i="6"/>
  <c r="CN31" i="6"/>
  <c r="CN29" i="6"/>
  <c r="CN26" i="6"/>
  <c r="CN6" i="6"/>
  <c r="CN7" i="6"/>
  <c r="CN8" i="6"/>
  <c r="CN32" i="6"/>
  <c r="CN30" i="6"/>
  <c r="CN28" i="6"/>
  <c r="CN10" i="6"/>
  <c r="CN5" i="6"/>
  <c r="CN9" i="6"/>
  <c r="CN11" i="6"/>
  <c r="CN12" i="6"/>
  <c r="CN13" i="6"/>
  <c r="CN15" i="6"/>
  <c r="CN16" i="6"/>
  <c r="CN18" i="6"/>
  <c r="CN19" i="6"/>
  <c r="CN20" i="6"/>
  <c r="CN25" i="6"/>
  <c r="CN14" i="6"/>
  <c r="CN17" i="6"/>
  <c r="CN2" i="6"/>
  <c r="CL18" i="8"/>
  <c r="CM41" i="6"/>
  <c r="CL20" i="8"/>
  <c r="CL19" i="8"/>
  <c r="CL64" i="8"/>
  <c r="CK39" i="8"/>
  <c r="CK40" i="8"/>
  <c r="CL50" i="8"/>
  <c r="CL31" i="8"/>
  <c r="CL30" i="8"/>
  <c r="CL33" i="8"/>
  <c r="CL35" i="8"/>
  <c r="CL32" i="8"/>
  <c r="CL34" i="8"/>
  <c r="CL29" i="8"/>
  <c r="CL36" i="8"/>
  <c r="CM1" i="8"/>
  <c r="CL2" i="8"/>
  <c r="CL38" i="8" s="1"/>
  <c r="CL12" i="7"/>
  <c r="CL18" i="7" s="1"/>
  <c r="CD7" i="7"/>
  <c r="CD6" i="7" s="1"/>
  <c r="CD9" i="7" s="1"/>
  <c r="CE4" i="7" s="1"/>
  <c r="BY47" i="8" l="1"/>
  <c r="BZ11" i="8"/>
  <c r="BZ26" i="8" s="1"/>
  <c r="BZ37" i="8" s="1"/>
  <c r="BZ41" i="8" s="1"/>
  <c r="BZ43" i="8" s="1"/>
  <c r="CD22" i="8"/>
  <c r="CC24" i="8"/>
  <c r="CA10" i="8"/>
  <c r="CA7" i="8"/>
  <c r="CA9" i="8"/>
  <c r="CA8" i="8"/>
  <c r="DD5" i="2"/>
  <c r="CB6" i="8" s="1"/>
  <c r="DE3" i="2"/>
  <c r="AR70" i="8"/>
  <c r="AS69" i="8" s="1"/>
  <c r="CM19" i="8"/>
  <c r="CM20" i="8"/>
  <c r="CN21" i="6"/>
  <c r="CP1" i="6"/>
  <c r="CO39" i="6"/>
  <c r="CO38" i="6"/>
  <c r="CO37" i="6"/>
  <c r="CO40" i="6"/>
  <c r="CO36" i="6"/>
  <c r="CO34" i="6"/>
  <c r="CO35" i="6"/>
  <c r="CO33" i="6"/>
  <c r="CO32" i="6"/>
  <c r="CO31" i="6"/>
  <c r="CO30" i="6"/>
  <c r="CO29" i="6"/>
  <c r="CO27" i="6"/>
  <c r="CO6" i="6"/>
  <c r="CO7" i="6"/>
  <c r="CO8" i="6"/>
  <c r="CO9" i="6"/>
  <c r="CO10" i="6"/>
  <c r="CO28" i="6"/>
  <c r="CO25" i="6"/>
  <c r="CO11" i="6"/>
  <c r="CO12" i="6"/>
  <c r="CO13" i="6"/>
  <c r="CO14" i="6"/>
  <c r="CO15" i="6"/>
  <c r="CO16" i="6"/>
  <c r="CO17" i="6"/>
  <c r="CO18" i="6"/>
  <c r="CO19" i="6"/>
  <c r="CO20" i="6"/>
  <c r="CO26" i="6"/>
  <c r="CO5" i="6"/>
  <c r="CO2" i="6"/>
  <c r="CM15" i="8"/>
  <c r="CM21" i="8"/>
  <c r="CN21" i="8" s="1"/>
  <c r="CH14" i="8"/>
  <c r="CL2" i="7"/>
  <c r="CK5" i="7"/>
  <c r="CK8" i="7"/>
  <c r="CL52" i="8" s="1"/>
  <c r="CM23" i="8"/>
  <c r="CN23" i="8" s="1"/>
  <c r="CM17" i="8"/>
  <c r="CM18" i="8"/>
  <c r="CN41" i="6"/>
  <c r="CM16" i="8"/>
  <c r="CM45" i="6"/>
  <c r="CM49" i="6" s="1"/>
  <c r="CI45" i="8" s="1"/>
  <c r="CL65" i="8"/>
  <c r="CL53" i="8"/>
  <c r="CM64" i="8"/>
  <c r="CM65" i="8" s="1"/>
  <c r="CL40" i="8"/>
  <c r="CL39" i="8"/>
  <c r="CM50" i="8"/>
  <c r="CM53" i="8" s="1"/>
  <c r="CM31" i="8"/>
  <c r="CM30" i="8"/>
  <c r="CM32" i="8"/>
  <c r="CM34" i="8"/>
  <c r="CM36" i="8"/>
  <c r="CM33" i="8"/>
  <c r="CM35" i="8"/>
  <c r="CM29" i="8"/>
  <c r="CN1" i="8"/>
  <c r="CM2" i="8"/>
  <c r="CM38" i="8" s="1"/>
  <c r="CM12" i="7"/>
  <c r="CM18" i="7" s="1"/>
  <c r="CE7" i="7"/>
  <c r="CE6" i="7" s="1"/>
  <c r="CE9" i="7" s="1"/>
  <c r="CF4" i="7" s="1"/>
  <c r="BZ47" i="8" l="1"/>
  <c r="CA11" i="8"/>
  <c r="CA26" i="8" s="1"/>
  <c r="CA37" i="8" s="1"/>
  <c r="CA41" i="8" s="1"/>
  <c r="CA43" i="8" s="1"/>
  <c r="CB8" i="8"/>
  <c r="CB10" i="8"/>
  <c r="CB9" i="8"/>
  <c r="CB7" i="8"/>
  <c r="DF3" i="2"/>
  <c r="DE5" i="2"/>
  <c r="CC6" i="8" s="1"/>
  <c r="CE22" i="8"/>
  <c r="CD24" i="8"/>
  <c r="AS59" i="8"/>
  <c r="AS67" i="8" s="1"/>
  <c r="CN45" i="6"/>
  <c r="CN49" i="6" s="1"/>
  <c r="CJ45" i="8" s="1"/>
  <c r="CN15" i="8"/>
  <c r="CN20" i="8"/>
  <c r="CN16" i="8"/>
  <c r="CN18" i="8"/>
  <c r="CN17" i="8"/>
  <c r="CM2" i="7"/>
  <c r="CL5" i="7"/>
  <c r="CL8" i="7"/>
  <c r="CM52" i="8" s="1"/>
  <c r="CI14" i="8"/>
  <c r="CO21" i="6"/>
  <c r="CO41" i="6"/>
  <c r="CQ1" i="6"/>
  <c r="CP36" i="6"/>
  <c r="CP38" i="6"/>
  <c r="CP37" i="6"/>
  <c r="CP39" i="6"/>
  <c r="CP34" i="6"/>
  <c r="CP35" i="6"/>
  <c r="CP33" i="6"/>
  <c r="CP32" i="6"/>
  <c r="CP31" i="6"/>
  <c r="CP30" i="6"/>
  <c r="CP29" i="6"/>
  <c r="CP28" i="6"/>
  <c r="CP26" i="6"/>
  <c r="CP27" i="6"/>
  <c r="CP25" i="6"/>
  <c r="CP40" i="6"/>
  <c r="CP6" i="6"/>
  <c r="CP7" i="6"/>
  <c r="CP8" i="6"/>
  <c r="CP9" i="6"/>
  <c r="CP10" i="6"/>
  <c r="CP11" i="6"/>
  <c r="CP12" i="6"/>
  <c r="CP13" i="6"/>
  <c r="CP14" i="6"/>
  <c r="CP15" i="6"/>
  <c r="CP16" i="6"/>
  <c r="CP17" i="6"/>
  <c r="CP18" i="6"/>
  <c r="CP19" i="6"/>
  <c r="CP20" i="6"/>
  <c r="CP5" i="6"/>
  <c r="CP2" i="6"/>
  <c r="CN19" i="8"/>
  <c r="CN64" i="8"/>
  <c r="CN50" i="8"/>
  <c r="CN31" i="8"/>
  <c r="CN30" i="8"/>
  <c r="CN34" i="8"/>
  <c r="CN35" i="8"/>
  <c r="CN32" i="8"/>
  <c r="CN29" i="8"/>
  <c r="CN33" i="8"/>
  <c r="CN36" i="8"/>
  <c r="CM39" i="8"/>
  <c r="CM40" i="8"/>
  <c r="CO1" i="8"/>
  <c r="CN2" i="8"/>
  <c r="CN38" i="8" s="1"/>
  <c r="CN12" i="7"/>
  <c r="CN18" i="7" s="1"/>
  <c r="CF7" i="7"/>
  <c r="CF6" i="7" s="1"/>
  <c r="CF9" i="7" s="1"/>
  <c r="CG4" i="7" s="1"/>
  <c r="CA47" i="8" l="1"/>
  <c r="CB11" i="8"/>
  <c r="CB26" i="8" s="1"/>
  <c r="CB37" i="8" s="1"/>
  <c r="CB41" i="8" s="1"/>
  <c r="CB43" i="8" s="1"/>
  <c r="CF22" i="8"/>
  <c r="CE24" i="8"/>
  <c r="CC7" i="8"/>
  <c r="CC10" i="8"/>
  <c r="CC9" i="8"/>
  <c r="CC8" i="8"/>
  <c r="DF5" i="2"/>
  <c r="CD6" i="8" s="1"/>
  <c r="DG3" i="2"/>
  <c r="AS70" i="8"/>
  <c r="AT69" i="8" s="1"/>
  <c r="CP21" i="6"/>
  <c r="CR1" i="6"/>
  <c r="CQ40" i="6"/>
  <c r="CQ39" i="6"/>
  <c r="CQ35" i="6"/>
  <c r="CQ38" i="6"/>
  <c r="CQ37" i="6"/>
  <c r="CQ28" i="6"/>
  <c r="CQ25" i="6"/>
  <c r="CQ34" i="6"/>
  <c r="CQ32" i="6"/>
  <c r="CQ30" i="6"/>
  <c r="CQ26" i="6"/>
  <c r="CQ31" i="6"/>
  <c r="CQ27" i="6"/>
  <c r="CQ6" i="6"/>
  <c r="CQ8" i="6"/>
  <c r="CQ9" i="6"/>
  <c r="CQ5" i="6"/>
  <c r="CQ36" i="6"/>
  <c r="CQ33" i="6"/>
  <c r="CQ29" i="6"/>
  <c r="CQ7" i="6"/>
  <c r="CQ10" i="6"/>
  <c r="CQ11" i="6"/>
  <c r="CQ12" i="6"/>
  <c r="CQ13" i="6"/>
  <c r="CQ14" i="6"/>
  <c r="CQ15" i="6"/>
  <c r="CQ16" i="6"/>
  <c r="CQ17" i="6"/>
  <c r="CQ18" i="6"/>
  <c r="CQ19" i="6"/>
  <c r="CQ20" i="6"/>
  <c r="CQ2" i="6"/>
  <c r="CO17" i="8"/>
  <c r="CO16" i="8"/>
  <c r="CP41" i="6"/>
  <c r="CJ14" i="8"/>
  <c r="CO19" i="8"/>
  <c r="CO45" i="6"/>
  <c r="CO49" i="6" s="1"/>
  <c r="CK45" i="8" s="1"/>
  <c r="CO23" i="8"/>
  <c r="CO20" i="8"/>
  <c r="CN2" i="7"/>
  <c r="CM5" i="7"/>
  <c r="CM8" i="7"/>
  <c r="CN52" i="8" s="1"/>
  <c r="CO18" i="8"/>
  <c r="CO15" i="8"/>
  <c r="CP15" i="8" s="1"/>
  <c r="CO21" i="8"/>
  <c r="CN65" i="8"/>
  <c r="CN53" i="8"/>
  <c r="CO64" i="8"/>
  <c r="CO65" i="8" s="1"/>
  <c r="CO50" i="8"/>
  <c r="CO53" i="8" s="1"/>
  <c r="CO31" i="8"/>
  <c r="CO30" i="8"/>
  <c r="CO34" i="8"/>
  <c r="CO36" i="8"/>
  <c r="CO35" i="8"/>
  <c r="CO32" i="8"/>
  <c r="CO29" i="8"/>
  <c r="CO33" i="8"/>
  <c r="CN40" i="8"/>
  <c r="CN39" i="8"/>
  <c r="CO2" i="8"/>
  <c r="CO38" i="8" s="1"/>
  <c r="CP1" i="8"/>
  <c r="CO12" i="7"/>
  <c r="CO18" i="7" s="1"/>
  <c r="CG7" i="7"/>
  <c r="CG6" i="7" s="1"/>
  <c r="CG9" i="7" s="1"/>
  <c r="CH4" i="7" s="1"/>
  <c r="CB47" i="8" l="1"/>
  <c r="CC11" i="8"/>
  <c r="CC26" i="8" s="1"/>
  <c r="CC37" i="8" s="1"/>
  <c r="CC41" i="8" s="1"/>
  <c r="CC43" i="8" s="1"/>
  <c r="CD8" i="8"/>
  <c r="CD7" i="8"/>
  <c r="CD10" i="8"/>
  <c r="CD9" i="8"/>
  <c r="DH3" i="2"/>
  <c r="DG5" i="2"/>
  <c r="CE6" i="8" s="1"/>
  <c r="CG22" i="8"/>
  <c r="CF24" i="8"/>
  <c r="AT59" i="8"/>
  <c r="AT67" i="8" s="1"/>
  <c r="CO2" i="7"/>
  <c r="CN5" i="7"/>
  <c r="CN8" i="7"/>
  <c r="CO52" i="8" s="1"/>
  <c r="CQ21" i="6"/>
  <c r="CP18" i="8"/>
  <c r="CK14" i="8"/>
  <c r="CS1" i="6"/>
  <c r="CR40" i="6"/>
  <c r="CR39" i="6"/>
  <c r="CR35" i="6"/>
  <c r="CR38" i="6"/>
  <c r="CR36" i="6"/>
  <c r="CR34" i="6"/>
  <c r="CR27" i="6"/>
  <c r="CR37" i="6"/>
  <c r="CR32" i="6"/>
  <c r="CR30" i="6"/>
  <c r="CR6" i="6"/>
  <c r="CR7" i="6"/>
  <c r="CR8" i="6"/>
  <c r="CR28" i="6"/>
  <c r="CR26" i="6"/>
  <c r="CR33" i="6"/>
  <c r="CR31" i="6"/>
  <c r="CR29" i="6"/>
  <c r="CR15" i="6"/>
  <c r="CR17" i="6"/>
  <c r="CR9" i="6"/>
  <c r="CR5" i="6"/>
  <c r="CR14" i="6"/>
  <c r="CR25" i="6"/>
  <c r="CR10" i="6"/>
  <c r="CR11" i="6"/>
  <c r="CR12" i="6"/>
  <c r="CR13" i="6"/>
  <c r="CR16" i="6"/>
  <c r="CR18" i="6"/>
  <c r="CR19" i="6"/>
  <c r="CR20" i="6"/>
  <c r="CR2" i="6"/>
  <c r="CP20" i="8"/>
  <c r="CP19" i="8"/>
  <c r="CP16" i="8"/>
  <c r="CQ41" i="6"/>
  <c r="CP45" i="6"/>
  <c r="CP49" i="6" s="1"/>
  <c r="CL45" i="8" s="1"/>
  <c r="CP21" i="8"/>
  <c r="CQ21" i="8" s="1"/>
  <c r="CP23" i="8"/>
  <c r="CP17" i="8"/>
  <c r="CQ17" i="8" s="1"/>
  <c r="CP64" i="8"/>
  <c r="CP50" i="8"/>
  <c r="CP30" i="8"/>
  <c r="CP31" i="8"/>
  <c r="CP34" i="8"/>
  <c r="CP36" i="8"/>
  <c r="CP35" i="8"/>
  <c r="CP32" i="8"/>
  <c r="CP29" i="8"/>
  <c r="CP33" i="8"/>
  <c r="CO40" i="8"/>
  <c r="CO39" i="8"/>
  <c r="CP2" i="8"/>
  <c r="CP38" i="8" s="1"/>
  <c r="CQ1" i="8"/>
  <c r="CP12" i="7"/>
  <c r="CP18" i="7" s="1"/>
  <c r="CH7" i="7"/>
  <c r="CH6" i="7" s="1"/>
  <c r="CH9" i="7" s="1"/>
  <c r="CI4" i="7" s="1"/>
  <c r="CC47" i="8" l="1"/>
  <c r="CD11" i="8"/>
  <c r="CD26" i="8" s="1"/>
  <c r="CD37" i="8" s="1"/>
  <c r="CD41" i="8" s="1"/>
  <c r="CD43" i="8" s="1"/>
  <c r="CH22" i="8"/>
  <c r="CG24" i="8"/>
  <c r="CE9" i="8"/>
  <c r="CE7" i="8"/>
  <c r="CE8" i="8"/>
  <c r="CE10" i="8"/>
  <c r="DI3" i="2"/>
  <c r="DH5" i="2"/>
  <c r="CF6" i="8" s="1"/>
  <c r="AT70" i="8"/>
  <c r="AU69" i="8" s="1"/>
  <c r="CQ19" i="8"/>
  <c r="CR41" i="6"/>
  <c r="CT1" i="6"/>
  <c r="CS39" i="6"/>
  <c r="CS38" i="6"/>
  <c r="CS37" i="6"/>
  <c r="CS36" i="6"/>
  <c r="CS35" i="6"/>
  <c r="CS40" i="6"/>
  <c r="CS34" i="6"/>
  <c r="CS33" i="6"/>
  <c r="CS32" i="6"/>
  <c r="CS31" i="6"/>
  <c r="CS30" i="6"/>
  <c r="CS29" i="6"/>
  <c r="CS28" i="6"/>
  <c r="CS26" i="6"/>
  <c r="CS6" i="6"/>
  <c r="CS7" i="6"/>
  <c r="CS8" i="6"/>
  <c r="CS9" i="6"/>
  <c r="CS10" i="6"/>
  <c r="CS27" i="6"/>
  <c r="CS25" i="6"/>
  <c r="CS11" i="6"/>
  <c r="CS12" i="6"/>
  <c r="CS13" i="6"/>
  <c r="CS14" i="6"/>
  <c r="CS15" i="6"/>
  <c r="CS16" i="6"/>
  <c r="CS17" i="6"/>
  <c r="CS18" i="6"/>
  <c r="CS19" i="6"/>
  <c r="CS20" i="6"/>
  <c r="CS5" i="6"/>
  <c r="CS2" i="6"/>
  <c r="CQ18" i="8"/>
  <c r="CP2" i="7"/>
  <c r="CO5" i="7"/>
  <c r="CO8" i="7"/>
  <c r="CP52" i="8" s="1"/>
  <c r="CQ20" i="8"/>
  <c r="CQ45" i="6"/>
  <c r="CQ49" i="6" s="1"/>
  <c r="CM45" i="8" s="1"/>
  <c r="CQ15" i="8"/>
  <c r="CQ23" i="8"/>
  <c r="CQ16" i="8"/>
  <c r="CR21" i="6"/>
  <c r="CL14" i="8"/>
  <c r="CP65" i="8"/>
  <c r="CP53" i="8"/>
  <c r="CQ64" i="8"/>
  <c r="CQ65" i="8" s="1"/>
  <c r="CQ50" i="8"/>
  <c r="CQ53" i="8" s="1"/>
  <c r="CQ30" i="8"/>
  <c r="CQ32" i="8"/>
  <c r="CQ31" i="8"/>
  <c r="CQ33" i="8"/>
  <c r="CQ35" i="8"/>
  <c r="CQ34" i="8"/>
  <c r="CQ36" i="8"/>
  <c r="CQ29" i="8"/>
  <c r="CP40" i="8"/>
  <c r="CP39" i="8"/>
  <c r="CQ2" i="8"/>
  <c r="CQ38" i="8" s="1"/>
  <c r="CR1" i="8"/>
  <c r="CR21" i="8" s="1"/>
  <c r="CQ12" i="7"/>
  <c r="CQ18" i="7" s="1"/>
  <c r="CI7" i="7"/>
  <c r="CI6" i="7" s="1"/>
  <c r="CI9" i="7" s="1"/>
  <c r="CJ4" i="7" s="1"/>
  <c r="CD47" i="8" l="1"/>
  <c r="CE11" i="8"/>
  <c r="CE26" i="8" s="1"/>
  <c r="CE37" i="8" s="1"/>
  <c r="CE41" i="8" s="1"/>
  <c r="CE43" i="8" s="1"/>
  <c r="DI5" i="2"/>
  <c r="CG6" i="8" s="1"/>
  <c r="DJ3" i="2"/>
  <c r="CF9" i="8"/>
  <c r="CF10" i="8"/>
  <c r="CF7" i="8"/>
  <c r="CF8" i="8"/>
  <c r="CI22" i="8"/>
  <c r="CH24" i="8"/>
  <c r="AU59" i="8"/>
  <c r="AU67" i="8" s="1"/>
  <c r="CM14" i="8"/>
  <c r="CR17" i="8"/>
  <c r="CR20" i="8"/>
  <c r="CR18" i="8"/>
  <c r="CR19" i="8"/>
  <c r="CS19" i="8" s="1"/>
  <c r="CR45" i="6"/>
  <c r="CR49" i="6" s="1"/>
  <c r="CN45" i="8" s="1"/>
  <c r="CR15" i="8"/>
  <c r="CS41" i="6"/>
  <c r="CR23" i="8"/>
  <c r="CQ2" i="7"/>
  <c r="CP5" i="7"/>
  <c r="CP8" i="7"/>
  <c r="CQ52" i="8" s="1"/>
  <c r="CR16" i="8"/>
  <c r="CS21" i="6"/>
  <c r="CU1" i="6"/>
  <c r="CT36" i="6"/>
  <c r="CT37" i="6"/>
  <c r="CT40" i="6"/>
  <c r="CT39" i="6"/>
  <c r="CT38" i="6"/>
  <c r="CT35" i="6"/>
  <c r="CT34" i="6"/>
  <c r="CT33" i="6"/>
  <c r="CT32" i="6"/>
  <c r="CT31" i="6"/>
  <c r="CT30" i="6"/>
  <c r="CT29" i="6"/>
  <c r="CT28" i="6"/>
  <c r="CT26" i="6"/>
  <c r="CT27" i="6"/>
  <c r="CT25" i="6"/>
  <c r="CT6" i="6"/>
  <c r="CT7" i="6"/>
  <c r="CT8" i="6"/>
  <c r="CT9" i="6"/>
  <c r="CT10" i="6"/>
  <c r="CT11" i="6"/>
  <c r="CT12" i="6"/>
  <c r="CT13" i="6"/>
  <c r="CT14" i="6"/>
  <c r="CT15" i="6"/>
  <c r="CT16" i="6"/>
  <c r="CT17" i="6"/>
  <c r="CT18" i="6"/>
  <c r="CT19" i="6"/>
  <c r="CT20" i="6"/>
  <c r="CT5" i="6"/>
  <c r="CT2" i="6"/>
  <c r="CR64" i="8"/>
  <c r="CR50" i="8"/>
  <c r="CR30" i="8"/>
  <c r="CR32" i="8"/>
  <c r="CR31" i="8"/>
  <c r="CR33" i="8"/>
  <c r="CR35" i="8"/>
  <c r="CR34" i="8"/>
  <c r="CR36" i="8"/>
  <c r="CR29" i="8"/>
  <c r="CQ40" i="8"/>
  <c r="CQ39" i="8"/>
  <c r="CR2" i="8"/>
  <c r="CR38" i="8" s="1"/>
  <c r="CS1" i="8"/>
  <c r="CR12" i="7"/>
  <c r="CR18" i="7" s="1"/>
  <c r="CJ7" i="7"/>
  <c r="CJ6" i="7" s="1"/>
  <c r="CJ9" i="7" s="1"/>
  <c r="CK4" i="7" s="1"/>
  <c r="CE47" i="8" l="1"/>
  <c r="CF11" i="8"/>
  <c r="CF26" i="8" s="1"/>
  <c r="CF37" i="8" s="1"/>
  <c r="CF41" i="8" s="1"/>
  <c r="CF43" i="8" s="1"/>
  <c r="CJ22" i="8"/>
  <c r="CI24" i="8"/>
  <c r="DK3" i="2"/>
  <c r="DJ5" i="2"/>
  <c r="CH6" i="8" s="1"/>
  <c r="CG10" i="8"/>
  <c r="CG7" i="8"/>
  <c r="CG9" i="8"/>
  <c r="CG8" i="8"/>
  <c r="AU70" i="8"/>
  <c r="AV69" i="8" s="1"/>
  <c r="CT21" i="6"/>
  <c r="CS16" i="8"/>
  <c r="CS15" i="8"/>
  <c r="CS18" i="8"/>
  <c r="CN14" i="8"/>
  <c r="CS45" i="6"/>
  <c r="CS49" i="6" s="1"/>
  <c r="CO45" i="8" s="1"/>
  <c r="CS23" i="8"/>
  <c r="CS20" i="8"/>
  <c r="CT41" i="6"/>
  <c r="CV1" i="6"/>
  <c r="CU38" i="6"/>
  <c r="CU35" i="6"/>
  <c r="CU40" i="6"/>
  <c r="CU37" i="6"/>
  <c r="CU36" i="6"/>
  <c r="CU34" i="6"/>
  <c r="CU28" i="6"/>
  <c r="CU27" i="6"/>
  <c r="CU25" i="6"/>
  <c r="CU33" i="6"/>
  <c r="CU31" i="6"/>
  <c r="CU29" i="6"/>
  <c r="CU26" i="6"/>
  <c r="CU10" i="6"/>
  <c r="CU5" i="6"/>
  <c r="CU30" i="6"/>
  <c r="CU6" i="6"/>
  <c r="CU8" i="6"/>
  <c r="CU7" i="6"/>
  <c r="CU32" i="6"/>
  <c r="CU9" i="6"/>
  <c r="CU11" i="6"/>
  <c r="CU12" i="6"/>
  <c r="CU13" i="6"/>
  <c r="CU14" i="6"/>
  <c r="CU15" i="6"/>
  <c r="CU16" i="6"/>
  <c r="CU17" i="6"/>
  <c r="CU18" i="6"/>
  <c r="CU19" i="6"/>
  <c r="CU20" i="6"/>
  <c r="CU39" i="6"/>
  <c r="CU2" i="6"/>
  <c r="CR2" i="7"/>
  <c r="CQ5" i="7"/>
  <c r="CQ8" i="7"/>
  <c r="CR52" i="8" s="1"/>
  <c r="CS17" i="8"/>
  <c r="CS21" i="8"/>
  <c r="CR65" i="8"/>
  <c r="CR53" i="8"/>
  <c r="CS64" i="8"/>
  <c r="CS65" i="8" s="1"/>
  <c r="CS50" i="8"/>
  <c r="CS53" i="8" s="1"/>
  <c r="CS30" i="8"/>
  <c r="CS32" i="8"/>
  <c r="CS33" i="8"/>
  <c r="CS35" i="8"/>
  <c r="CS31" i="8"/>
  <c r="CS34" i="8"/>
  <c r="CS36" i="8"/>
  <c r="CS29" i="8"/>
  <c r="CR39" i="8"/>
  <c r="CR40" i="8"/>
  <c r="CT1" i="8"/>
  <c r="CT19" i="8" s="1"/>
  <c r="CS2" i="8"/>
  <c r="CS38" i="8" s="1"/>
  <c r="CS12" i="7"/>
  <c r="CS18" i="7" s="1"/>
  <c r="CK7" i="7"/>
  <c r="CK6" i="7" s="1"/>
  <c r="CK9" i="7" s="1"/>
  <c r="CL4" i="7" s="1"/>
  <c r="CF47" i="8" l="1"/>
  <c r="CG11" i="8"/>
  <c r="CG26" i="8" s="1"/>
  <c r="CG37" i="8" s="1"/>
  <c r="CG41" i="8" s="1"/>
  <c r="CG43" i="8" s="1"/>
  <c r="DL3" i="2"/>
  <c r="DK5" i="2"/>
  <c r="CI6" i="8" s="1"/>
  <c r="CH10" i="8"/>
  <c r="CH8" i="8"/>
  <c r="CH9" i="8"/>
  <c r="CH7" i="8"/>
  <c r="CK22" i="8"/>
  <c r="CJ24" i="8"/>
  <c r="AV59" i="8"/>
  <c r="AV67" i="8" s="1"/>
  <c r="CU41" i="6"/>
  <c r="CT15" i="8"/>
  <c r="CW1" i="6"/>
  <c r="CV40" i="6"/>
  <c r="CV39" i="6"/>
  <c r="CV37" i="6"/>
  <c r="CV36" i="6"/>
  <c r="CV38" i="6"/>
  <c r="CV27" i="6"/>
  <c r="CV34" i="6"/>
  <c r="CV33" i="6"/>
  <c r="CV31" i="6"/>
  <c r="CV29" i="6"/>
  <c r="CV6" i="6"/>
  <c r="CV7" i="6"/>
  <c r="CV8" i="6"/>
  <c r="CV35" i="6"/>
  <c r="CV32" i="6"/>
  <c r="CV30" i="6"/>
  <c r="CV26" i="6"/>
  <c r="CV13" i="6"/>
  <c r="CV14" i="6"/>
  <c r="CV16" i="6"/>
  <c r="CV18" i="6"/>
  <c r="CV19" i="6"/>
  <c r="CV25" i="6"/>
  <c r="CV10" i="6"/>
  <c r="CV5" i="6"/>
  <c r="CV28" i="6"/>
  <c r="CV11" i="6"/>
  <c r="CV12" i="6"/>
  <c r="CV17" i="6"/>
  <c r="CV20" i="6"/>
  <c r="CV9" i="6"/>
  <c r="CV15" i="6"/>
  <c r="CV2" i="6"/>
  <c r="CT20" i="8"/>
  <c r="CT16" i="8"/>
  <c r="CT21" i="8"/>
  <c r="CU21" i="6"/>
  <c r="CT23" i="8"/>
  <c r="CO14" i="8"/>
  <c r="CT45" i="6"/>
  <c r="CT49" i="6" s="1"/>
  <c r="CP45" i="8" s="1"/>
  <c r="CT17" i="8"/>
  <c r="CS2" i="7"/>
  <c r="CR5" i="7"/>
  <c r="CR8" i="7"/>
  <c r="CS52" i="8" s="1"/>
  <c r="CT18" i="8"/>
  <c r="CT64" i="8"/>
  <c r="CT65" i="8" s="1"/>
  <c r="CS39" i="8"/>
  <c r="CS40" i="8"/>
  <c r="CT50" i="8"/>
  <c r="CT53" i="8" s="1"/>
  <c r="CT31" i="8"/>
  <c r="CT32" i="8"/>
  <c r="CT30" i="8"/>
  <c r="CT33" i="8"/>
  <c r="CT35" i="8"/>
  <c r="CT29" i="8"/>
  <c r="CT34" i="8"/>
  <c r="CT36" i="8"/>
  <c r="CU1" i="8"/>
  <c r="CT2" i="8"/>
  <c r="CT38" i="8" s="1"/>
  <c r="CT12" i="7"/>
  <c r="CT18" i="7" s="1"/>
  <c r="CL7" i="7"/>
  <c r="CL6" i="7" s="1"/>
  <c r="CL9" i="7" s="1"/>
  <c r="CM4" i="7" s="1"/>
  <c r="CG47" i="8" l="1"/>
  <c r="CH11" i="8"/>
  <c r="CH26" i="8" s="1"/>
  <c r="CH37" i="8" s="1"/>
  <c r="CH41" i="8" s="1"/>
  <c r="CH43" i="8" s="1"/>
  <c r="CL22" i="8"/>
  <c r="CK24" i="8"/>
  <c r="CI7" i="8"/>
  <c r="CI9" i="8"/>
  <c r="CI8" i="8"/>
  <c r="CI10" i="8"/>
  <c r="DL5" i="2"/>
  <c r="CJ6" i="8" s="1"/>
  <c r="DM3" i="2"/>
  <c r="AV70" i="8"/>
  <c r="AW69" i="8" s="1"/>
  <c r="CT2" i="7"/>
  <c r="CS5" i="7"/>
  <c r="CS8" i="7"/>
  <c r="CT52" i="8" s="1"/>
  <c r="CU21" i="8"/>
  <c r="CV21" i="8" s="1"/>
  <c r="CV21" i="6"/>
  <c r="CU15" i="8"/>
  <c r="CU18" i="8"/>
  <c r="CU17" i="8"/>
  <c r="CV17" i="8" s="1"/>
  <c r="CP14" i="8"/>
  <c r="CX1" i="6"/>
  <c r="CW39" i="6"/>
  <c r="CW38" i="6"/>
  <c r="CW37" i="6"/>
  <c r="CW40" i="6"/>
  <c r="CW35" i="6"/>
  <c r="CW34" i="6"/>
  <c r="CW36" i="6"/>
  <c r="CW33" i="6"/>
  <c r="CW32" i="6"/>
  <c r="CW31" i="6"/>
  <c r="CW30" i="6"/>
  <c r="CW29" i="6"/>
  <c r="CW26" i="6"/>
  <c r="CW6" i="6"/>
  <c r="CW7" i="6"/>
  <c r="CW8" i="6"/>
  <c r="CW9" i="6"/>
  <c r="CW10" i="6"/>
  <c r="CW28" i="6"/>
  <c r="CW25" i="6"/>
  <c r="CW11" i="6"/>
  <c r="CW12" i="6"/>
  <c r="CW13" i="6"/>
  <c r="CW14" i="6"/>
  <c r="CW15" i="6"/>
  <c r="CW16" i="6"/>
  <c r="CW17" i="6"/>
  <c r="CW18" i="6"/>
  <c r="CW19" i="6"/>
  <c r="CW20" i="6"/>
  <c r="CW27" i="6"/>
  <c r="CW5" i="6"/>
  <c r="CW2" i="6"/>
  <c r="CU23" i="8"/>
  <c r="CU16" i="8"/>
  <c r="CV41" i="6"/>
  <c r="CU45" i="6"/>
  <c r="CU49" i="6" s="1"/>
  <c r="CQ45" i="8" s="1"/>
  <c r="CU20" i="8"/>
  <c r="CU19" i="8"/>
  <c r="CV19" i="8" s="1"/>
  <c r="CU64" i="8"/>
  <c r="CU65" i="8" s="1"/>
  <c r="CT39" i="8"/>
  <c r="CT40" i="8"/>
  <c r="CU50" i="8"/>
  <c r="CU53" i="8" s="1"/>
  <c r="CU31" i="8"/>
  <c r="CU30" i="8"/>
  <c r="CU32" i="8"/>
  <c r="CU34" i="8"/>
  <c r="CU33" i="8"/>
  <c r="CU35" i="8"/>
  <c r="CU29" i="8"/>
  <c r="CU36" i="8"/>
  <c r="CU2" i="8"/>
  <c r="CU38" i="8" s="1"/>
  <c r="CV1" i="8"/>
  <c r="CU12" i="7"/>
  <c r="CM7" i="7"/>
  <c r="CM6" i="7" s="1"/>
  <c r="CM9" i="7" s="1"/>
  <c r="CN4" i="7" s="1"/>
  <c r="CH47" i="8" l="1"/>
  <c r="CI11" i="8"/>
  <c r="CI26" i="8" s="1"/>
  <c r="CI37" i="8" s="1"/>
  <c r="CI41" i="8" s="1"/>
  <c r="CI43" i="8" s="1"/>
  <c r="CJ9" i="8"/>
  <c r="CJ7" i="8"/>
  <c r="CJ8" i="8"/>
  <c r="CJ10" i="8"/>
  <c r="DN3" i="2"/>
  <c r="DM5" i="2"/>
  <c r="CK6" i="8" s="1"/>
  <c r="CM22" i="8"/>
  <c r="CL24" i="8"/>
  <c r="AW59" i="8"/>
  <c r="AW67" i="8" s="1"/>
  <c r="CV38" i="8"/>
  <c r="CV16" i="8"/>
  <c r="CY1" i="6"/>
  <c r="CX36" i="6"/>
  <c r="CX38" i="6"/>
  <c r="CX35" i="6"/>
  <c r="CX33" i="6"/>
  <c r="CX32" i="6"/>
  <c r="CX31" i="6"/>
  <c r="CX30" i="6"/>
  <c r="CX29" i="6"/>
  <c r="CX40" i="6"/>
  <c r="CX39" i="6"/>
  <c r="CX37" i="6"/>
  <c r="CX34" i="6"/>
  <c r="CX28" i="6"/>
  <c r="CX26" i="6"/>
  <c r="CX25" i="6"/>
  <c r="CX27" i="6"/>
  <c r="CX6" i="6"/>
  <c r="CX7" i="6"/>
  <c r="CX8" i="6"/>
  <c r="CX9" i="6"/>
  <c r="CX10" i="6"/>
  <c r="CX5" i="6"/>
  <c r="CX11" i="6"/>
  <c r="CX12" i="6"/>
  <c r="CX13" i="6"/>
  <c r="CX14" i="6"/>
  <c r="CX15" i="6"/>
  <c r="CX16" i="6"/>
  <c r="CX17" i="6"/>
  <c r="CX18" i="6"/>
  <c r="CX19" i="6"/>
  <c r="CX20" i="6"/>
  <c r="CX2" i="6"/>
  <c r="CV23" i="8"/>
  <c r="CV15" i="8"/>
  <c r="CW21" i="6"/>
  <c r="CW41" i="6"/>
  <c r="CV18" i="8"/>
  <c r="CU18" i="7"/>
  <c r="CV20" i="8"/>
  <c r="CQ14" i="8"/>
  <c r="CV45" i="6"/>
  <c r="CV49" i="6" s="1"/>
  <c r="CR45" i="8" s="1"/>
  <c r="CU2" i="7"/>
  <c r="CT5" i="7"/>
  <c r="CT8" i="7"/>
  <c r="CU52" i="8" s="1"/>
  <c r="CV64" i="8"/>
  <c r="CV50" i="8"/>
  <c r="CV31" i="8"/>
  <c r="CV30" i="8"/>
  <c r="CV34" i="8"/>
  <c r="CV32" i="8"/>
  <c r="CV33" i="8"/>
  <c r="CV29" i="8"/>
  <c r="CV35" i="8"/>
  <c r="CV36" i="8"/>
  <c r="CU39" i="8"/>
  <c r="CU40" i="8"/>
  <c r="CV2" i="8"/>
  <c r="CW1" i="8"/>
  <c r="CV12" i="7"/>
  <c r="CN7" i="7"/>
  <c r="CN6" i="7" s="1"/>
  <c r="CN9" i="7" s="1"/>
  <c r="CO4" i="7" s="1"/>
  <c r="CI47" i="8" l="1"/>
  <c r="CJ11" i="8"/>
  <c r="CJ26" i="8" s="1"/>
  <c r="CJ37" i="8" s="1"/>
  <c r="CJ41" i="8" s="1"/>
  <c r="CJ43" i="8" s="1"/>
  <c r="CN22" i="8"/>
  <c r="CM24" i="8"/>
  <c r="CK10" i="8"/>
  <c r="CK9" i="8"/>
  <c r="CK7" i="8"/>
  <c r="CK8" i="8"/>
  <c r="DN5" i="2"/>
  <c r="CL6" i="8" s="1"/>
  <c r="DO3" i="2"/>
  <c r="AW70" i="8"/>
  <c r="AX69" i="8" s="1"/>
  <c r="CV18" i="7"/>
  <c r="CW38" i="8"/>
  <c r="CR14" i="8"/>
  <c r="CW17" i="8"/>
  <c r="CZ1" i="6"/>
  <c r="CY37" i="6"/>
  <c r="CY36" i="6"/>
  <c r="CY35" i="6"/>
  <c r="CY40" i="6"/>
  <c r="CY39" i="6"/>
  <c r="CY34" i="6"/>
  <c r="CY28" i="6"/>
  <c r="CY26" i="6"/>
  <c r="CY25" i="6"/>
  <c r="CY38" i="6"/>
  <c r="CY32" i="6"/>
  <c r="CY30" i="6"/>
  <c r="CY27" i="6"/>
  <c r="CY33" i="6"/>
  <c r="CY7" i="6"/>
  <c r="CY9" i="6"/>
  <c r="CY5" i="6"/>
  <c r="CY31" i="6"/>
  <c r="CY29" i="6"/>
  <c r="CY6" i="6"/>
  <c r="CY8" i="6"/>
  <c r="CY10" i="6"/>
  <c r="CY11" i="6"/>
  <c r="CY12" i="6"/>
  <c r="CY13" i="6"/>
  <c r="CY14" i="6"/>
  <c r="CY15" i="6"/>
  <c r="CY16" i="6"/>
  <c r="CY17" i="6"/>
  <c r="CY18" i="6"/>
  <c r="CY19" i="6"/>
  <c r="CY20" i="6"/>
  <c r="CY2" i="6"/>
  <c r="CW21" i="8"/>
  <c r="CW18" i="8"/>
  <c r="CW19" i="8"/>
  <c r="CX19" i="8" s="1"/>
  <c r="CX41" i="6"/>
  <c r="CW16" i="8"/>
  <c r="CW45" i="6"/>
  <c r="CW49" i="6" s="1"/>
  <c r="CS45" i="8" s="1"/>
  <c r="CV2" i="7"/>
  <c r="CU5" i="7"/>
  <c r="CU8" i="7"/>
  <c r="CV52" i="8" s="1"/>
  <c r="CW23" i="8"/>
  <c r="CW20" i="8"/>
  <c r="CW15" i="8"/>
  <c r="CX21" i="6"/>
  <c r="CV65" i="8"/>
  <c r="CV53" i="8"/>
  <c r="CW64" i="8"/>
  <c r="CW65" i="8" s="1"/>
  <c r="CV40" i="8"/>
  <c r="CV39" i="8"/>
  <c r="CW50" i="8"/>
  <c r="CW53" i="8" s="1"/>
  <c r="CW31" i="8"/>
  <c r="CW34" i="8"/>
  <c r="CW30" i="8"/>
  <c r="CW32" i="8"/>
  <c r="CW36" i="8"/>
  <c r="CW33" i="8"/>
  <c r="CW29" i="8"/>
  <c r="CW35" i="8"/>
  <c r="CW2" i="8"/>
  <c r="CX1" i="8"/>
  <c r="CW12" i="7"/>
  <c r="CO7" i="7"/>
  <c r="CO6" i="7" s="1"/>
  <c r="CO9" i="7" s="1"/>
  <c r="CP4" i="7" s="1"/>
  <c r="CJ47" i="8" l="1"/>
  <c r="CK11" i="8"/>
  <c r="CK26" i="8" s="1"/>
  <c r="CK37" i="8" s="1"/>
  <c r="CK41" i="8" s="1"/>
  <c r="CK43" i="8" s="1"/>
  <c r="CL9" i="8"/>
  <c r="CL7" i="8"/>
  <c r="CL8" i="8"/>
  <c r="CL10" i="8"/>
  <c r="DP3" i="2"/>
  <c r="DO5" i="2"/>
  <c r="CM6" i="8" s="1"/>
  <c r="CO22" i="8"/>
  <c r="CN24" i="8"/>
  <c r="AX59" i="8"/>
  <c r="AX67" i="8" s="1"/>
  <c r="CY41" i="6"/>
  <c r="CY21" i="6"/>
  <c r="CX15" i="8"/>
  <c r="CX16" i="8"/>
  <c r="CX18" i="8"/>
  <c r="DA1" i="6"/>
  <c r="CZ40" i="6"/>
  <c r="CZ38" i="6"/>
  <c r="CZ39" i="6"/>
  <c r="CZ36" i="6"/>
  <c r="CZ34" i="6"/>
  <c r="CZ37" i="6"/>
  <c r="CZ35" i="6"/>
  <c r="CZ27" i="6"/>
  <c r="CZ32" i="6"/>
  <c r="CZ30" i="6"/>
  <c r="CZ6" i="6"/>
  <c r="CZ7" i="6"/>
  <c r="CZ8" i="6"/>
  <c r="CZ28" i="6"/>
  <c r="CZ33" i="6"/>
  <c r="CZ31" i="6"/>
  <c r="CZ29" i="6"/>
  <c r="CZ25" i="6"/>
  <c r="CZ12" i="6"/>
  <c r="CZ9" i="6"/>
  <c r="CZ5" i="6"/>
  <c r="CZ10" i="6"/>
  <c r="CZ13" i="6"/>
  <c r="CZ15" i="6"/>
  <c r="CZ16" i="6"/>
  <c r="CZ18" i="6"/>
  <c r="CZ26" i="6"/>
  <c r="CZ11" i="6"/>
  <c r="CZ14" i="6"/>
  <c r="CZ17" i="6"/>
  <c r="CZ19" i="6"/>
  <c r="CZ20" i="6"/>
  <c r="CZ2" i="6"/>
  <c r="CX45" i="6"/>
  <c r="CX49" i="6" s="1"/>
  <c r="CT45" i="8" s="1"/>
  <c r="CX20" i="8"/>
  <c r="CW2" i="7"/>
  <c r="CV5" i="7"/>
  <c r="CV8" i="7"/>
  <c r="CW52" i="8" s="1"/>
  <c r="CX17" i="8"/>
  <c r="CS14" i="8"/>
  <c r="CW18" i="7"/>
  <c r="CX23" i="8"/>
  <c r="CX21" i="8"/>
  <c r="CX64" i="8"/>
  <c r="CX50" i="8"/>
  <c r="CX30" i="8"/>
  <c r="CX34" i="8"/>
  <c r="CX32" i="8"/>
  <c r="CX36" i="8"/>
  <c r="CX33" i="8"/>
  <c r="CX31" i="8"/>
  <c r="CX29" i="8"/>
  <c r="CX35" i="8"/>
  <c r="CW40" i="8"/>
  <c r="CW39" i="8"/>
  <c r="CX2" i="8"/>
  <c r="CX38" i="8" s="1"/>
  <c r="CY1" i="8"/>
  <c r="CX12" i="7"/>
  <c r="CP7" i="7"/>
  <c r="CP6" i="7" s="1"/>
  <c r="CP9" i="7" s="1"/>
  <c r="CQ4" i="7" s="1"/>
  <c r="CK47" i="8" l="1"/>
  <c r="CL11" i="8"/>
  <c r="CL26" i="8" s="1"/>
  <c r="CL37" i="8" s="1"/>
  <c r="CL41" i="8" s="1"/>
  <c r="CL43" i="8" s="1"/>
  <c r="CP22" i="8"/>
  <c r="CO24" i="8"/>
  <c r="CM9" i="8"/>
  <c r="CM7" i="8"/>
  <c r="CM8" i="8"/>
  <c r="CM10" i="8"/>
  <c r="DQ3" i="2"/>
  <c r="DP5" i="2"/>
  <c r="CN6" i="8" s="1"/>
  <c r="AX70" i="8"/>
  <c r="AY69" i="8" s="1"/>
  <c r="CY18" i="8"/>
  <c r="CZ18" i="8" s="1"/>
  <c r="CZ41" i="6"/>
  <c r="CY16" i="8"/>
  <c r="CT14" i="8"/>
  <c r="CY17" i="8"/>
  <c r="CX2" i="7"/>
  <c r="CW5" i="7"/>
  <c r="CW8" i="7"/>
  <c r="CX52" i="8" s="1"/>
  <c r="CZ21" i="6"/>
  <c r="CY15" i="8"/>
  <c r="CY23" i="8"/>
  <c r="CX18" i="7"/>
  <c r="CY38" i="8"/>
  <c r="CY21" i="8"/>
  <c r="CY19" i="8"/>
  <c r="CY20" i="8"/>
  <c r="CZ20" i="8" s="1"/>
  <c r="DB1" i="6"/>
  <c r="DA39" i="6"/>
  <c r="DA38" i="6"/>
  <c r="DA37" i="6"/>
  <c r="DA36" i="6"/>
  <c r="DA34" i="6"/>
  <c r="DA33" i="6"/>
  <c r="DA40" i="6"/>
  <c r="DA35" i="6"/>
  <c r="DA32" i="6"/>
  <c r="DA31" i="6"/>
  <c r="DA30" i="6"/>
  <c r="DA29" i="6"/>
  <c r="DA28" i="6"/>
  <c r="DA27" i="6"/>
  <c r="DA6" i="6"/>
  <c r="DA7" i="6"/>
  <c r="DA8" i="6"/>
  <c r="DA9" i="6"/>
  <c r="DA10" i="6"/>
  <c r="DA26" i="6"/>
  <c r="DA25" i="6"/>
  <c r="DA11" i="6"/>
  <c r="DA12" i="6"/>
  <c r="DA13" i="6"/>
  <c r="DA14" i="6"/>
  <c r="DA15" i="6"/>
  <c r="DA16" i="6"/>
  <c r="DA17" i="6"/>
  <c r="DA18" i="6"/>
  <c r="DA19" i="6"/>
  <c r="DA20" i="6"/>
  <c r="DA5" i="6"/>
  <c r="DA2" i="6"/>
  <c r="CY45" i="6"/>
  <c r="CY49" i="6" s="1"/>
  <c r="CU45" i="8" s="1"/>
  <c r="CX65" i="8"/>
  <c r="CX53" i="8"/>
  <c r="CY64" i="8"/>
  <c r="CY65" i="8" s="1"/>
  <c r="CX39" i="8"/>
  <c r="CX40" i="8"/>
  <c r="CY50" i="8"/>
  <c r="CY53" i="8" s="1"/>
  <c r="CY30" i="8"/>
  <c r="CY32" i="8"/>
  <c r="CY31" i="8"/>
  <c r="CY33" i="8"/>
  <c r="CY35" i="8"/>
  <c r="CY34" i="8"/>
  <c r="CY36" i="8"/>
  <c r="CY29" i="8"/>
  <c r="CY2" i="8"/>
  <c r="CZ1" i="8"/>
  <c r="CY12" i="7"/>
  <c r="CQ7" i="7"/>
  <c r="CQ6" i="7" s="1"/>
  <c r="CQ9" i="7" s="1"/>
  <c r="CR4" i="7" s="1"/>
  <c r="CL47" i="8" l="1"/>
  <c r="CM11" i="8"/>
  <c r="CM26" i="8" s="1"/>
  <c r="CM37" i="8" s="1"/>
  <c r="CM41" i="8" s="1"/>
  <c r="CM43" i="8" s="1"/>
  <c r="DR3" i="2"/>
  <c r="DQ5" i="2"/>
  <c r="CO6" i="8" s="1"/>
  <c r="CN8" i="8"/>
  <c r="CN7" i="8"/>
  <c r="CN10" i="8"/>
  <c r="CN9" i="8"/>
  <c r="CQ22" i="8"/>
  <c r="CP24" i="8"/>
  <c r="AY59" i="8"/>
  <c r="AY67" i="8" s="1"/>
  <c r="CZ38" i="8"/>
  <c r="CY18" i="7"/>
  <c r="DA41" i="6"/>
  <c r="CZ19" i="8"/>
  <c r="DA19" i="8" s="1"/>
  <c r="CZ15" i="8"/>
  <c r="CY2" i="7"/>
  <c r="CX5" i="7"/>
  <c r="CX8" i="7"/>
  <c r="CY52" i="8" s="1"/>
  <c r="CZ16" i="8"/>
  <c r="CZ23" i="8"/>
  <c r="CU14" i="8"/>
  <c r="DA21" i="6"/>
  <c r="DC1" i="6"/>
  <c r="DB36" i="6"/>
  <c r="DB40" i="6"/>
  <c r="DB39" i="6"/>
  <c r="DB37" i="6"/>
  <c r="DB35" i="6"/>
  <c r="DB32" i="6"/>
  <c r="DB31" i="6"/>
  <c r="DB30" i="6"/>
  <c r="DB29" i="6"/>
  <c r="DB38" i="6"/>
  <c r="DB33" i="6"/>
  <c r="DB28" i="6"/>
  <c r="DB26" i="6"/>
  <c r="DB25" i="6"/>
  <c r="DB6" i="6"/>
  <c r="DB7" i="6"/>
  <c r="DB8" i="6"/>
  <c r="DB9" i="6"/>
  <c r="DB10" i="6"/>
  <c r="DB11" i="6"/>
  <c r="DB12" i="6"/>
  <c r="DB13" i="6"/>
  <c r="DB14" i="6"/>
  <c r="DB15" i="6"/>
  <c r="DB16" i="6"/>
  <c r="DB17" i="6"/>
  <c r="DB18" i="6"/>
  <c r="DB19" i="6"/>
  <c r="DB20" i="6"/>
  <c r="DB5" i="6"/>
  <c r="DB27" i="6"/>
  <c r="DB34" i="6"/>
  <c r="DB2" i="6"/>
  <c r="CZ21" i="8"/>
  <c r="DA21" i="8" s="1"/>
  <c r="CZ45" i="6"/>
  <c r="CZ49" i="6" s="1"/>
  <c r="CV45" i="8" s="1"/>
  <c r="CZ17" i="8"/>
  <c r="DA17" i="8" s="1"/>
  <c r="CI64" i="8"/>
  <c r="CI65" i="8" s="1"/>
  <c r="CZ64" i="8"/>
  <c r="CY40" i="8"/>
  <c r="CY39" i="8"/>
  <c r="CZ50" i="8"/>
  <c r="CZ30" i="8"/>
  <c r="CZ32" i="8"/>
  <c r="CZ31" i="8"/>
  <c r="CZ33" i="8"/>
  <c r="CZ35" i="8"/>
  <c r="CZ36" i="8"/>
  <c r="CZ34" i="8"/>
  <c r="CZ29" i="8"/>
  <c r="DA1" i="8"/>
  <c r="DA20" i="8" s="1"/>
  <c r="CZ2" i="8"/>
  <c r="DA18" i="8" s="1"/>
  <c r="CZ12" i="7"/>
  <c r="CR7" i="7"/>
  <c r="CR6" i="7" s="1"/>
  <c r="CR9" i="7" s="1"/>
  <c r="CS4" i="7" s="1"/>
  <c r="CM47" i="8" l="1"/>
  <c r="CN11" i="8"/>
  <c r="CN26" i="8" s="1"/>
  <c r="CN37" i="8" s="1"/>
  <c r="CN41" i="8" s="1"/>
  <c r="CN43" i="8" s="1"/>
  <c r="CR22" i="8"/>
  <c r="CQ24" i="8"/>
  <c r="CO7" i="8"/>
  <c r="CO10" i="8"/>
  <c r="CO9" i="8"/>
  <c r="CO8" i="8"/>
  <c r="DR5" i="2"/>
  <c r="CP6" i="8" s="1"/>
  <c r="DS3" i="2"/>
  <c r="AY70" i="8"/>
  <c r="AZ69" i="8" s="1"/>
  <c r="DB21" i="6"/>
  <c r="DB41" i="6"/>
  <c r="DD1" i="6"/>
  <c r="DC35" i="6"/>
  <c r="DC37" i="6"/>
  <c r="DC36" i="6"/>
  <c r="DC40" i="6"/>
  <c r="DC38" i="6"/>
  <c r="DC39" i="6"/>
  <c r="DC33" i="6"/>
  <c r="DC28" i="6"/>
  <c r="DC34" i="6"/>
  <c r="DC25" i="6"/>
  <c r="DC31" i="6"/>
  <c r="DC29" i="6"/>
  <c r="DC26" i="6"/>
  <c r="DC27" i="6"/>
  <c r="DC30" i="6"/>
  <c r="DC10" i="6"/>
  <c r="DC5" i="6"/>
  <c r="DC32" i="6"/>
  <c r="DC7" i="6"/>
  <c r="DC6" i="6"/>
  <c r="DC8" i="6"/>
  <c r="DC9" i="6"/>
  <c r="DC11" i="6"/>
  <c r="DC12" i="6"/>
  <c r="DC13" i="6"/>
  <c r="DC14" i="6"/>
  <c r="DC15" i="6"/>
  <c r="DC16" i="6"/>
  <c r="DC17" i="6"/>
  <c r="DC18" i="6"/>
  <c r="DC19" i="6"/>
  <c r="DC20" i="6"/>
  <c r="DC2" i="6"/>
  <c r="DA23" i="8"/>
  <c r="CZ2" i="7"/>
  <c r="CY5" i="7"/>
  <c r="CY8" i="7"/>
  <c r="CZ52" i="8" s="1"/>
  <c r="CV14" i="8"/>
  <c r="CZ18" i="7"/>
  <c r="DA45" i="6"/>
  <c r="DA49" i="6" s="1"/>
  <c r="CW45" i="8" s="1"/>
  <c r="DA16" i="8"/>
  <c r="DA15" i="8"/>
  <c r="CZ65" i="8"/>
  <c r="CZ53" i="8"/>
  <c r="DA64" i="8"/>
  <c r="DA65" i="8" s="1"/>
  <c r="DA50" i="8"/>
  <c r="DA53" i="8" s="1"/>
  <c r="DA30" i="8"/>
  <c r="DA33" i="8"/>
  <c r="DA35" i="8"/>
  <c r="DA36" i="8"/>
  <c r="DA31" i="8"/>
  <c r="DA32" i="8"/>
  <c r="DA34" i="8"/>
  <c r="DA29" i="8"/>
  <c r="CZ39" i="8"/>
  <c r="CZ40" i="8"/>
  <c r="DB1" i="8"/>
  <c r="DB21" i="8" s="1"/>
  <c r="DA2" i="8"/>
  <c r="DA38" i="8" s="1"/>
  <c r="DA12" i="7"/>
  <c r="CS7" i="7"/>
  <c r="CS6" i="7" s="1"/>
  <c r="CS9" i="7" s="1"/>
  <c r="CT4" i="7" s="1"/>
  <c r="CN47" i="8" l="1"/>
  <c r="CO11" i="8"/>
  <c r="CO26" i="8" s="1"/>
  <c r="CO37" i="8" s="1"/>
  <c r="CO41" i="8" s="1"/>
  <c r="CO43" i="8" s="1"/>
  <c r="CP9" i="8"/>
  <c r="CP7" i="8"/>
  <c r="CP10" i="8"/>
  <c r="CP8" i="8"/>
  <c r="DT3" i="2"/>
  <c r="DS5" i="2"/>
  <c r="CQ6" i="8" s="1"/>
  <c r="CS22" i="8"/>
  <c r="CR24" i="8"/>
  <c r="AZ59" i="8"/>
  <c r="AZ67" i="8" s="1"/>
  <c r="DB45" i="6"/>
  <c r="DB49" i="6" s="1"/>
  <c r="CX45" i="8" s="1"/>
  <c r="DA2" i="7"/>
  <c r="CZ5" i="7"/>
  <c r="CZ8" i="7"/>
  <c r="DA52" i="8" s="1"/>
  <c r="DB20" i="8"/>
  <c r="DA18" i="7"/>
  <c r="CW14" i="8"/>
  <c r="DB23" i="8"/>
  <c r="DC41" i="6"/>
  <c r="DB18" i="8"/>
  <c r="DB19" i="8"/>
  <c r="DC21" i="6"/>
  <c r="DB15" i="8"/>
  <c r="DB16" i="8"/>
  <c r="DE1" i="6"/>
  <c r="DD40" i="6"/>
  <c r="DD37" i="6"/>
  <c r="DD36" i="6"/>
  <c r="DD38" i="6"/>
  <c r="DD35" i="6"/>
  <c r="DD39" i="6"/>
  <c r="DD34" i="6"/>
  <c r="DD27" i="6"/>
  <c r="DD31" i="6"/>
  <c r="DD29" i="6"/>
  <c r="DD26" i="6"/>
  <c r="DD6" i="6"/>
  <c r="DD7" i="6"/>
  <c r="DD8" i="6"/>
  <c r="DD33" i="6"/>
  <c r="DD32" i="6"/>
  <c r="DD30" i="6"/>
  <c r="DD11" i="6"/>
  <c r="DD20" i="6"/>
  <c r="DD10" i="6"/>
  <c r="DD5" i="6"/>
  <c r="DD9" i="6"/>
  <c r="DD14" i="6"/>
  <c r="DD17" i="6"/>
  <c r="DD19" i="6"/>
  <c r="DD28" i="6"/>
  <c r="DD25" i="6"/>
  <c r="DD12" i="6"/>
  <c r="DD13" i="6"/>
  <c r="DD15" i="6"/>
  <c r="DD16" i="6"/>
  <c r="DD18" i="6"/>
  <c r="DD2" i="6"/>
  <c r="DB17" i="8"/>
  <c r="DB64" i="8"/>
  <c r="DA39" i="8"/>
  <c r="DA40" i="8"/>
  <c r="DB50" i="8"/>
  <c r="DB31" i="8"/>
  <c r="DB33" i="8"/>
  <c r="DB35" i="8"/>
  <c r="DB30" i="8"/>
  <c r="DB29" i="8"/>
  <c r="DB36" i="8"/>
  <c r="DB32" i="8"/>
  <c r="DB34" i="8"/>
  <c r="DC1" i="8"/>
  <c r="DC21" i="8" s="1"/>
  <c r="DB2" i="8"/>
  <c r="DB38" i="8" s="1"/>
  <c r="DB12" i="7"/>
  <c r="CT7" i="7"/>
  <c r="CT6" i="7" s="1"/>
  <c r="CT9" i="7" s="1"/>
  <c r="CU4" i="7" s="1"/>
  <c r="CO47" i="8" l="1"/>
  <c r="CP11" i="8"/>
  <c r="CP26" i="8" s="1"/>
  <c r="CP37" i="8" s="1"/>
  <c r="CP41" i="8" s="1"/>
  <c r="CP43" i="8" s="1"/>
  <c r="CT22" i="8"/>
  <c r="CS24" i="8"/>
  <c r="CQ8" i="8"/>
  <c r="CQ7" i="8"/>
  <c r="CQ10" i="8"/>
  <c r="CQ9" i="8"/>
  <c r="DT5" i="2"/>
  <c r="CR6" i="8" s="1"/>
  <c r="DU3" i="2"/>
  <c r="AZ70" i="8"/>
  <c r="BA69" i="8" s="1"/>
  <c r="DC20" i="8"/>
  <c r="DC15" i="8"/>
  <c r="DC23" i="8"/>
  <c r="DB2" i="7"/>
  <c r="DA5" i="7"/>
  <c r="DA8" i="7"/>
  <c r="DB52" i="8" s="1"/>
  <c r="DF1" i="6"/>
  <c r="DE39" i="6"/>
  <c r="DE38" i="6"/>
  <c r="DE37" i="6"/>
  <c r="DE40" i="6"/>
  <c r="DE34" i="6"/>
  <c r="DE33" i="6"/>
  <c r="DE35" i="6"/>
  <c r="DE32" i="6"/>
  <c r="DE31" i="6"/>
  <c r="DE30" i="6"/>
  <c r="DE29" i="6"/>
  <c r="DE27" i="6"/>
  <c r="DE6" i="6"/>
  <c r="DE7" i="6"/>
  <c r="DE8" i="6"/>
  <c r="DE9" i="6"/>
  <c r="DE10" i="6"/>
  <c r="DE36" i="6"/>
  <c r="DE28" i="6"/>
  <c r="DE25" i="6"/>
  <c r="DE11" i="6"/>
  <c r="DE12" i="6"/>
  <c r="DE13" i="6"/>
  <c r="DE14" i="6"/>
  <c r="DE15" i="6"/>
  <c r="DE16" i="6"/>
  <c r="DE17" i="6"/>
  <c r="DE18" i="6"/>
  <c r="DE19" i="6"/>
  <c r="DE20" i="6"/>
  <c r="DE26" i="6"/>
  <c r="DE5" i="6"/>
  <c r="DE2" i="6"/>
  <c r="DC18" i="8"/>
  <c r="CX14" i="8"/>
  <c r="DC17" i="8"/>
  <c r="DC19" i="8"/>
  <c r="DD21" i="6"/>
  <c r="DC16" i="8"/>
  <c r="DB18" i="7"/>
  <c r="DD41" i="6"/>
  <c r="DC45" i="6"/>
  <c r="DC49" i="6" s="1"/>
  <c r="CY45" i="8" s="1"/>
  <c r="DB65" i="8"/>
  <c r="DB53" i="8"/>
  <c r="DC64" i="8"/>
  <c r="DC65" i="8" s="1"/>
  <c r="DB40" i="8"/>
  <c r="DB39" i="8"/>
  <c r="DC50" i="8"/>
  <c r="DC53" i="8" s="1"/>
  <c r="DC31" i="8"/>
  <c r="DC30" i="8"/>
  <c r="DC32" i="8"/>
  <c r="DC34" i="8"/>
  <c r="DC33" i="8"/>
  <c r="DC35" i="8"/>
  <c r="DC29" i="8"/>
  <c r="DC36" i="8"/>
  <c r="DD1" i="8"/>
  <c r="DC2" i="8"/>
  <c r="DC38" i="8" s="1"/>
  <c r="DC12" i="7"/>
  <c r="CU7" i="7"/>
  <c r="CU6" i="7" s="1"/>
  <c r="CU9" i="7" s="1"/>
  <c r="CV4" i="7" s="1"/>
  <c r="CP47" i="8" l="1"/>
  <c r="CQ11" i="8"/>
  <c r="CQ26" i="8" s="1"/>
  <c r="CQ37" i="8" s="1"/>
  <c r="CQ41" i="8" s="1"/>
  <c r="CQ43" i="8" s="1"/>
  <c r="DV3" i="2"/>
  <c r="DU5" i="2"/>
  <c r="CS6" i="8" s="1"/>
  <c r="CU22" i="8"/>
  <c r="CT24" i="8"/>
  <c r="CR9" i="8"/>
  <c r="CR8" i="8"/>
  <c r="CR10" i="8"/>
  <c r="CR7" i="8"/>
  <c r="BA59" i="8"/>
  <c r="BA67" i="8" s="1"/>
  <c r="CY14" i="8"/>
  <c r="DD15" i="8"/>
  <c r="DD18" i="8"/>
  <c r="DD16" i="8"/>
  <c r="DD17" i="8"/>
  <c r="DC2" i="7"/>
  <c r="DB5" i="7"/>
  <c r="DB8" i="7"/>
  <c r="DC52" i="8" s="1"/>
  <c r="DC18" i="7"/>
  <c r="DD19" i="8"/>
  <c r="DD45" i="6"/>
  <c r="DD49" i="6" s="1"/>
  <c r="CZ45" i="8" s="1"/>
  <c r="DE21" i="6"/>
  <c r="DE41" i="6"/>
  <c r="DG1" i="6"/>
  <c r="DF36" i="6"/>
  <c r="DF38" i="6"/>
  <c r="DF40" i="6"/>
  <c r="DF39" i="6"/>
  <c r="DF37" i="6"/>
  <c r="DF34" i="6"/>
  <c r="DF32" i="6"/>
  <c r="DF31" i="6"/>
  <c r="DF30" i="6"/>
  <c r="DF29" i="6"/>
  <c r="DF28" i="6"/>
  <c r="DF26" i="6"/>
  <c r="DF33" i="6"/>
  <c r="DF27" i="6"/>
  <c r="DF35" i="6"/>
  <c r="DF25" i="6"/>
  <c r="DF6" i="6"/>
  <c r="DF7" i="6"/>
  <c r="DF8" i="6"/>
  <c r="DF9" i="6"/>
  <c r="DF10" i="6"/>
  <c r="DF11" i="6"/>
  <c r="DF12" i="6"/>
  <c r="DF13" i="6"/>
  <c r="DF14" i="6"/>
  <c r="DF15" i="6"/>
  <c r="DF16" i="6"/>
  <c r="DF17" i="6"/>
  <c r="DF18" i="6"/>
  <c r="DF19" i="6"/>
  <c r="DF20" i="6"/>
  <c r="DF5" i="6"/>
  <c r="DF2" i="6"/>
  <c r="DD23" i="8"/>
  <c r="DD20" i="8"/>
  <c r="DD21" i="8"/>
  <c r="DD64" i="8"/>
  <c r="DC39" i="8"/>
  <c r="DC40" i="8"/>
  <c r="DD50" i="8"/>
  <c r="DD31" i="8"/>
  <c r="DD30" i="8"/>
  <c r="DD34" i="8"/>
  <c r="DD29" i="8"/>
  <c r="DD33" i="8"/>
  <c r="DD32" i="8"/>
  <c r="DD35" i="8"/>
  <c r="DD36" i="8"/>
  <c r="DE1" i="8"/>
  <c r="DD2" i="8"/>
  <c r="DD12" i="7"/>
  <c r="CV7" i="7"/>
  <c r="CV6" i="7" s="1"/>
  <c r="CV9" i="7" s="1"/>
  <c r="CW4" i="7" s="1"/>
  <c r="CQ47" i="8" l="1"/>
  <c r="CR11" i="8"/>
  <c r="CR26" i="8" s="1"/>
  <c r="CR37" i="8" s="1"/>
  <c r="CR41" i="8" s="1"/>
  <c r="CR43" i="8" s="1"/>
  <c r="CS8" i="8"/>
  <c r="CS10" i="8"/>
  <c r="CS7" i="8"/>
  <c r="CS9" i="8"/>
  <c r="CV22" i="8"/>
  <c r="CU24" i="8"/>
  <c r="DV5" i="2"/>
  <c r="CT6" i="8" s="1"/>
  <c r="DW3" i="2"/>
  <c r="BA70" i="8"/>
  <c r="BB69" i="8" s="1"/>
  <c r="DF21" i="6"/>
  <c r="DF41" i="6"/>
  <c r="DF45" i="6" s="1"/>
  <c r="DF49" i="6" s="1"/>
  <c r="DB45" i="8" s="1"/>
  <c r="DE38" i="8"/>
  <c r="DE20" i="8"/>
  <c r="DE19" i="8"/>
  <c r="DD2" i="7"/>
  <c r="DC5" i="7"/>
  <c r="DC8" i="7"/>
  <c r="DD52" i="8" s="1"/>
  <c r="DE18" i="8"/>
  <c r="CZ14" i="8"/>
  <c r="DH1" i="6"/>
  <c r="DG40" i="6"/>
  <c r="DG39" i="6"/>
  <c r="DG35" i="6"/>
  <c r="DG38" i="6"/>
  <c r="DG28" i="6"/>
  <c r="DG36" i="6"/>
  <c r="DG33" i="6"/>
  <c r="DG25" i="6"/>
  <c r="DG32" i="6"/>
  <c r="DG30" i="6"/>
  <c r="DG34" i="6"/>
  <c r="DG26" i="6"/>
  <c r="DG6" i="6"/>
  <c r="DG8" i="6"/>
  <c r="DG9" i="6"/>
  <c r="DG5" i="6"/>
  <c r="DG29" i="6"/>
  <c r="DG27" i="6"/>
  <c r="DG37" i="6"/>
  <c r="DG31" i="6"/>
  <c r="DG7" i="6"/>
  <c r="DG10" i="6"/>
  <c r="DG11" i="6"/>
  <c r="DG12" i="6"/>
  <c r="DG13" i="6"/>
  <c r="DG14" i="6"/>
  <c r="DG15" i="6"/>
  <c r="DG16" i="6"/>
  <c r="DG17" i="6"/>
  <c r="DG18" i="6"/>
  <c r="DG19" i="6"/>
  <c r="DG20" i="6"/>
  <c r="DG2" i="6"/>
  <c r="DE45" i="6"/>
  <c r="DE49" i="6" s="1"/>
  <c r="DA45" i="8" s="1"/>
  <c r="DE17" i="8"/>
  <c r="DD38" i="8"/>
  <c r="DE21" i="8"/>
  <c r="DF21" i="8" s="1"/>
  <c r="DE23" i="8"/>
  <c r="DD18" i="7"/>
  <c r="DE16" i="8"/>
  <c r="DF16" i="8" s="1"/>
  <c r="DE15" i="8"/>
  <c r="DD65" i="8"/>
  <c r="DD53" i="8"/>
  <c r="DE64" i="8"/>
  <c r="DE65" i="8" s="1"/>
  <c r="DD40" i="8"/>
  <c r="DD39" i="8"/>
  <c r="DE50" i="8"/>
  <c r="DE53" i="8" s="1"/>
  <c r="DE31" i="8"/>
  <c r="DE32" i="8"/>
  <c r="DE34" i="8"/>
  <c r="DE35" i="8"/>
  <c r="DE36" i="8"/>
  <c r="DE29" i="8"/>
  <c r="DE33" i="8"/>
  <c r="DE30" i="8"/>
  <c r="DE2" i="8"/>
  <c r="DF1" i="8"/>
  <c r="DE12" i="7"/>
  <c r="CW7" i="7"/>
  <c r="CW6" i="7" s="1"/>
  <c r="CW9" i="7" s="1"/>
  <c r="CX4" i="7" s="1"/>
  <c r="CR47" i="8" l="1"/>
  <c r="CS11" i="8"/>
  <c r="CS26" i="8" s="1"/>
  <c r="CS37" i="8" s="1"/>
  <c r="CS41" i="8" s="1"/>
  <c r="CS43" i="8" s="1"/>
  <c r="CW22" i="8"/>
  <c r="CV24" i="8"/>
  <c r="DX3" i="2"/>
  <c r="DW5" i="2"/>
  <c r="CU6" i="8" s="1"/>
  <c r="CT8" i="8"/>
  <c r="CT9" i="8"/>
  <c r="CT10" i="8"/>
  <c r="CT7" i="8"/>
  <c r="BB59" i="8"/>
  <c r="BB67" i="8" s="1"/>
  <c r="DG21" i="6"/>
  <c r="DI1" i="6"/>
  <c r="DH40" i="6"/>
  <c r="DH39" i="6"/>
  <c r="DH37" i="6"/>
  <c r="DH36" i="6"/>
  <c r="DH35" i="6"/>
  <c r="DH38" i="6"/>
  <c r="DH33" i="6"/>
  <c r="DH34" i="6"/>
  <c r="DH27" i="6"/>
  <c r="DH32" i="6"/>
  <c r="DH30" i="6"/>
  <c r="DH6" i="6"/>
  <c r="DH7" i="6"/>
  <c r="DH8" i="6"/>
  <c r="DH28" i="6"/>
  <c r="DH26" i="6"/>
  <c r="DH31" i="6"/>
  <c r="DH29" i="6"/>
  <c r="DH15" i="6"/>
  <c r="DH17" i="6"/>
  <c r="DH18" i="6"/>
  <c r="DH19" i="6"/>
  <c r="DH9" i="6"/>
  <c r="DH5" i="6"/>
  <c r="DH11" i="6"/>
  <c r="DH12" i="6"/>
  <c r="DH16" i="6"/>
  <c r="DH20" i="6"/>
  <c r="DH25" i="6"/>
  <c r="DH10" i="6"/>
  <c r="DH13" i="6"/>
  <c r="DH14" i="6"/>
  <c r="DH2" i="6"/>
  <c r="DF18" i="8"/>
  <c r="DE18" i="7"/>
  <c r="DF17" i="8"/>
  <c r="DF19" i="8"/>
  <c r="DG41" i="6"/>
  <c r="DA14" i="8"/>
  <c r="DE2" i="7"/>
  <c r="DD5" i="7"/>
  <c r="DD8" i="7"/>
  <c r="DE52" i="8" s="1"/>
  <c r="DF15" i="8"/>
  <c r="DF23" i="8"/>
  <c r="DF20" i="8"/>
  <c r="DF64" i="8"/>
  <c r="DF65" i="8" s="1"/>
  <c r="DF30" i="8"/>
  <c r="DF50" i="8"/>
  <c r="DF53" i="8" s="1"/>
  <c r="DF32" i="8"/>
  <c r="DF34" i="8"/>
  <c r="DF35" i="8"/>
  <c r="DF36" i="8"/>
  <c r="DF29" i="8"/>
  <c r="DF33" i="8"/>
  <c r="DF31" i="8"/>
  <c r="DE40" i="8"/>
  <c r="DE39" i="8"/>
  <c r="DF2" i="8"/>
  <c r="DF38" i="8" s="1"/>
  <c r="DG1" i="8"/>
  <c r="DF12" i="7"/>
  <c r="CX7" i="7"/>
  <c r="CX6" i="7" s="1"/>
  <c r="CX9" i="7" s="1"/>
  <c r="CY4" i="7" s="1"/>
  <c r="CS47" i="8" l="1"/>
  <c r="CT11" i="8"/>
  <c r="CT26" i="8" s="1"/>
  <c r="CT37" i="8" s="1"/>
  <c r="CT41" i="8" s="1"/>
  <c r="CT43" i="8" s="1"/>
  <c r="DY3" i="2"/>
  <c r="DX5" i="2"/>
  <c r="CV6" i="8" s="1"/>
  <c r="CX22" i="8"/>
  <c r="CW24" i="8"/>
  <c r="CU10" i="8"/>
  <c r="CU9" i="8"/>
  <c r="CU8" i="8"/>
  <c r="CU7" i="8"/>
  <c r="BB70" i="8"/>
  <c r="BC69" i="8" s="1"/>
  <c r="DG23" i="8"/>
  <c r="DH23" i="8" s="1"/>
  <c r="DG15" i="8"/>
  <c r="DF2" i="7"/>
  <c r="DE5" i="7"/>
  <c r="DE8" i="7"/>
  <c r="DF52" i="8" s="1"/>
  <c r="DG17" i="8"/>
  <c r="DG21" i="8"/>
  <c r="DG20" i="8"/>
  <c r="DH20" i="8" s="1"/>
  <c r="DH41" i="6"/>
  <c r="DG19" i="8"/>
  <c r="DH19" i="8" s="1"/>
  <c r="DG45" i="6"/>
  <c r="DG49" i="6" s="1"/>
  <c r="DC45" i="8" s="1"/>
  <c r="DG18" i="8"/>
  <c r="DH18" i="8" s="1"/>
  <c r="DF18" i="7"/>
  <c r="DB14" i="8"/>
  <c r="DG16" i="8"/>
  <c r="DH16" i="8" s="1"/>
  <c r="DH21" i="6"/>
  <c r="DJ1" i="6"/>
  <c r="DI39" i="6"/>
  <c r="DI38" i="6"/>
  <c r="DI37" i="6"/>
  <c r="DI40" i="6"/>
  <c r="DI36" i="6"/>
  <c r="DI35" i="6"/>
  <c r="DI34" i="6"/>
  <c r="DI33" i="6"/>
  <c r="DI32" i="6"/>
  <c r="DI31" i="6"/>
  <c r="DI30" i="6"/>
  <c r="DI29" i="6"/>
  <c r="DI28" i="6"/>
  <c r="DI26" i="6"/>
  <c r="DI6" i="6"/>
  <c r="DI7" i="6"/>
  <c r="DI8" i="6"/>
  <c r="DI9" i="6"/>
  <c r="DI10" i="6"/>
  <c r="DI27" i="6"/>
  <c r="DI25" i="6"/>
  <c r="DI11" i="6"/>
  <c r="DI12" i="6"/>
  <c r="DI13" i="6"/>
  <c r="DI14" i="6"/>
  <c r="DI15" i="6"/>
  <c r="DI16" i="6"/>
  <c r="DI17" i="6"/>
  <c r="DI18" i="6"/>
  <c r="DI19" i="6"/>
  <c r="DI20" i="6"/>
  <c r="DI5" i="6"/>
  <c r="DI2" i="6"/>
  <c r="DG64" i="8"/>
  <c r="DG65" i="8" s="1"/>
  <c r="DG50" i="8"/>
  <c r="DG53" i="8" s="1"/>
  <c r="DG30" i="8"/>
  <c r="DG32" i="8"/>
  <c r="DG31" i="8"/>
  <c r="DG33" i="8"/>
  <c r="DG35" i="8"/>
  <c r="DG34" i="8"/>
  <c r="DG36" i="8"/>
  <c r="DG29" i="8"/>
  <c r="DF40" i="8"/>
  <c r="DF39" i="8"/>
  <c r="DG2" i="8"/>
  <c r="DG38" i="8" s="1"/>
  <c r="DH1" i="8"/>
  <c r="DG12" i="7"/>
  <c r="CY7" i="7"/>
  <c r="CY6" i="7" s="1"/>
  <c r="CY9" i="7" s="1"/>
  <c r="CZ4" i="7" s="1"/>
  <c r="CT47" i="8" l="1"/>
  <c r="CU11" i="8"/>
  <c r="CU26" i="8" s="1"/>
  <c r="CU37" i="8" s="1"/>
  <c r="CU41" i="8" s="1"/>
  <c r="CU43" i="8" s="1"/>
  <c r="DZ3" i="2"/>
  <c r="DY5" i="2"/>
  <c r="CW6" i="8" s="1"/>
  <c r="CY22" i="8"/>
  <c r="CX24" i="8"/>
  <c r="CV9" i="8"/>
  <c r="CV7" i="8"/>
  <c r="CV10" i="8"/>
  <c r="CV8" i="8"/>
  <c r="BC59" i="8"/>
  <c r="BC67" i="8" s="1"/>
  <c r="DI41" i="6"/>
  <c r="DI21" i="6"/>
  <c r="DK1" i="6"/>
  <c r="DJ36" i="6"/>
  <c r="DJ37" i="6"/>
  <c r="DJ38" i="6"/>
  <c r="DJ40" i="6"/>
  <c r="DJ34" i="6"/>
  <c r="DJ32" i="6"/>
  <c r="DJ31" i="6"/>
  <c r="DJ30" i="6"/>
  <c r="DJ29" i="6"/>
  <c r="DJ35" i="6"/>
  <c r="DJ28" i="6"/>
  <c r="DJ26" i="6"/>
  <c r="DJ27" i="6"/>
  <c r="DJ25" i="6"/>
  <c r="DJ39" i="6"/>
  <c r="DJ6" i="6"/>
  <c r="DJ7" i="6"/>
  <c r="DJ8" i="6"/>
  <c r="DJ9" i="6"/>
  <c r="DJ10" i="6"/>
  <c r="DJ5" i="6"/>
  <c r="DJ11" i="6"/>
  <c r="DJ12" i="6"/>
  <c r="DJ13" i="6"/>
  <c r="DJ14" i="6"/>
  <c r="DJ15" i="6"/>
  <c r="DJ16" i="6"/>
  <c r="DJ17" i="6"/>
  <c r="DJ18" i="6"/>
  <c r="DJ19" i="6"/>
  <c r="DJ20" i="6"/>
  <c r="DJ33" i="6"/>
  <c r="DJ2" i="6"/>
  <c r="DC14" i="8"/>
  <c r="DH21" i="8"/>
  <c r="DG2" i="7"/>
  <c r="DF5" i="7"/>
  <c r="DF8" i="7"/>
  <c r="DG52" i="8" s="1"/>
  <c r="DI20" i="8"/>
  <c r="DG18" i="7"/>
  <c r="DH45" i="6"/>
  <c r="DH49" i="6" s="1"/>
  <c r="DD45" i="8" s="1"/>
  <c r="DH17" i="8"/>
  <c r="DH15" i="8"/>
  <c r="DH64" i="8"/>
  <c r="DG40" i="8"/>
  <c r="DG39" i="8"/>
  <c r="DH50" i="8"/>
  <c r="DH30" i="8"/>
  <c r="DH32" i="8"/>
  <c r="DH31" i="8"/>
  <c r="DH33" i="8"/>
  <c r="DH35" i="8"/>
  <c r="DH36" i="8"/>
  <c r="DH29" i="8"/>
  <c r="DH34" i="8"/>
  <c r="DI1" i="8"/>
  <c r="DH2" i="8"/>
  <c r="DH12" i="7"/>
  <c r="CZ7" i="7"/>
  <c r="CZ6" i="7" s="1"/>
  <c r="CZ9" i="7" s="1"/>
  <c r="DA4" i="7" s="1"/>
  <c r="CU47" i="8" l="1"/>
  <c r="CV11" i="8"/>
  <c r="CV26" i="8" s="1"/>
  <c r="CV37" i="8" s="1"/>
  <c r="CV41" i="8" s="1"/>
  <c r="CV43" i="8" s="1"/>
  <c r="CZ22" i="8"/>
  <c r="CY24" i="8"/>
  <c r="CW9" i="8"/>
  <c r="CW10" i="8"/>
  <c r="CW8" i="8"/>
  <c r="CW7" i="8"/>
  <c r="EA3" i="2"/>
  <c r="DZ5" i="2"/>
  <c r="CX6" i="8" s="1"/>
  <c r="BC70" i="8"/>
  <c r="BD69" i="8" s="1"/>
  <c r="DH18" i="7"/>
  <c r="DI45" i="6"/>
  <c r="DI49" i="6" s="1"/>
  <c r="DE45" i="8" s="1"/>
  <c r="DI15" i="8"/>
  <c r="DH38" i="8"/>
  <c r="DI17" i="8"/>
  <c r="DI19" i="8"/>
  <c r="DH2" i="7"/>
  <c r="DG5" i="7"/>
  <c r="DG8" i="7"/>
  <c r="DH52" i="8" s="1"/>
  <c r="DJ21" i="6"/>
  <c r="DI23" i="8"/>
  <c r="DI18" i="8"/>
  <c r="DD14" i="8"/>
  <c r="DJ41" i="6"/>
  <c r="DI16" i="8"/>
  <c r="DI21" i="8"/>
  <c r="DL1" i="6"/>
  <c r="DK40" i="6"/>
  <c r="DK38" i="6"/>
  <c r="DK35" i="6"/>
  <c r="DK37" i="6"/>
  <c r="DK36" i="6"/>
  <c r="DK34" i="6"/>
  <c r="DK28" i="6"/>
  <c r="DK39" i="6"/>
  <c r="DK27" i="6"/>
  <c r="DK25" i="6"/>
  <c r="DK31" i="6"/>
  <c r="DK29" i="6"/>
  <c r="DK33" i="6"/>
  <c r="DK32" i="6"/>
  <c r="DK10" i="6"/>
  <c r="DK5" i="6"/>
  <c r="DK7" i="6"/>
  <c r="DK26" i="6"/>
  <c r="DK6" i="6"/>
  <c r="DK8" i="6"/>
  <c r="DK9" i="6"/>
  <c r="DK11" i="6"/>
  <c r="DK12" i="6"/>
  <c r="DK13" i="6"/>
  <c r="DK14" i="6"/>
  <c r="DK15" i="6"/>
  <c r="DK16" i="6"/>
  <c r="DK17" i="6"/>
  <c r="DK18" i="6"/>
  <c r="DK19" i="6"/>
  <c r="DK20" i="6"/>
  <c r="DK30" i="6"/>
  <c r="DK2" i="6"/>
  <c r="DH65" i="8"/>
  <c r="DH53" i="8"/>
  <c r="DI64" i="8"/>
  <c r="DI65" i="8" s="1"/>
  <c r="DH39" i="8"/>
  <c r="DH40" i="8"/>
  <c r="DI50" i="8"/>
  <c r="DI53" i="8" s="1"/>
  <c r="DI30" i="8"/>
  <c r="DI31" i="8"/>
  <c r="DI32" i="8"/>
  <c r="DI33" i="8"/>
  <c r="DI35" i="8"/>
  <c r="DI34" i="8"/>
  <c r="DI36" i="8"/>
  <c r="DI29" i="8"/>
  <c r="DJ1" i="8"/>
  <c r="DJ20" i="8" s="1"/>
  <c r="DI2" i="8"/>
  <c r="DI38" i="8" s="1"/>
  <c r="DI12" i="7"/>
  <c r="DA7" i="7"/>
  <c r="DA6" i="7" s="1"/>
  <c r="DA9" i="7" s="1"/>
  <c r="DB4" i="7" s="1"/>
  <c r="CV47" i="8" l="1"/>
  <c r="CW11" i="8"/>
  <c r="CW26" i="8" s="1"/>
  <c r="CW37" i="8" s="1"/>
  <c r="CW41" i="8" s="1"/>
  <c r="CW43" i="8" s="1"/>
  <c r="EB3" i="2"/>
  <c r="EA5" i="2"/>
  <c r="CY6" i="8" s="1"/>
  <c r="CX7" i="8"/>
  <c r="CX9" i="8"/>
  <c r="CX10" i="8"/>
  <c r="CX8" i="8"/>
  <c r="DA22" i="8"/>
  <c r="CZ24" i="8"/>
  <c r="BD59" i="8"/>
  <c r="BD67" i="8" s="1"/>
  <c r="DK41" i="6"/>
  <c r="DJ19" i="8"/>
  <c r="DI18" i="7"/>
  <c r="DK21" i="6"/>
  <c r="DM1" i="6"/>
  <c r="DL40" i="6"/>
  <c r="DL39" i="6"/>
  <c r="DL38" i="6"/>
  <c r="DL36" i="6"/>
  <c r="DL35" i="6"/>
  <c r="DL37" i="6"/>
  <c r="DL33" i="6"/>
  <c r="DL27" i="6"/>
  <c r="DL31" i="6"/>
  <c r="DL29" i="6"/>
  <c r="DL6" i="6"/>
  <c r="DL7" i="6"/>
  <c r="DL8" i="6"/>
  <c r="DL34" i="6"/>
  <c r="DL32" i="6"/>
  <c r="DL30" i="6"/>
  <c r="DL26" i="6"/>
  <c r="DL12" i="6"/>
  <c r="DL14" i="6"/>
  <c r="DL28" i="6"/>
  <c r="DL25" i="6"/>
  <c r="DL10" i="6"/>
  <c r="DL5" i="6"/>
  <c r="DL13" i="6"/>
  <c r="DL15" i="6"/>
  <c r="DL18" i="6"/>
  <c r="DL9" i="6"/>
  <c r="DL11" i="6"/>
  <c r="DL16" i="6"/>
  <c r="DL17" i="6"/>
  <c r="DL19" i="6"/>
  <c r="DL20" i="6"/>
  <c r="DL2" i="6"/>
  <c r="DJ16" i="8"/>
  <c r="DJ18" i="8"/>
  <c r="DJ45" i="6"/>
  <c r="DJ49" i="6" s="1"/>
  <c r="DF45" i="8" s="1"/>
  <c r="DJ15" i="8"/>
  <c r="DJ17" i="8"/>
  <c r="DJ21" i="8"/>
  <c r="DE14" i="8"/>
  <c r="DJ23" i="8"/>
  <c r="DI2" i="7"/>
  <c r="DH5" i="7"/>
  <c r="DH8" i="7"/>
  <c r="DI52" i="8" s="1"/>
  <c r="DJ64" i="8"/>
  <c r="DJ65" i="8" s="1"/>
  <c r="DI39" i="8"/>
  <c r="DI40" i="8"/>
  <c r="DJ50" i="8"/>
  <c r="DJ31" i="8"/>
  <c r="DJ32" i="8"/>
  <c r="DJ33" i="8"/>
  <c r="DJ35" i="8"/>
  <c r="DJ30" i="8"/>
  <c r="DJ29" i="8"/>
  <c r="DJ34" i="8"/>
  <c r="DJ36" i="8"/>
  <c r="DK1" i="8"/>
  <c r="DJ2" i="8"/>
  <c r="DJ38" i="8" s="1"/>
  <c r="DJ12" i="7"/>
  <c r="DB7" i="7"/>
  <c r="DB6" i="7" s="1"/>
  <c r="DB9" i="7" s="1"/>
  <c r="DC4" i="7" s="1"/>
  <c r="CW47" i="8" l="1"/>
  <c r="CX11" i="8"/>
  <c r="CX26" i="8" s="1"/>
  <c r="CX37" i="8" s="1"/>
  <c r="CX41" i="8" s="1"/>
  <c r="CX43" i="8" s="1"/>
  <c r="CY7" i="8"/>
  <c r="CY8" i="8"/>
  <c r="CY10" i="8"/>
  <c r="CY9" i="8"/>
  <c r="EB5" i="2"/>
  <c r="CZ6" i="8" s="1"/>
  <c r="EC3" i="2"/>
  <c r="DB22" i="8"/>
  <c r="DA24" i="8"/>
  <c r="BD70" i="8"/>
  <c r="BE69" i="8" s="1"/>
  <c r="DK15" i="8"/>
  <c r="DJ2" i="7"/>
  <c r="DI5" i="7"/>
  <c r="DI8" i="7"/>
  <c r="DJ52" i="8" s="1"/>
  <c r="DL41" i="6"/>
  <c r="DK20" i="8"/>
  <c r="DK23" i="8"/>
  <c r="DK17" i="8"/>
  <c r="DN1" i="6"/>
  <c r="DM39" i="6"/>
  <c r="DM38" i="6"/>
  <c r="DM37" i="6"/>
  <c r="DM40" i="6"/>
  <c r="DM35" i="6"/>
  <c r="DM34" i="6"/>
  <c r="DM33" i="6"/>
  <c r="DM36" i="6"/>
  <c r="DM32" i="6"/>
  <c r="DM31" i="6"/>
  <c r="DM30" i="6"/>
  <c r="DM29" i="6"/>
  <c r="DM26" i="6"/>
  <c r="DM6" i="6"/>
  <c r="DM7" i="6"/>
  <c r="DM8" i="6"/>
  <c r="DM9" i="6"/>
  <c r="DM10" i="6"/>
  <c r="DM28" i="6"/>
  <c r="DM25" i="6"/>
  <c r="DM27" i="6"/>
  <c r="DM11" i="6"/>
  <c r="DM12" i="6"/>
  <c r="DM13" i="6"/>
  <c r="DM14" i="6"/>
  <c r="DM15" i="6"/>
  <c r="DM16" i="6"/>
  <c r="DM17" i="6"/>
  <c r="DM18" i="6"/>
  <c r="DM19" i="6"/>
  <c r="DM20" i="6"/>
  <c r="DM5" i="6"/>
  <c r="DM2" i="6"/>
  <c r="DF14" i="8"/>
  <c r="DK16" i="8"/>
  <c r="DJ18" i="7"/>
  <c r="DK21" i="8"/>
  <c r="DK18" i="8"/>
  <c r="DL21" i="6"/>
  <c r="DK45" i="6"/>
  <c r="DK49" i="6" s="1"/>
  <c r="DG45" i="8" s="1"/>
  <c r="DK19" i="8"/>
  <c r="DJ53" i="8"/>
  <c r="DK64" i="8"/>
  <c r="DJ39" i="8"/>
  <c r="DJ40" i="8"/>
  <c r="DK50" i="8"/>
  <c r="DK53" i="8" s="1"/>
  <c r="DK31" i="8"/>
  <c r="DK30" i="8"/>
  <c r="DK32" i="8"/>
  <c r="DK34" i="8"/>
  <c r="DK33" i="8"/>
  <c r="DK35" i="8"/>
  <c r="DK29" i="8"/>
  <c r="DK36" i="8"/>
  <c r="DL1" i="8"/>
  <c r="DK2" i="8"/>
  <c r="DK38" i="8" s="1"/>
  <c r="DK12" i="7"/>
  <c r="DC7" i="7"/>
  <c r="DC6" i="7" s="1"/>
  <c r="DC9" i="7" s="1"/>
  <c r="DD4" i="7" s="1"/>
  <c r="CX47" i="8" l="1"/>
  <c r="CY11" i="8"/>
  <c r="CY26" i="8" s="1"/>
  <c r="CY37" i="8" s="1"/>
  <c r="CY41" i="8" s="1"/>
  <c r="CY43" i="8" s="1"/>
  <c r="DC22" i="8"/>
  <c r="DB24" i="8"/>
  <c r="ED3" i="2"/>
  <c r="EC5" i="2"/>
  <c r="DA6" i="8" s="1"/>
  <c r="CZ7" i="8"/>
  <c r="CZ10" i="8"/>
  <c r="CZ9" i="8"/>
  <c r="CZ8" i="8"/>
  <c r="BE59" i="8"/>
  <c r="BE67" i="8" s="1"/>
  <c r="DL18" i="8"/>
  <c r="DL15" i="8"/>
  <c r="DK18" i="7"/>
  <c r="DL16" i="8"/>
  <c r="DM21" i="6"/>
  <c r="DM41" i="6"/>
  <c r="DO1" i="6"/>
  <c r="DN36" i="6"/>
  <c r="DN40" i="6"/>
  <c r="DN35" i="6"/>
  <c r="DN39" i="6"/>
  <c r="DN37" i="6"/>
  <c r="DN33" i="6"/>
  <c r="DN32" i="6"/>
  <c r="DN31" i="6"/>
  <c r="DN30" i="6"/>
  <c r="DN29" i="6"/>
  <c r="DN34" i="6"/>
  <c r="DN28" i="6"/>
  <c r="DN26" i="6"/>
  <c r="DN38" i="6"/>
  <c r="DN25" i="6"/>
  <c r="DN27" i="6"/>
  <c r="DN6" i="6"/>
  <c r="DN7" i="6"/>
  <c r="DN8" i="6"/>
  <c r="DN9" i="6"/>
  <c r="DN10" i="6"/>
  <c r="DN11" i="6"/>
  <c r="DN12" i="6"/>
  <c r="DN13" i="6"/>
  <c r="DN14" i="6"/>
  <c r="DN15" i="6"/>
  <c r="DN16" i="6"/>
  <c r="DN17" i="6"/>
  <c r="DN18" i="6"/>
  <c r="DN19" i="6"/>
  <c r="DN20" i="6"/>
  <c r="DN5" i="6"/>
  <c r="DN2" i="6"/>
  <c r="DL20" i="8"/>
  <c r="DK2" i="7"/>
  <c r="DJ5" i="7"/>
  <c r="DJ8" i="7"/>
  <c r="DK52" i="8" s="1"/>
  <c r="DL19" i="8"/>
  <c r="DG14" i="8"/>
  <c r="DL23" i="8"/>
  <c r="DL45" i="6"/>
  <c r="DL49" i="6" s="1"/>
  <c r="DH45" i="8" s="1"/>
  <c r="DL21" i="8"/>
  <c r="DL17" i="8"/>
  <c r="DK65" i="8"/>
  <c r="DL64" i="8"/>
  <c r="DL65" i="8" s="1"/>
  <c r="DK39" i="8"/>
  <c r="DK40" i="8"/>
  <c r="DL50" i="8"/>
  <c r="DL31" i="8"/>
  <c r="DL30" i="8"/>
  <c r="DL34" i="8"/>
  <c r="DL32" i="8"/>
  <c r="DL35" i="8"/>
  <c r="DL29" i="8"/>
  <c r="DL33" i="8"/>
  <c r="DL36" i="8"/>
  <c r="DM1" i="8"/>
  <c r="DL2" i="8"/>
  <c r="DL38" i="8" s="1"/>
  <c r="DL12" i="7"/>
  <c r="DD7" i="7"/>
  <c r="DD6" i="7" s="1"/>
  <c r="DD9" i="7" s="1"/>
  <c r="DE4" i="7" s="1"/>
  <c r="CY47" i="8" l="1"/>
  <c r="CZ11" i="8"/>
  <c r="CZ26" i="8" s="1"/>
  <c r="CZ37" i="8" s="1"/>
  <c r="CZ41" i="8" s="1"/>
  <c r="CZ43" i="8" s="1"/>
  <c r="DA9" i="8"/>
  <c r="DA8" i="8"/>
  <c r="DA7" i="8"/>
  <c r="DA10" i="8"/>
  <c r="EE3" i="2"/>
  <c r="ED5" i="2"/>
  <c r="DB6" i="8" s="1"/>
  <c r="DD22" i="8"/>
  <c r="DC24" i="8"/>
  <c r="BE70" i="8"/>
  <c r="BF69" i="8" s="1"/>
  <c r="DN41" i="6"/>
  <c r="DM19" i="8"/>
  <c r="DM15" i="8"/>
  <c r="DM23" i="8"/>
  <c r="DM20" i="8"/>
  <c r="DM45" i="6"/>
  <c r="DM49" i="6" s="1"/>
  <c r="DI45" i="8" s="1"/>
  <c r="DM18" i="8"/>
  <c r="DL2" i="7"/>
  <c r="DK5" i="7"/>
  <c r="DK8" i="7"/>
  <c r="DL52" i="8" s="1"/>
  <c r="DM38" i="8"/>
  <c r="DL18" i="7"/>
  <c r="DM16" i="8"/>
  <c r="DM21" i="8"/>
  <c r="DM17" i="8"/>
  <c r="DH14" i="8"/>
  <c r="DN21" i="6"/>
  <c r="DP1" i="6"/>
  <c r="DO37" i="6"/>
  <c r="DO36" i="6"/>
  <c r="DO35" i="6"/>
  <c r="DO39" i="6"/>
  <c r="DO34" i="6"/>
  <c r="DO28" i="6"/>
  <c r="DO38" i="6"/>
  <c r="DO26" i="6"/>
  <c r="DO25" i="6"/>
  <c r="DO40" i="6"/>
  <c r="DO33" i="6"/>
  <c r="DO32" i="6"/>
  <c r="DO30" i="6"/>
  <c r="DO27" i="6"/>
  <c r="DO29" i="6"/>
  <c r="DO7" i="6"/>
  <c r="DO9" i="6"/>
  <c r="DO5" i="6"/>
  <c r="DO31" i="6"/>
  <c r="DO6" i="6"/>
  <c r="DO8" i="6"/>
  <c r="DO10" i="6"/>
  <c r="DO11" i="6"/>
  <c r="DO12" i="6"/>
  <c r="DO13" i="6"/>
  <c r="DO14" i="6"/>
  <c r="DO15" i="6"/>
  <c r="DO16" i="6"/>
  <c r="DO17" i="6"/>
  <c r="DO18" i="6"/>
  <c r="DO19" i="6"/>
  <c r="DO20" i="6"/>
  <c r="DO2" i="6"/>
  <c r="DL53" i="8"/>
  <c r="DM64" i="8"/>
  <c r="DL40" i="8"/>
  <c r="DL39" i="8"/>
  <c r="DM50" i="8"/>
  <c r="DM53" i="8" s="1"/>
  <c r="DM31" i="8"/>
  <c r="DM34" i="8"/>
  <c r="DM32" i="8"/>
  <c r="DM36" i="8"/>
  <c r="DM30" i="8"/>
  <c r="DM35" i="8"/>
  <c r="DM29" i="8"/>
  <c r="DM33" i="8"/>
  <c r="DM2" i="8"/>
  <c r="DN1" i="8"/>
  <c r="DM12" i="7"/>
  <c r="DE7" i="7"/>
  <c r="DE6" i="7" s="1"/>
  <c r="DE9" i="7" s="1"/>
  <c r="DF4" i="7" s="1"/>
  <c r="CZ47" i="8" l="1"/>
  <c r="DA11" i="8"/>
  <c r="DA26" i="8" s="1"/>
  <c r="DA37" i="8" s="1"/>
  <c r="DA41" i="8" s="1"/>
  <c r="DA43" i="8" s="1"/>
  <c r="DE22" i="8"/>
  <c r="DD24" i="8"/>
  <c r="DB7" i="8"/>
  <c r="DB10" i="8"/>
  <c r="DB8" i="8"/>
  <c r="DB9" i="8"/>
  <c r="EE5" i="2"/>
  <c r="DC6" i="8" s="1"/>
  <c r="EF3" i="2"/>
  <c r="BF59" i="8"/>
  <c r="BF67" i="8" s="1"/>
  <c r="DN45" i="6"/>
  <c r="DN49" i="6" s="1"/>
  <c r="DJ45" i="8" s="1"/>
  <c r="DN15" i="8"/>
  <c r="DO21" i="6"/>
  <c r="DM2" i="7"/>
  <c r="DL5" i="7"/>
  <c r="DL8" i="7"/>
  <c r="DM52" i="8" s="1"/>
  <c r="DN19" i="8"/>
  <c r="DN18" i="8"/>
  <c r="DN20" i="8"/>
  <c r="DO41" i="6"/>
  <c r="DI14" i="8"/>
  <c r="DN21" i="8"/>
  <c r="DM18" i="7"/>
  <c r="DQ1" i="6"/>
  <c r="DP40" i="6"/>
  <c r="DP38" i="6"/>
  <c r="DP37" i="6"/>
  <c r="DP36" i="6"/>
  <c r="DP35" i="6"/>
  <c r="DP34" i="6"/>
  <c r="DP39" i="6"/>
  <c r="DP27" i="6"/>
  <c r="DP33" i="6"/>
  <c r="DP32" i="6"/>
  <c r="DP30" i="6"/>
  <c r="DP6" i="6"/>
  <c r="DP7" i="6"/>
  <c r="DP8" i="6"/>
  <c r="DP28" i="6"/>
  <c r="DP31" i="6"/>
  <c r="DP29" i="6"/>
  <c r="DP26" i="6"/>
  <c r="DP25" i="6"/>
  <c r="DP10" i="6"/>
  <c r="DP11" i="6"/>
  <c r="DP13" i="6"/>
  <c r="DP16" i="6"/>
  <c r="DP9" i="6"/>
  <c r="DP5" i="6"/>
  <c r="DP14" i="6"/>
  <c r="DP17" i="6"/>
  <c r="DP19" i="6"/>
  <c r="DP12" i="6"/>
  <c r="DP15" i="6"/>
  <c r="DP18" i="6"/>
  <c r="DP20" i="6"/>
  <c r="DP2" i="6"/>
  <c r="DN17" i="8"/>
  <c r="DN16" i="8"/>
  <c r="DN23" i="8"/>
  <c r="DM65" i="8"/>
  <c r="DN64" i="8"/>
  <c r="DN65" i="8" s="1"/>
  <c r="DN50" i="8"/>
  <c r="DN30" i="8"/>
  <c r="DN31" i="8"/>
  <c r="DN34" i="8"/>
  <c r="DN33" i="8"/>
  <c r="DN32" i="8"/>
  <c r="DN36" i="8"/>
  <c r="DN35" i="8"/>
  <c r="DN29" i="8"/>
  <c r="DM40" i="8"/>
  <c r="DM39" i="8"/>
  <c r="DN2" i="8"/>
  <c r="DN38" i="8" s="1"/>
  <c r="DO1" i="8"/>
  <c r="DN12" i="7"/>
  <c r="DF7" i="7"/>
  <c r="DF6" i="7" s="1"/>
  <c r="DF9" i="7" s="1"/>
  <c r="DG4" i="7" s="1"/>
  <c r="DA47" i="8" l="1"/>
  <c r="DB11" i="8"/>
  <c r="DB26" i="8" s="1"/>
  <c r="DB37" i="8" s="1"/>
  <c r="DB41" i="8" s="1"/>
  <c r="DB43" i="8" s="1"/>
  <c r="DC7" i="8"/>
  <c r="DC9" i="8"/>
  <c r="DC10" i="8"/>
  <c r="DC8" i="8"/>
  <c r="EF5" i="2"/>
  <c r="DD6" i="8" s="1"/>
  <c r="EG3" i="2"/>
  <c r="DF22" i="8"/>
  <c r="DE24" i="8"/>
  <c r="BF70" i="8"/>
  <c r="BG69" i="8" s="1"/>
  <c r="DR1" i="6"/>
  <c r="DQ39" i="6"/>
  <c r="DQ38" i="6"/>
  <c r="DQ37" i="6"/>
  <c r="DQ40" i="6"/>
  <c r="DQ36" i="6"/>
  <c r="DQ34" i="6"/>
  <c r="DQ33" i="6"/>
  <c r="DQ32" i="6"/>
  <c r="DQ31" i="6"/>
  <c r="DQ30" i="6"/>
  <c r="DQ29" i="6"/>
  <c r="DQ35" i="6"/>
  <c r="DQ28" i="6"/>
  <c r="DQ27" i="6"/>
  <c r="DQ6" i="6"/>
  <c r="DQ7" i="6"/>
  <c r="DQ8" i="6"/>
  <c r="DQ9" i="6"/>
  <c r="DQ10" i="6"/>
  <c r="DQ26" i="6"/>
  <c r="DQ25" i="6"/>
  <c r="DQ11" i="6"/>
  <c r="DQ12" i="6"/>
  <c r="DQ13" i="6"/>
  <c r="DQ14" i="6"/>
  <c r="DQ15" i="6"/>
  <c r="DQ16" i="6"/>
  <c r="DQ17" i="6"/>
  <c r="DQ18" i="6"/>
  <c r="DQ19" i="6"/>
  <c r="DQ20" i="6"/>
  <c r="DQ5" i="6"/>
  <c r="DQ2" i="6"/>
  <c r="DO16" i="8"/>
  <c r="DP41" i="6"/>
  <c r="DJ14" i="8"/>
  <c r="DO18" i="8"/>
  <c r="DN2" i="7"/>
  <c r="DM5" i="7"/>
  <c r="DM8" i="7"/>
  <c r="DN52" i="8" s="1"/>
  <c r="DO15" i="8"/>
  <c r="DO17" i="8"/>
  <c r="DO19" i="8"/>
  <c r="DO20" i="8"/>
  <c r="DO45" i="6"/>
  <c r="DO49" i="6" s="1"/>
  <c r="DK45" i="8" s="1"/>
  <c r="DN18" i="7"/>
  <c r="DO23" i="8"/>
  <c r="DP21" i="6"/>
  <c r="DO21" i="8"/>
  <c r="DN53" i="8"/>
  <c r="DO64" i="8"/>
  <c r="DN39" i="8"/>
  <c r="DN40" i="8"/>
  <c r="DO50" i="8"/>
  <c r="DO53" i="8" s="1"/>
  <c r="DO30" i="8"/>
  <c r="DO32" i="8"/>
  <c r="DO31" i="8"/>
  <c r="DO33" i="8"/>
  <c r="DO35" i="8"/>
  <c r="DO34" i="8"/>
  <c r="DO36" i="8"/>
  <c r="DO29" i="8"/>
  <c r="DO2" i="8"/>
  <c r="DO38" i="8" s="1"/>
  <c r="DP1" i="8"/>
  <c r="DO12" i="7"/>
  <c r="DO18" i="7" s="1"/>
  <c r="DG7" i="7"/>
  <c r="DG6" i="7" s="1"/>
  <c r="DG9" i="7" s="1"/>
  <c r="DH4" i="7" s="1"/>
  <c r="DB47" i="8" l="1"/>
  <c r="DC11" i="8"/>
  <c r="DC26" i="8" s="1"/>
  <c r="DC37" i="8" s="1"/>
  <c r="DC41" i="8" s="1"/>
  <c r="DC43" i="8" s="1"/>
  <c r="DG22" i="8"/>
  <c r="DF24" i="8"/>
  <c r="EG5" i="2"/>
  <c r="DE6" i="8" s="1"/>
  <c r="EH3" i="2"/>
  <c r="DD8" i="8"/>
  <c r="DD10" i="8"/>
  <c r="DD7" i="8"/>
  <c r="DD9" i="8"/>
  <c r="BG59" i="8"/>
  <c r="BG67" i="8" s="1"/>
  <c r="DQ41" i="6"/>
  <c r="DP23" i="8"/>
  <c r="DP19" i="8"/>
  <c r="DK14" i="8"/>
  <c r="DQ21" i="6"/>
  <c r="DS1" i="6"/>
  <c r="DR36" i="6"/>
  <c r="DR40" i="6"/>
  <c r="DR39" i="6"/>
  <c r="DR37" i="6"/>
  <c r="DR38" i="6"/>
  <c r="DR35" i="6"/>
  <c r="DR32" i="6"/>
  <c r="DR31" i="6"/>
  <c r="DR30" i="6"/>
  <c r="DR29" i="6"/>
  <c r="DR33" i="6"/>
  <c r="DR28" i="6"/>
  <c r="DR26" i="6"/>
  <c r="DR34" i="6"/>
  <c r="DR25" i="6"/>
  <c r="DR6" i="6"/>
  <c r="DR7" i="6"/>
  <c r="DR8" i="6"/>
  <c r="DR9" i="6"/>
  <c r="DR10" i="6"/>
  <c r="DR11" i="6"/>
  <c r="DR12" i="6"/>
  <c r="DR13" i="6"/>
  <c r="DR14" i="6"/>
  <c r="DR15" i="6"/>
  <c r="DR16" i="6"/>
  <c r="DR17" i="6"/>
  <c r="DR18" i="6"/>
  <c r="DR19" i="6"/>
  <c r="DR20" i="6"/>
  <c r="DR5" i="6"/>
  <c r="DR27" i="6"/>
  <c r="DR2" i="6"/>
  <c r="DP45" i="6"/>
  <c r="DP49" i="6" s="1"/>
  <c r="DL45" i="8" s="1"/>
  <c r="DP17" i="8"/>
  <c r="DO2" i="7"/>
  <c r="DN5" i="7"/>
  <c r="DN8" i="7"/>
  <c r="DO52" i="8" s="1"/>
  <c r="DP38" i="8"/>
  <c r="DP21" i="8"/>
  <c r="DP20" i="8"/>
  <c r="DP15" i="8"/>
  <c r="DP18" i="8"/>
  <c r="DP16" i="8"/>
  <c r="DO65" i="8"/>
  <c r="DP64" i="8"/>
  <c r="DP65" i="8" s="1"/>
  <c r="DP50" i="8"/>
  <c r="DP30" i="8"/>
  <c r="DP32" i="8"/>
  <c r="DP31" i="8"/>
  <c r="DP33" i="8"/>
  <c r="DP35" i="8"/>
  <c r="DP34" i="8"/>
  <c r="DP36" i="8"/>
  <c r="DP29" i="8"/>
  <c r="DO40" i="8"/>
  <c r="DO39" i="8"/>
  <c r="DQ1" i="8"/>
  <c r="DP2" i="8"/>
  <c r="DP12" i="7"/>
  <c r="DH7" i="7"/>
  <c r="DH6" i="7" s="1"/>
  <c r="DH9" i="7" s="1"/>
  <c r="DI4" i="7" s="1"/>
  <c r="DC47" i="8" l="1"/>
  <c r="DD11" i="8"/>
  <c r="DD26" i="8" s="1"/>
  <c r="DD37" i="8" s="1"/>
  <c r="DD41" i="8" s="1"/>
  <c r="DD43" i="8" s="1"/>
  <c r="DH22" i="8"/>
  <c r="DG24" i="8"/>
  <c r="EI3" i="2"/>
  <c r="EH5" i="2"/>
  <c r="DF6" i="8" s="1"/>
  <c r="DE7" i="8"/>
  <c r="DE8" i="8"/>
  <c r="DE10" i="8"/>
  <c r="DE9" i="8"/>
  <c r="BG70" i="8"/>
  <c r="BH69" i="8" s="1"/>
  <c r="DR21" i="6"/>
  <c r="DR41" i="6"/>
  <c r="DR45" i="6" s="1"/>
  <c r="DR49" i="6" s="1"/>
  <c r="DN45" i="8" s="1"/>
  <c r="DP2" i="7"/>
  <c r="DO5" i="7"/>
  <c r="DO8" i="7"/>
  <c r="DP52" i="8" s="1"/>
  <c r="DQ15" i="8"/>
  <c r="DQ17" i="8"/>
  <c r="DQ45" i="6"/>
  <c r="DQ49" i="6" s="1"/>
  <c r="DM45" i="8" s="1"/>
  <c r="DP18" i="7"/>
  <c r="DQ20" i="8"/>
  <c r="DL14" i="8"/>
  <c r="DQ18" i="8"/>
  <c r="DQ23" i="8"/>
  <c r="DQ16" i="8"/>
  <c r="DQ21" i="8"/>
  <c r="DT1" i="6"/>
  <c r="DS40" i="6"/>
  <c r="DS35" i="6"/>
  <c r="DS38" i="6"/>
  <c r="DS39" i="6"/>
  <c r="DS37" i="6"/>
  <c r="DS33" i="6"/>
  <c r="DS28" i="6"/>
  <c r="DS34" i="6"/>
  <c r="DS25" i="6"/>
  <c r="DS36" i="6"/>
  <c r="DS31" i="6"/>
  <c r="DS29" i="6"/>
  <c r="DS26" i="6"/>
  <c r="DS27" i="6"/>
  <c r="DS10" i="6"/>
  <c r="DS5" i="6"/>
  <c r="DS7" i="6"/>
  <c r="DS30" i="6"/>
  <c r="DS9" i="6"/>
  <c r="DS11" i="6"/>
  <c r="DS12" i="6"/>
  <c r="DS13" i="6"/>
  <c r="DS14" i="6"/>
  <c r="DS15" i="6"/>
  <c r="DS16" i="6"/>
  <c r="DS17" i="6"/>
  <c r="DS18" i="6"/>
  <c r="DS19" i="6"/>
  <c r="DS20" i="6"/>
  <c r="DS32" i="6"/>
  <c r="DS6" i="6"/>
  <c r="DS8" i="6"/>
  <c r="DS2" i="6"/>
  <c r="DQ19" i="8"/>
  <c r="DP53" i="8"/>
  <c r="DQ64" i="8"/>
  <c r="DQ65" i="8" s="1"/>
  <c r="DP39" i="8"/>
  <c r="DP40" i="8"/>
  <c r="DQ50" i="8"/>
  <c r="DQ53" i="8" s="1"/>
  <c r="DQ30" i="8"/>
  <c r="DQ31" i="8"/>
  <c r="DQ33" i="8"/>
  <c r="DQ35" i="8"/>
  <c r="DQ32" i="8"/>
  <c r="DQ34" i="8"/>
  <c r="DQ36" i="8"/>
  <c r="DQ29" i="8"/>
  <c r="DR1" i="8"/>
  <c r="DQ2" i="8"/>
  <c r="DQ38" i="8" s="1"/>
  <c r="DQ12" i="7"/>
  <c r="DI7" i="7"/>
  <c r="DI6" i="7" s="1"/>
  <c r="DI9" i="7" s="1"/>
  <c r="DJ4" i="7" s="1"/>
  <c r="DD47" i="8" l="1"/>
  <c r="DE11" i="8"/>
  <c r="DE26" i="8" s="1"/>
  <c r="DE37" i="8" s="1"/>
  <c r="DE41" i="8" s="1"/>
  <c r="DE43" i="8" s="1"/>
  <c r="DF9" i="8"/>
  <c r="DF7" i="8"/>
  <c r="DF10" i="8"/>
  <c r="DF8" i="8"/>
  <c r="EJ3" i="2"/>
  <c r="EI5" i="2"/>
  <c r="DG6" i="8" s="1"/>
  <c r="DI22" i="8"/>
  <c r="DH24" i="8"/>
  <c r="BH59" i="8"/>
  <c r="BH67" i="8" s="1"/>
  <c r="DR23" i="8"/>
  <c r="DQ18" i="7"/>
  <c r="DR19" i="8"/>
  <c r="DR18" i="8"/>
  <c r="DR17" i="8"/>
  <c r="DM14" i="8"/>
  <c r="DS41" i="6"/>
  <c r="DR21" i="8"/>
  <c r="DR20" i="8"/>
  <c r="DQ2" i="7"/>
  <c r="DP5" i="7"/>
  <c r="DP8" i="7"/>
  <c r="DQ52" i="8" s="1"/>
  <c r="DS21" i="6"/>
  <c r="DU1" i="6"/>
  <c r="DT40" i="6"/>
  <c r="DT37" i="6"/>
  <c r="DT36" i="6"/>
  <c r="DT35" i="6"/>
  <c r="DT39" i="6"/>
  <c r="DT38" i="6"/>
  <c r="DT34" i="6"/>
  <c r="DT27" i="6"/>
  <c r="DT31" i="6"/>
  <c r="DT29" i="6"/>
  <c r="DT26" i="6"/>
  <c r="DT6" i="6"/>
  <c r="DT7" i="6"/>
  <c r="DT8" i="6"/>
  <c r="DT32" i="6"/>
  <c r="DT30" i="6"/>
  <c r="DT28" i="6"/>
  <c r="DT20" i="6"/>
  <c r="DT10" i="6"/>
  <c r="DT5" i="6"/>
  <c r="DT9" i="6"/>
  <c r="DT11" i="6"/>
  <c r="DT12" i="6"/>
  <c r="DT15" i="6"/>
  <c r="DT16" i="6"/>
  <c r="DT33" i="6"/>
  <c r="DT25" i="6"/>
  <c r="DT13" i="6"/>
  <c r="DT14" i="6"/>
  <c r="DT17" i="6"/>
  <c r="DT18" i="6"/>
  <c r="DT19" i="6"/>
  <c r="DT2" i="6"/>
  <c r="DR16" i="8"/>
  <c r="DR15" i="8"/>
  <c r="DR64" i="8"/>
  <c r="DR65" i="8" s="1"/>
  <c r="DR50" i="8"/>
  <c r="DR53" i="8" s="1"/>
  <c r="DR31" i="8"/>
  <c r="DR30" i="8"/>
  <c r="DR32" i="8"/>
  <c r="DR33" i="8"/>
  <c r="DR35" i="8"/>
  <c r="DR29" i="8"/>
  <c r="DR34" i="8"/>
  <c r="DR36" i="8"/>
  <c r="DQ39" i="8"/>
  <c r="DQ40" i="8"/>
  <c r="DS1" i="8"/>
  <c r="DR2" i="8"/>
  <c r="DR38" i="8" s="1"/>
  <c r="DR12" i="7"/>
  <c r="DJ7" i="7"/>
  <c r="DJ6" i="7" s="1"/>
  <c r="DJ9" i="7" s="1"/>
  <c r="DK4" i="7" s="1"/>
  <c r="DE47" i="8" l="1"/>
  <c r="DF11" i="8"/>
  <c r="DF26" i="8" s="1"/>
  <c r="DF37" i="8" s="1"/>
  <c r="DF41" i="8" s="1"/>
  <c r="DF43" i="8" s="1"/>
  <c r="DJ22" i="8"/>
  <c r="DI24" i="8"/>
  <c r="DG8" i="8"/>
  <c r="DG10" i="8"/>
  <c r="DG7" i="8"/>
  <c r="DG9" i="8"/>
  <c r="EK3" i="2"/>
  <c r="EJ5" i="2"/>
  <c r="DH6" i="8" s="1"/>
  <c r="BH70" i="8"/>
  <c r="BI69" i="8" s="1"/>
  <c r="DS20" i="8"/>
  <c r="DN14" i="8"/>
  <c r="DS16" i="8"/>
  <c r="DS18" i="8"/>
  <c r="DT21" i="6"/>
  <c r="DV1" i="6"/>
  <c r="DU39" i="6"/>
  <c r="DU38" i="6"/>
  <c r="DU37" i="6"/>
  <c r="DU40" i="6"/>
  <c r="DU34" i="6"/>
  <c r="DU33" i="6"/>
  <c r="DU36" i="6"/>
  <c r="DU35" i="6"/>
  <c r="DU32" i="6"/>
  <c r="DU31" i="6"/>
  <c r="DU30" i="6"/>
  <c r="DU29" i="6"/>
  <c r="DU27" i="6"/>
  <c r="DU6" i="6"/>
  <c r="DU7" i="6"/>
  <c r="DU8" i="6"/>
  <c r="DU9" i="6"/>
  <c r="DU10" i="6"/>
  <c r="DU28" i="6"/>
  <c r="DU25" i="6"/>
  <c r="DU11" i="6"/>
  <c r="DU12" i="6"/>
  <c r="DU13" i="6"/>
  <c r="DU14" i="6"/>
  <c r="DU15" i="6"/>
  <c r="DU16" i="6"/>
  <c r="DU17" i="6"/>
  <c r="DU18" i="6"/>
  <c r="DU19" i="6"/>
  <c r="DU20" i="6"/>
  <c r="DU5" i="6"/>
  <c r="DU26" i="6"/>
  <c r="DU2" i="6"/>
  <c r="DS21" i="8"/>
  <c r="DS23" i="8"/>
  <c r="DS15" i="8"/>
  <c r="DT41" i="6"/>
  <c r="DS45" i="6"/>
  <c r="DS49" i="6" s="1"/>
  <c r="DO45" i="8" s="1"/>
  <c r="DR2" i="7"/>
  <c r="DQ5" i="7"/>
  <c r="DQ8" i="7"/>
  <c r="DR52" i="8" s="1"/>
  <c r="DS17" i="8"/>
  <c r="DS19" i="8"/>
  <c r="DS50" i="8"/>
  <c r="DS53" i="8" s="1"/>
  <c r="DS31" i="8"/>
  <c r="DS30" i="8"/>
  <c r="DS32" i="8"/>
  <c r="DS34" i="8"/>
  <c r="DS33" i="8"/>
  <c r="DS35" i="8"/>
  <c r="DS29" i="8"/>
  <c r="DS36" i="8"/>
  <c r="DR40" i="8"/>
  <c r="DR39" i="8"/>
  <c r="DS2" i="8"/>
  <c r="DS38" i="8" s="1"/>
  <c r="DT1" i="8"/>
  <c r="DS12" i="7"/>
  <c r="DK7" i="7"/>
  <c r="DK6" i="7" s="1"/>
  <c r="DK9" i="7" s="1"/>
  <c r="DL4" i="7" s="1"/>
  <c r="DF47" i="8" l="1"/>
  <c r="DG11" i="8"/>
  <c r="DG26" i="8" s="1"/>
  <c r="DG37" i="8" s="1"/>
  <c r="DG41" i="8" s="1"/>
  <c r="DG43" i="8" s="1"/>
  <c r="DH8" i="8"/>
  <c r="DH7" i="8"/>
  <c r="DH9" i="8"/>
  <c r="DH10" i="8"/>
  <c r="DK22" i="8"/>
  <c r="DJ24" i="8"/>
  <c r="EK5" i="2"/>
  <c r="DI6" i="8" s="1"/>
  <c r="EL3" i="2"/>
  <c r="BI59" i="8"/>
  <c r="BI67" i="8" s="1"/>
  <c r="DT18" i="8"/>
  <c r="DT20" i="8"/>
  <c r="DT23" i="8"/>
  <c r="DO14" i="8"/>
  <c r="DT19" i="8"/>
  <c r="DS2" i="7"/>
  <c r="DR5" i="7"/>
  <c r="DR8" i="7"/>
  <c r="DT15" i="8"/>
  <c r="DU21" i="6"/>
  <c r="DT45" i="6"/>
  <c r="DT49" i="6" s="1"/>
  <c r="DP45" i="8" s="1"/>
  <c r="DS18" i="7"/>
  <c r="DS14" i="7"/>
  <c r="DS17" i="7" s="1"/>
  <c r="DS15" i="7"/>
  <c r="DU41" i="6"/>
  <c r="DW1" i="6"/>
  <c r="DV36" i="6"/>
  <c r="DV40" i="6"/>
  <c r="DV38" i="6"/>
  <c r="DV39" i="6"/>
  <c r="DV34" i="6"/>
  <c r="DV35" i="6"/>
  <c r="DV32" i="6"/>
  <c r="DV31" i="6"/>
  <c r="DV30" i="6"/>
  <c r="DV29" i="6"/>
  <c r="DV28" i="6"/>
  <c r="DV26" i="6"/>
  <c r="DV27" i="6"/>
  <c r="DV25" i="6"/>
  <c r="DV37" i="6"/>
  <c r="DV33" i="6"/>
  <c r="DV6" i="6"/>
  <c r="DV7" i="6"/>
  <c r="DV8" i="6"/>
  <c r="DV9" i="6"/>
  <c r="DV10" i="6"/>
  <c r="DV11" i="6"/>
  <c r="DV12" i="6"/>
  <c r="DV13" i="6"/>
  <c r="DV14" i="6"/>
  <c r="DV15" i="6"/>
  <c r="DV16" i="6"/>
  <c r="DV17" i="6"/>
  <c r="DV18" i="6"/>
  <c r="DV19" i="6"/>
  <c r="DV20" i="6"/>
  <c r="DV5" i="6"/>
  <c r="DV2" i="6"/>
  <c r="DT16" i="8"/>
  <c r="DT64" i="8"/>
  <c r="DT65" i="8" s="1"/>
  <c r="DT17" i="8"/>
  <c r="DT21" i="8"/>
  <c r="DT47" i="8"/>
  <c r="DT50" i="8"/>
  <c r="DT53" i="8" s="1"/>
  <c r="DT31" i="8"/>
  <c r="DT30" i="8"/>
  <c r="DT32" i="8"/>
  <c r="DT34" i="8"/>
  <c r="DT33" i="8"/>
  <c r="DT29" i="8"/>
  <c r="DT35" i="8"/>
  <c r="DT36" i="8"/>
  <c r="DS40" i="8"/>
  <c r="DS39" i="8"/>
  <c r="DT2" i="8"/>
  <c r="DT38" i="8" s="1"/>
  <c r="DU1" i="8"/>
  <c r="DT12" i="7"/>
  <c r="DL7" i="7"/>
  <c r="DL6" i="7" s="1"/>
  <c r="DL9" i="7" s="1"/>
  <c r="DM4" i="7" s="1"/>
  <c r="DG47" i="8" l="1"/>
  <c r="DH11" i="8"/>
  <c r="DH26" i="8" s="1"/>
  <c r="DH37" i="8" s="1"/>
  <c r="DH41" i="8" s="1"/>
  <c r="DH43" i="8" s="1"/>
  <c r="DI10" i="8"/>
  <c r="DI9" i="8"/>
  <c r="DI8" i="8"/>
  <c r="DI7" i="8"/>
  <c r="DL22" i="8"/>
  <c r="DK24" i="8"/>
  <c r="EM3" i="2"/>
  <c r="EL5" i="2"/>
  <c r="DJ6" i="8" s="1"/>
  <c r="BI70" i="8"/>
  <c r="BJ69" i="8" s="1"/>
  <c r="DV21" i="6"/>
  <c r="DU20" i="8"/>
  <c r="DT18" i="7"/>
  <c r="DT14" i="7"/>
  <c r="DT17" i="7" s="1"/>
  <c r="DT15" i="7"/>
  <c r="DU21" i="8"/>
  <c r="DU18" i="8"/>
  <c r="DV18" i="8" s="1"/>
  <c r="DX1" i="6"/>
  <c r="DW40" i="6"/>
  <c r="DW39" i="6"/>
  <c r="DW35" i="6"/>
  <c r="DW37" i="6"/>
  <c r="DW36" i="6"/>
  <c r="DW38" i="6"/>
  <c r="DW28" i="6"/>
  <c r="DW33" i="6"/>
  <c r="DW25" i="6"/>
  <c r="DW32" i="6"/>
  <c r="DW30" i="6"/>
  <c r="DW26" i="6"/>
  <c r="DW31" i="6"/>
  <c r="DW6" i="6"/>
  <c r="DW8" i="6"/>
  <c r="DW9" i="6"/>
  <c r="DW5" i="6"/>
  <c r="DW34" i="6"/>
  <c r="DW27" i="6"/>
  <c r="DW7" i="6"/>
  <c r="DW10" i="6"/>
  <c r="DW11" i="6"/>
  <c r="DW12" i="6"/>
  <c r="DW13" i="6"/>
  <c r="DW14" i="6"/>
  <c r="DW15" i="6"/>
  <c r="DW16" i="6"/>
  <c r="DW17" i="6"/>
  <c r="DW18" i="6"/>
  <c r="DW19" i="6"/>
  <c r="DW20" i="6"/>
  <c r="DW29" i="6"/>
  <c r="DW2" i="6"/>
  <c r="DU45" i="6"/>
  <c r="DU49" i="6" s="1"/>
  <c r="DQ45" i="8" s="1"/>
  <c r="DU16" i="8"/>
  <c r="DV41" i="6"/>
  <c r="DS16" i="7"/>
  <c r="DS19" i="7" s="1"/>
  <c r="DT2" i="7"/>
  <c r="DS5" i="7"/>
  <c r="DT51" i="8" s="1"/>
  <c r="DT55" i="8" s="1"/>
  <c r="DT59" i="8" s="1"/>
  <c r="DS8" i="7"/>
  <c r="DT52" i="8" s="1"/>
  <c r="DP14" i="8"/>
  <c r="DU64" i="8"/>
  <c r="DU65" i="8" s="1"/>
  <c r="DU17" i="8"/>
  <c r="DU15" i="8"/>
  <c r="DU19" i="8"/>
  <c r="DV19" i="8" s="1"/>
  <c r="DU23" i="8"/>
  <c r="DT40" i="8"/>
  <c r="DT39" i="8"/>
  <c r="DU47" i="8"/>
  <c r="DU50" i="8"/>
  <c r="DU53" i="8" s="1"/>
  <c r="DU30" i="8"/>
  <c r="DU32" i="8"/>
  <c r="DU34" i="8"/>
  <c r="DU31" i="8"/>
  <c r="DU36" i="8"/>
  <c r="DU33" i="8"/>
  <c r="DU29" i="8"/>
  <c r="DU35" i="8"/>
  <c r="DU2" i="8"/>
  <c r="DU38" i="8" s="1"/>
  <c r="DV1" i="8"/>
  <c r="DU12" i="7"/>
  <c r="DM7" i="7"/>
  <c r="DM6" i="7" s="1"/>
  <c r="DM9" i="7" s="1"/>
  <c r="DN4" i="7" s="1"/>
  <c r="DH47" i="8" l="1"/>
  <c r="DI11" i="8"/>
  <c r="DI26" i="8" s="1"/>
  <c r="DI37" i="8" s="1"/>
  <c r="DI41" i="8" s="1"/>
  <c r="DI43" i="8" s="1"/>
  <c r="EN3" i="2"/>
  <c r="EM5" i="2"/>
  <c r="DK6" i="8" s="1"/>
  <c r="DM22" i="8"/>
  <c r="DL24" i="8"/>
  <c r="DJ10" i="8"/>
  <c r="DJ8" i="8"/>
  <c r="DJ9" i="8"/>
  <c r="DJ7" i="8"/>
  <c r="BJ59" i="8"/>
  <c r="BJ67" i="8" s="1"/>
  <c r="DW21" i="6"/>
  <c r="DT67" i="8"/>
  <c r="DT16" i="7"/>
  <c r="DT19" i="7" s="1"/>
  <c r="DW41" i="6"/>
  <c r="DW45" i="6" s="1"/>
  <c r="DW49" i="6" s="1"/>
  <c r="DS45" i="8" s="1"/>
  <c r="DV64" i="8"/>
  <c r="DV65" i="8" s="1"/>
  <c r="DV15" i="8"/>
  <c r="DQ14" i="8"/>
  <c r="DV16" i="8"/>
  <c r="DY1" i="6"/>
  <c r="DX40" i="6"/>
  <c r="DX37" i="6"/>
  <c r="DX36" i="6"/>
  <c r="DX38" i="6"/>
  <c r="DX35" i="6"/>
  <c r="DX33" i="6"/>
  <c r="DX34" i="6"/>
  <c r="DX27" i="6"/>
  <c r="DX32" i="6"/>
  <c r="DX30" i="6"/>
  <c r="DX6" i="6"/>
  <c r="DX7" i="6"/>
  <c r="DX8" i="6"/>
  <c r="DX39" i="6"/>
  <c r="DX28" i="6"/>
  <c r="DX26" i="6"/>
  <c r="DX31" i="6"/>
  <c r="DX29" i="6"/>
  <c r="DX15" i="6"/>
  <c r="DX9" i="6"/>
  <c r="DX5" i="6"/>
  <c r="DX10" i="6"/>
  <c r="DX13" i="6"/>
  <c r="DX14" i="6"/>
  <c r="DX17" i="6"/>
  <c r="DX18" i="6"/>
  <c r="DX19" i="6"/>
  <c r="DX20" i="6"/>
  <c r="DX25" i="6"/>
  <c r="DX11" i="6"/>
  <c r="DX12" i="6"/>
  <c r="DX16" i="6"/>
  <c r="DX2" i="6"/>
  <c r="DU2" i="7"/>
  <c r="DT5" i="7"/>
  <c r="DU51" i="8" s="1"/>
  <c r="DU55" i="8" s="1"/>
  <c r="DU59" i="8" s="1"/>
  <c r="DT8" i="7"/>
  <c r="DU52" i="8" s="1"/>
  <c r="DV17" i="8"/>
  <c r="DV45" i="6"/>
  <c r="DV49" i="6" s="1"/>
  <c r="DR45" i="8" s="1"/>
  <c r="DV21" i="8"/>
  <c r="DU18" i="7"/>
  <c r="DU14" i="7"/>
  <c r="DU17" i="7" s="1"/>
  <c r="DU15" i="7"/>
  <c r="DV23" i="8"/>
  <c r="DV20" i="8"/>
  <c r="DV47" i="8"/>
  <c r="DV50" i="8"/>
  <c r="DV53" i="8" s="1"/>
  <c r="DV30" i="8"/>
  <c r="DV32" i="8"/>
  <c r="DV34" i="8"/>
  <c r="DV31" i="8"/>
  <c r="DV36" i="8"/>
  <c r="DV33" i="8"/>
  <c r="DV29" i="8"/>
  <c r="DV35" i="8"/>
  <c r="DU40" i="8"/>
  <c r="DU39" i="8"/>
  <c r="DV2" i="8"/>
  <c r="DV38" i="8" s="1"/>
  <c r="DW1" i="8"/>
  <c r="DW18" i="8" s="1"/>
  <c r="DV12" i="7"/>
  <c r="DN7" i="7"/>
  <c r="DN6" i="7" s="1"/>
  <c r="DN9" i="7" s="1"/>
  <c r="DO4" i="7" s="1"/>
  <c r="DI47" i="8" l="1"/>
  <c r="DJ11" i="8"/>
  <c r="DJ26" i="8" s="1"/>
  <c r="DJ37" i="8" s="1"/>
  <c r="DJ41" i="8" s="1"/>
  <c r="DJ43" i="8" s="1"/>
  <c r="DN22" i="8"/>
  <c r="DM24" i="8"/>
  <c r="DK10" i="8"/>
  <c r="DK9" i="8"/>
  <c r="DK7" i="8"/>
  <c r="DK8" i="8"/>
  <c r="EN5" i="2"/>
  <c r="DL6" i="8" s="1"/>
  <c r="EO3" i="2"/>
  <c r="BJ70" i="8"/>
  <c r="BK69" i="8" s="1"/>
  <c r="DX41" i="6"/>
  <c r="DU67" i="8"/>
  <c r="DZ1" i="6"/>
  <c r="DY39" i="6"/>
  <c r="DY38" i="6"/>
  <c r="DY37" i="6"/>
  <c r="DY36" i="6"/>
  <c r="DY40" i="6"/>
  <c r="DY35" i="6"/>
  <c r="DY34" i="6"/>
  <c r="DY33" i="6"/>
  <c r="DY32" i="6"/>
  <c r="DY31" i="6"/>
  <c r="DY30" i="6"/>
  <c r="DY29" i="6"/>
  <c r="DY28" i="6"/>
  <c r="DY26" i="6"/>
  <c r="DY6" i="6"/>
  <c r="DY7" i="6"/>
  <c r="DY8" i="6"/>
  <c r="DY9" i="6"/>
  <c r="DY10" i="6"/>
  <c r="DY27" i="6"/>
  <c r="DY25" i="6"/>
  <c r="DY11" i="6"/>
  <c r="DY12" i="6"/>
  <c r="DY13" i="6"/>
  <c r="DY14" i="6"/>
  <c r="DY15" i="6"/>
  <c r="DY16" i="6"/>
  <c r="DY17" i="6"/>
  <c r="DY18" i="6"/>
  <c r="DY19" i="6"/>
  <c r="DY20" i="6"/>
  <c r="DY5" i="6"/>
  <c r="DY2" i="6"/>
  <c r="DR14" i="8"/>
  <c r="DW23" i="8"/>
  <c r="DV2" i="7"/>
  <c r="DU5" i="7"/>
  <c r="DV51" i="8" s="1"/>
  <c r="DV55" i="8" s="1"/>
  <c r="DV59" i="8" s="1"/>
  <c r="DU8" i="7"/>
  <c r="DV52" i="8" s="1"/>
  <c r="DW16" i="8"/>
  <c r="DW20" i="8"/>
  <c r="DW64" i="8"/>
  <c r="DW65" i="8" s="1"/>
  <c r="DW38" i="8"/>
  <c r="DU16" i="7"/>
  <c r="DU19" i="7" s="1"/>
  <c r="DW21" i="8"/>
  <c r="DW17" i="8"/>
  <c r="DW19" i="8"/>
  <c r="DW15" i="8"/>
  <c r="DV18" i="7"/>
  <c r="DV14" i="7"/>
  <c r="DV17" i="7" s="1"/>
  <c r="DV15" i="7"/>
  <c r="DX21" i="6"/>
  <c r="DV40" i="8"/>
  <c r="DV39" i="8"/>
  <c r="DW47" i="8"/>
  <c r="DW50" i="8"/>
  <c r="DW53" i="8" s="1"/>
  <c r="DW30" i="8"/>
  <c r="DW32" i="8"/>
  <c r="DW31" i="8"/>
  <c r="DW33" i="8"/>
  <c r="DW35" i="8"/>
  <c r="DW34" i="8"/>
  <c r="DW36" i="8"/>
  <c r="DW29" i="8"/>
  <c r="DW2" i="8"/>
  <c r="DX1" i="8"/>
  <c r="DW12" i="7"/>
  <c r="DO7" i="7"/>
  <c r="DO6" i="7" s="1"/>
  <c r="DO9" i="7" s="1"/>
  <c r="DP4" i="7" s="1"/>
  <c r="DJ47" i="8" l="1"/>
  <c r="DK11" i="8"/>
  <c r="DK26" i="8" s="1"/>
  <c r="DK37" i="8" s="1"/>
  <c r="DK41" i="8" s="1"/>
  <c r="DK43" i="8" s="1"/>
  <c r="EP3" i="2"/>
  <c r="EO5" i="2"/>
  <c r="DM6" i="8" s="1"/>
  <c r="DO22" i="8"/>
  <c r="DN24" i="8"/>
  <c r="DL10" i="8"/>
  <c r="DL9" i="8"/>
  <c r="DL8" i="8"/>
  <c r="DL7" i="8"/>
  <c r="BK59" i="8"/>
  <c r="BK70" i="8" s="1"/>
  <c r="BL69" i="8" s="1"/>
  <c r="DV67" i="8"/>
  <c r="DX64" i="8"/>
  <c r="DX65" i="8" s="1"/>
  <c r="DX19" i="8"/>
  <c r="DX17" i="8"/>
  <c r="DX16" i="8"/>
  <c r="DS14" i="8"/>
  <c r="DW2" i="7"/>
  <c r="DV5" i="7"/>
  <c r="DW51" i="8" s="1"/>
  <c r="DW55" i="8" s="1"/>
  <c r="DW59" i="8" s="1"/>
  <c r="DV8" i="7"/>
  <c r="DW52" i="8" s="1"/>
  <c r="DW18" i="7"/>
  <c r="DW14" i="7"/>
  <c r="DW17" i="7" s="1"/>
  <c r="DW15" i="7"/>
  <c r="DX45" i="6"/>
  <c r="DX49" i="6" s="1"/>
  <c r="DT45" i="8" s="1"/>
  <c r="DX21" i="8"/>
  <c r="DY41" i="6"/>
  <c r="DV16" i="7"/>
  <c r="DV19" i="7" s="1"/>
  <c r="DX15" i="8"/>
  <c r="DX20" i="8"/>
  <c r="DX23" i="8"/>
  <c r="DY21" i="6"/>
  <c r="EA1" i="6"/>
  <c r="DZ36" i="6"/>
  <c r="DZ37" i="6"/>
  <c r="DZ40" i="6"/>
  <c r="DZ38" i="6"/>
  <c r="DZ35" i="6"/>
  <c r="DZ34" i="6"/>
  <c r="DZ32" i="6"/>
  <c r="DZ31" i="6"/>
  <c r="DZ30" i="6"/>
  <c r="DZ29" i="6"/>
  <c r="DZ39" i="6"/>
  <c r="DZ28" i="6"/>
  <c r="DZ26" i="6"/>
  <c r="DZ33" i="6"/>
  <c r="DZ27" i="6"/>
  <c r="DZ25" i="6"/>
  <c r="DZ6" i="6"/>
  <c r="DZ7" i="6"/>
  <c r="DZ8" i="6"/>
  <c r="DZ9" i="6"/>
  <c r="DZ10" i="6"/>
  <c r="DZ11" i="6"/>
  <c r="DZ12" i="6"/>
  <c r="DZ13" i="6"/>
  <c r="DZ14" i="6"/>
  <c r="DZ15" i="6"/>
  <c r="DZ16" i="6"/>
  <c r="DZ17" i="6"/>
  <c r="DZ18" i="6"/>
  <c r="DZ19" i="6"/>
  <c r="DZ20" i="6"/>
  <c r="DZ5" i="6"/>
  <c r="DZ2" i="6"/>
  <c r="DX18" i="8"/>
  <c r="DX47" i="8"/>
  <c r="DX30" i="8"/>
  <c r="DX32" i="8"/>
  <c r="DX50" i="8"/>
  <c r="DX53" i="8" s="1"/>
  <c r="DX31" i="8"/>
  <c r="DX33" i="8"/>
  <c r="DX35" i="8"/>
  <c r="DX36" i="8"/>
  <c r="DX34" i="8"/>
  <c r="DX29" i="8"/>
  <c r="DW40" i="8"/>
  <c r="DW39" i="8"/>
  <c r="DX2" i="8"/>
  <c r="DX38" i="8" s="1"/>
  <c r="DY1" i="8"/>
  <c r="DX12" i="7"/>
  <c r="DP7" i="7"/>
  <c r="DP6" i="7" s="1"/>
  <c r="DP9" i="7" s="1"/>
  <c r="DQ4" i="7" s="1"/>
  <c r="DK47" i="8" l="1"/>
  <c r="DL11" i="8"/>
  <c r="DL26" i="8" s="1"/>
  <c r="DL37" i="8" s="1"/>
  <c r="DL41" i="8" s="1"/>
  <c r="DL43" i="8" s="1"/>
  <c r="DM10" i="8"/>
  <c r="DM7" i="8"/>
  <c r="DM9" i="8"/>
  <c r="DM8" i="8"/>
  <c r="EQ3" i="2"/>
  <c r="EP5" i="2"/>
  <c r="DN6" i="8" s="1"/>
  <c r="DP22" i="8"/>
  <c r="DO24" i="8"/>
  <c r="DW67" i="8"/>
  <c r="DY17" i="8"/>
  <c r="DX2" i="7"/>
  <c r="DW5" i="7"/>
  <c r="DX51" i="8" s="1"/>
  <c r="DX55" i="8" s="1"/>
  <c r="DX59" i="8" s="1"/>
  <c r="DW8" i="7"/>
  <c r="DX52" i="8" s="1"/>
  <c r="DZ41" i="6"/>
  <c r="EB1" i="6"/>
  <c r="EA40" i="6"/>
  <c r="EA38" i="6"/>
  <c r="EA35" i="6"/>
  <c r="EA39" i="6"/>
  <c r="EA34" i="6"/>
  <c r="EA36" i="6"/>
  <c r="EA28" i="6"/>
  <c r="EA37" i="6"/>
  <c r="EA33" i="6"/>
  <c r="EA27" i="6"/>
  <c r="EA25" i="6"/>
  <c r="EA31" i="6"/>
  <c r="EA29" i="6"/>
  <c r="EA10" i="6"/>
  <c r="EA5" i="6"/>
  <c r="EA30" i="6"/>
  <c r="EA6" i="6"/>
  <c r="EA8" i="6"/>
  <c r="EA32" i="6"/>
  <c r="EA26" i="6"/>
  <c r="EA9" i="6"/>
  <c r="EA11" i="6"/>
  <c r="EA12" i="6"/>
  <c r="EA13" i="6"/>
  <c r="EA14" i="6"/>
  <c r="EA15" i="6"/>
  <c r="EA16" i="6"/>
  <c r="EA17" i="6"/>
  <c r="EA18" i="6"/>
  <c r="EA19" i="6"/>
  <c r="EA20" i="6"/>
  <c r="EA7" i="6"/>
  <c r="EA2" i="6"/>
  <c r="DY45" i="6"/>
  <c r="DY49" i="6" s="1"/>
  <c r="DU45" i="8" s="1"/>
  <c r="DT14" i="8"/>
  <c r="DY19" i="8"/>
  <c r="DY20" i="8"/>
  <c r="DY16" i="8"/>
  <c r="DX18" i="7"/>
  <c r="DX14" i="7"/>
  <c r="DX17" i="7" s="1"/>
  <c r="DX15" i="7"/>
  <c r="DZ21" i="6"/>
  <c r="DY15" i="8"/>
  <c r="DY64" i="8"/>
  <c r="DY65" i="8" s="1"/>
  <c r="DY18" i="8"/>
  <c r="DY23" i="8"/>
  <c r="DY21" i="8"/>
  <c r="DW16" i="7"/>
  <c r="DW19" i="7" s="1"/>
  <c r="DY50" i="8"/>
  <c r="DY53" i="8" s="1"/>
  <c r="DY47" i="8"/>
  <c r="DY30" i="8"/>
  <c r="DY33" i="8"/>
  <c r="DY35" i="8"/>
  <c r="DY32" i="8"/>
  <c r="DY36" i="8"/>
  <c r="DY34" i="8"/>
  <c r="DY31" i="8"/>
  <c r="DY29" i="8"/>
  <c r="DX39" i="8"/>
  <c r="DX40" i="8"/>
  <c r="DZ1" i="8"/>
  <c r="DY2" i="8"/>
  <c r="DY38" i="8" s="1"/>
  <c r="DY12" i="7"/>
  <c r="DQ7" i="7"/>
  <c r="DQ6" i="7" s="1"/>
  <c r="DQ9" i="7" s="1"/>
  <c r="DR4" i="7" s="1"/>
  <c r="DL47" i="8" l="1"/>
  <c r="DM11" i="8"/>
  <c r="DM26" i="8" s="1"/>
  <c r="DM37" i="8" s="1"/>
  <c r="DM41" i="8" s="1"/>
  <c r="DM43" i="8" s="1"/>
  <c r="DQ22" i="8"/>
  <c r="DP24" i="8"/>
  <c r="DN9" i="8"/>
  <c r="DN7" i="8"/>
  <c r="DN8" i="8"/>
  <c r="DN10" i="8"/>
  <c r="EQ5" i="2"/>
  <c r="DO6" i="8" s="1"/>
  <c r="ER3" i="2"/>
  <c r="DX67" i="8"/>
  <c r="EA41" i="6"/>
  <c r="DZ64" i="8"/>
  <c r="DZ65" i="8" s="1"/>
  <c r="DZ18" i="8"/>
  <c r="DZ17" i="8"/>
  <c r="DZ21" i="8"/>
  <c r="DX16" i="7"/>
  <c r="DX19" i="7" s="1"/>
  <c r="DZ16" i="8"/>
  <c r="DU14" i="8"/>
  <c r="DZ45" i="6"/>
  <c r="DZ49" i="6" s="1"/>
  <c r="DV45" i="8" s="1"/>
  <c r="DZ20" i="8"/>
  <c r="DY18" i="7"/>
  <c r="DY14" i="7"/>
  <c r="DY17" i="7" s="1"/>
  <c r="DY15" i="7"/>
  <c r="EA21" i="6"/>
  <c r="DZ23" i="8"/>
  <c r="DZ15" i="8"/>
  <c r="DZ19" i="8"/>
  <c r="EC1" i="6"/>
  <c r="EB40" i="6"/>
  <c r="EB39" i="6"/>
  <c r="EB36" i="6"/>
  <c r="EB37" i="6"/>
  <c r="EB33" i="6"/>
  <c r="EB27" i="6"/>
  <c r="EB31" i="6"/>
  <c r="EB29" i="6"/>
  <c r="EB6" i="6"/>
  <c r="EB7" i="6"/>
  <c r="EB8" i="6"/>
  <c r="EB34" i="6"/>
  <c r="EB32" i="6"/>
  <c r="EB30" i="6"/>
  <c r="EB26" i="6"/>
  <c r="EB35" i="6"/>
  <c r="EB12" i="6"/>
  <c r="EB13" i="6"/>
  <c r="EB14" i="6"/>
  <c r="EB16" i="6"/>
  <c r="EB17" i="6"/>
  <c r="EB18" i="6"/>
  <c r="EB19" i="6"/>
  <c r="EB25" i="6"/>
  <c r="EB10" i="6"/>
  <c r="EB5" i="6"/>
  <c r="EB11" i="6"/>
  <c r="EB38" i="6"/>
  <c r="EB28" i="6"/>
  <c r="EB9" i="6"/>
  <c r="EB15" i="6"/>
  <c r="EB20" i="6"/>
  <c r="EB2" i="6"/>
  <c r="DY2" i="7"/>
  <c r="DX5" i="7"/>
  <c r="DY51" i="8" s="1"/>
  <c r="DY55" i="8" s="1"/>
  <c r="DY59" i="8" s="1"/>
  <c r="DX8" i="7"/>
  <c r="DY52" i="8" s="1"/>
  <c r="DY40" i="8"/>
  <c r="DY39" i="8"/>
  <c r="DZ50" i="8"/>
  <c r="DZ53" i="8" s="1"/>
  <c r="DZ47" i="8"/>
  <c r="DZ31" i="8"/>
  <c r="DZ30" i="8"/>
  <c r="DZ33" i="8"/>
  <c r="DZ35" i="8"/>
  <c r="DZ29" i="8"/>
  <c r="DZ32" i="8"/>
  <c r="DZ36" i="8"/>
  <c r="DZ34" i="8"/>
  <c r="EA1" i="8"/>
  <c r="DZ2" i="8"/>
  <c r="DZ38" i="8" s="1"/>
  <c r="DZ12" i="7"/>
  <c r="DR7" i="7"/>
  <c r="DR6" i="7" s="1"/>
  <c r="DR9" i="7" s="1"/>
  <c r="DS4" i="7" s="1"/>
  <c r="DM47" i="8" l="1"/>
  <c r="DN11" i="8"/>
  <c r="DN26" i="8" s="1"/>
  <c r="DN37" i="8" s="1"/>
  <c r="DN41" i="8" s="1"/>
  <c r="DN43" i="8" s="1"/>
  <c r="DO9" i="8"/>
  <c r="DO8" i="8"/>
  <c r="DO7" i="8"/>
  <c r="DO10" i="8"/>
  <c r="ES3" i="2"/>
  <c r="ER5" i="2"/>
  <c r="DP6" i="8" s="1"/>
  <c r="DR22" i="8"/>
  <c r="DQ24" i="8"/>
  <c r="EA21" i="8"/>
  <c r="EA23" i="8"/>
  <c r="DY16" i="7"/>
  <c r="DY19" i="7" s="1"/>
  <c r="DV14" i="8"/>
  <c r="EA17" i="8"/>
  <c r="EA15" i="8"/>
  <c r="DZ2" i="7"/>
  <c r="DY5" i="7"/>
  <c r="DZ51" i="8" s="1"/>
  <c r="DZ55" i="8" s="1"/>
  <c r="DZ59" i="8" s="1"/>
  <c r="DY8" i="7"/>
  <c r="DZ52" i="8" s="1"/>
  <c r="EA16" i="8"/>
  <c r="EA18" i="8"/>
  <c r="EB41" i="6"/>
  <c r="ED1" i="6"/>
  <c r="EC39" i="6"/>
  <c r="EC38" i="6"/>
  <c r="EC37" i="6"/>
  <c r="EC40" i="6"/>
  <c r="EC36" i="6"/>
  <c r="EC35" i="6"/>
  <c r="EC34" i="6"/>
  <c r="EC33" i="6"/>
  <c r="EC32" i="6"/>
  <c r="EC31" i="6"/>
  <c r="EC30" i="6"/>
  <c r="EC29" i="6"/>
  <c r="EC26" i="6"/>
  <c r="EC6" i="6"/>
  <c r="EC7" i="6"/>
  <c r="EC8" i="6"/>
  <c r="EC9" i="6"/>
  <c r="EC10" i="6"/>
  <c r="EC28" i="6"/>
  <c r="EC25" i="6"/>
  <c r="EC11" i="6"/>
  <c r="EC12" i="6"/>
  <c r="EC13" i="6"/>
  <c r="EC14" i="6"/>
  <c r="EC15" i="6"/>
  <c r="EC16" i="6"/>
  <c r="EC17" i="6"/>
  <c r="EC18" i="6"/>
  <c r="EC19" i="6"/>
  <c r="EC20" i="6"/>
  <c r="EC27" i="6"/>
  <c r="EC5" i="6"/>
  <c r="EC2" i="6"/>
  <c r="EA20" i="8"/>
  <c r="EA64" i="8"/>
  <c r="EA65" i="8" s="1"/>
  <c r="EA38" i="8"/>
  <c r="EB21" i="6"/>
  <c r="DZ18" i="7"/>
  <c r="DZ14" i="7"/>
  <c r="DZ17" i="7" s="1"/>
  <c r="DZ15" i="7"/>
  <c r="EA19" i="8"/>
  <c r="EA45" i="6"/>
  <c r="EA49" i="6" s="1"/>
  <c r="DW45" i="8" s="1"/>
  <c r="DY67" i="8"/>
  <c r="EA50" i="8"/>
  <c r="EA53" i="8" s="1"/>
  <c r="EA47" i="8"/>
  <c r="EA31" i="8"/>
  <c r="EA30" i="8"/>
  <c r="EA32" i="8"/>
  <c r="EA34" i="8"/>
  <c r="EA33" i="8"/>
  <c r="EA35" i="8"/>
  <c r="EA29" i="8"/>
  <c r="EA36" i="8"/>
  <c r="DZ40" i="8"/>
  <c r="DZ39" i="8"/>
  <c r="EB1" i="8"/>
  <c r="EA2" i="8"/>
  <c r="EA12" i="7"/>
  <c r="DS7" i="7"/>
  <c r="DS6" i="7" s="1"/>
  <c r="DS9" i="7" s="1"/>
  <c r="DT4" i="7" s="1"/>
  <c r="DN47" i="8" l="1"/>
  <c r="DO11" i="8"/>
  <c r="DO26" i="8" s="1"/>
  <c r="DO37" i="8" s="1"/>
  <c r="DO41" i="8" s="1"/>
  <c r="DO43" i="8" s="1"/>
  <c r="DP10" i="8"/>
  <c r="DP9" i="8"/>
  <c r="DP8" i="8"/>
  <c r="DP7" i="8"/>
  <c r="DS22" i="8"/>
  <c r="DR24" i="8"/>
  <c r="ES5" i="2"/>
  <c r="DQ6" i="8" s="1"/>
  <c r="ET3" i="2"/>
  <c r="EC21" i="6"/>
  <c r="EC41" i="6"/>
  <c r="EA18" i="7"/>
  <c r="EA14" i="7"/>
  <c r="EA17" i="7" s="1"/>
  <c r="EA15" i="7"/>
  <c r="DW14" i="8"/>
  <c r="EB15" i="8"/>
  <c r="EB21" i="8"/>
  <c r="EB64" i="8"/>
  <c r="EB65" i="8" s="1"/>
  <c r="EE1" i="6"/>
  <c r="ED36" i="6"/>
  <c r="ED40" i="6"/>
  <c r="ED39" i="6"/>
  <c r="ED35" i="6"/>
  <c r="ED37" i="6"/>
  <c r="ED33" i="6"/>
  <c r="ED32" i="6"/>
  <c r="ED31" i="6"/>
  <c r="ED30" i="6"/>
  <c r="ED29" i="6"/>
  <c r="ED38" i="6"/>
  <c r="ED34" i="6"/>
  <c r="ED28" i="6"/>
  <c r="ED26" i="6"/>
  <c r="ED25" i="6"/>
  <c r="ED27" i="6"/>
  <c r="ED6" i="6"/>
  <c r="ED7" i="6"/>
  <c r="ED8" i="6"/>
  <c r="ED9" i="6"/>
  <c r="ED10" i="6"/>
  <c r="ED5" i="6"/>
  <c r="ED11" i="6"/>
  <c r="ED12" i="6"/>
  <c r="ED13" i="6"/>
  <c r="ED14" i="6"/>
  <c r="ED15" i="6"/>
  <c r="ED16" i="6"/>
  <c r="ED17" i="6"/>
  <c r="ED18" i="6"/>
  <c r="ED19" i="6"/>
  <c r="ED20" i="6"/>
  <c r="ED2" i="6"/>
  <c r="EA2" i="7"/>
  <c r="DZ5" i="7"/>
  <c r="EA51" i="8" s="1"/>
  <c r="EA55" i="8" s="1"/>
  <c r="EA59" i="8" s="1"/>
  <c r="DZ8" i="7"/>
  <c r="EA52" i="8" s="1"/>
  <c r="EB19" i="8"/>
  <c r="EB18" i="8"/>
  <c r="EB17" i="8"/>
  <c r="EB20" i="8"/>
  <c r="DZ16" i="7"/>
  <c r="DZ19" i="7" s="1"/>
  <c r="EB45" i="6"/>
  <c r="EB49" i="6" s="1"/>
  <c r="DX45" i="8" s="1"/>
  <c r="EB16" i="8"/>
  <c r="EB23" i="8"/>
  <c r="DZ67" i="8"/>
  <c r="EA40" i="8"/>
  <c r="EA39" i="8"/>
  <c r="EB47" i="8"/>
  <c r="EB50" i="8"/>
  <c r="EB53" i="8" s="1"/>
  <c r="EB31" i="8"/>
  <c r="EB30" i="8"/>
  <c r="EB34" i="8"/>
  <c r="EB35" i="8"/>
  <c r="EB29" i="8"/>
  <c r="EB32" i="8"/>
  <c r="EB33" i="8"/>
  <c r="EB36" i="8"/>
  <c r="EC1" i="8"/>
  <c r="EB2" i="8"/>
  <c r="EB38" i="8" s="1"/>
  <c r="EB12" i="7"/>
  <c r="DT7" i="7"/>
  <c r="DT6" i="7" s="1"/>
  <c r="DT9" i="7" s="1"/>
  <c r="DU4" i="7" s="1"/>
  <c r="DO47" i="8" l="1"/>
  <c r="DP11" i="8"/>
  <c r="DP26" i="8" s="1"/>
  <c r="DP37" i="8" s="1"/>
  <c r="DP41" i="8" s="1"/>
  <c r="DP43" i="8" s="1"/>
  <c r="DT22" i="8"/>
  <c r="DS24" i="8"/>
  <c r="DQ9" i="8"/>
  <c r="DQ8" i="8"/>
  <c r="DQ7" i="8"/>
  <c r="DQ10" i="8"/>
  <c r="ET5" i="2"/>
  <c r="DR6" i="8" s="1"/>
  <c r="EU3" i="2"/>
  <c r="EC45" i="6"/>
  <c r="EC49" i="6" s="1"/>
  <c r="DY45" i="8" s="1"/>
  <c r="EB2" i="7"/>
  <c r="EA5" i="7"/>
  <c r="EB51" i="8" s="1"/>
  <c r="EB55" i="8" s="1"/>
  <c r="EB59" i="8" s="1"/>
  <c r="EA8" i="7"/>
  <c r="EB52" i="8" s="1"/>
  <c r="EA16" i="7"/>
  <c r="EA19" i="7" s="1"/>
  <c r="EC23" i="8"/>
  <c r="EC19" i="8"/>
  <c r="EC15" i="8"/>
  <c r="EC64" i="8"/>
  <c r="EC65" i="8" s="1"/>
  <c r="EC18" i="8"/>
  <c r="ED21" i="6"/>
  <c r="EC16" i="8"/>
  <c r="EC20" i="8"/>
  <c r="EF1" i="6"/>
  <c r="EE37" i="6"/>
  <c r="EE36" i="6"/>
  <c r="EE35" i="6"/>
  <c r="EE38" i="6"/>
  <c r="EE33" i="6"/>
  <c r="EE39" i="6"/>
  <c r="EE34" i="6"/>
  <c r="EE28" i="6"/>
  <c r="EE40" i="6"/>
  <c r="EE26" i="6"/>
  <c r="EE25" i="6"/>
  <c r="EE32" i="6"/>
  <c r="EE30" i="6"/>
  <c r="EE27" i="6"/>
  <c r="EE7" i="6"/>
  <c r="EE9" i="6"/>
  <c r="EE5" i="6"/>
  <c r="EE29" i="6"/>
  <c r="EE6" i="6"/>
  <c r="EE8" i="6"/>
  <c r="EE10" i="6"/>
  <c r="EE11" i="6"/>
  <c r="EE12" i="6"/>
  <c r="EE13" i="6"/>
  <c r="EE14" i="6"/>
  <c r="EE15" i="6"/>
  <c r="EE16" i="6"/>
  <c r="EE17" i="6"/>
  <c r="EE18" i="6"/>
  <c r="EE19" i="6"/>
  <c r="EE20" i="6"/>
  <c r="EE31" i="6"/>
  <c r="EE2" i="6"/>
  <c r="DX14" i="8"/>
  <c r="EB14" i="7"/>
  <c r="EB17" i="7" s="1"/>
  <c r="EB18" i="7"/>
  <c r="EB15" i="7"/>
  <c r="EC17" i="8"/>
  <c r="ED41" i="6"/>
  <c r="EC21" i="8"/>
  <c r="EA67" i="8"/>
  <c r="EC47" i="8"/>
  <c r="EC50" i="8"/>
  <c r="EC53" i="8" s="1"/>
  <c r="EC34" i="8"/>
  <c r="EC30" i="8"/>
  <c r="EC31" i="8"/>
  <c r="EC36" i="8"/>
  <c r="EC35" i="8"/>
  <c r="EC29" i="8"/>
  <c r="EC32" i="8"/>
  <c r="EC33" i="8"/>
  <c r="EB40" i="8"/>
  <c r="EB39" i="8"/>
  <c r="EC2" i="8"/>
  <c r="EC38" i="8" s="1"/>
  <c r="ED1" i="8"/>
  <c r="EC12" i="7"/>
  <c r="DU7" i="7"/>
  <c r="DU6" i="7" s="1"/>
  <c r="DU9" i="7" s="1"/>
  <c r="DV4" i="7" s="1"/>
  <c r="DP47" i="8" l="1"/>
  <c r="DQ11" i="8"/>
  <c r="DQ26" i="8" s="1"/>
  <c r="DQ37" i="8" s="1"/>
  <c r="DQ41" i="8" s="1"/>
  <c r="DQ43" i="8" s="1"/>
  <c r="DR9" i="8"/>
  <c r="DR10" i="8"/>
  <c r="DR8" i="8"/>
  <c r="DR7" i="8"/>
  <c r="EV3" i="2"/>
  <c r="EU5" i="2"/>
  <c r="DS6" i="8" s="1"/>
  <c r="DU22" i="8"/>
  <c r="DT24" i="8"/>
  <c r="ED17" i="8"/>
  <c r="ED16" i="8"/>
  <c r="EE21" i="6"/>
  <c r="ED45" i="6"/>
  <c r="ED49" i="6" s="1"/>
  <c r="DZ45" i="8" s="1"/>
  <c r="ED15" i="8"/>
  <c r="ED64" i="8"/>
  <c r="ED65" i="8" s="1"/>
  <c r="ED21" i="8"/>
  <c r="EB16" i="7"/>
  <c r="EB19" i="7" s="1"/>
  <c r="EG1" i="6"/>
  <c r="EF40" i="6"/>
  <c r="EF38" i="6"/>
  <c r="EF37" i="6"/>
  <c r="EF36" i="6"/>
  <c r="EF39" i="6"/>
  <c r="EF34" i="6"/>
  <c r="EF35" i="6"/>
  <c r="EF27" i="6"/>
  <c r="EF32" i="6"/>
  <c r="EF30" i="6"/>
  <c r="EF6" i="6"/>
  <c r="EF7" i="6"/>
  <c r="EF8" i="6"/>
  <c r="EF28" i="6"/>
  <c r="EF31" i="6"/>
  <c r="EF29" i="6"/>
  <c r="EF25" i="6"/>
  <c r="EF33" i="6"/>
  <c r="EF26" i="6"/>
  <c r="EF9" i="6"/>
  <c r="EF5" i="6"/>
  <c r="EF12" i="6"/>
  <c r="EF15" i="6"/>
  <c r="EF16" i="6"/>
  <c r="EF20" i="6"/>
  <c r="EF10" i="6"/>
  <c r="EF11" i="6"/>
  <c r="EF13" i="6"/>
  <c r="EF14" i="6"/>
  <c r="EF17" i="6"/>
  <c r="EF18" i="6"/>
  <c r="EF19" i="6"/>
  <c r="EF2" i="6"/>
  <c r="ED18" i="8"/>
  <c r="ED19" i="8"/>
  <c r="EC18" i="7"/>
  <c r="EC14" i="7"/>
  <c r="EC17" i="7" s="1"/>
  <c r="EC15" i="7"/>
  <c r="DY14" i="8"/>
  <c r="EE41" i="6"/>
  <c r="ED20" i="8"/>
  <c r="ED23" i="8"/>
  <c r="EC2" i="7"/>
  <c r="EB5" i="7"/>
  <c r="EC51" i="8" s="1"/>
  <c r="EC55" i="8" s="1"/>
  <c r="EC59" i="8" s="1"/>
  <c r="EB8" i="7"/>
  <c r="EC52" i="8" s="1"/>
  <c r="EB67" i="8"/>
  <c r="ED47" i="8"/>
  <c r="ED50" i="8"/>
  <c r="ED53" i="8" s="1"/>
  <c r="ED30" i="8"/>
  <c r="ED32" i="8"/>
  <c r="ED34" i="8"/>
  <c r="ED31" i="8"/>
  <c r="ED36" i="8"/>
  <c r="ED35" i="8"/>
  <c r="ED29" i="8"/>
  <c r="ED33" i="8"/>
  <c r="EC40" i="8"/>
  <c r="EC39" i="8"/>
  <c r="ED2" i="8"/>
  <c r="ED38" i="8" s="1"/>
  <c r="EE1" i="8"/>
  <c r="ED12" i="7"/>
  <c r="DV7" i="7"/>
  <c r="DV6" i="7" s="1"/>
  <c r="DV9" i="7" s="1"/>
  <c r="DW4" i="7" s="1"/>
  <c r="DQ47" i="8" l="1"/>
  <c r="DR11" i="8"/>
  <c r="DR26" i="8" s="1"/>
  <c r="DR37" i="8" s="1"/>
  <c r="DR41" i="8" s="1"/>
  <c r="DR43" i="8" s="1"/>
  <c r="DS10" i="8"/>
  <c r="DS9" i="8"/>
  <c r="DS7" i="8"/>
  <c r="DS8" i="8"/>
  <c r="DV22" i="8"/>
  <c r="DU24" i="8"/>
  <c r="EW3" i="2"/>
  <c r="EV5" i="2"/>
  <c r="DT6" i="8" s="1"/>
  <c r="EC67" i="8"/>
  <c r="ED2" i="7"/>
  <c r="EC8" i="7"/>
  <c r="ED52" i="8" s="1"/>
  <c r="EC5" i="7"/>
  <c r="ED51" i="8" s="1"/>
  <c r="ED55" i="8" s="1"/>
  <c r="ED59" i="8" s="1"/>
  <c r="EF21" i="6"/>
  <c r="EF41" i="6"/>
  <c r="ED18" i="7"/>
  <c r="ED14" i="7"/>
  <c r="ED17" i="7" s="1"/>
  <c r="ED15" i="7"/>
  <c r="EE23" i="8"/>
  <c r="A23" i="8" s="1"/>
  <c r="DZ14" i="8"/>
  <c r="EH1" i="6"/>
  <c r="EG39" i="6"/>
  <c r="EG38" i="6"/>
  <c r="EG37" i="6"/>
  <c r="EG40" i="6"/>
  <c r="EG34" i="6"/>
  <c r="EG33" i="6"/>
  <c r="EG35" i="6"/>
  <c r="EG32" i="6"/>
  <c r="EG31" i="6"/>
  <c r="EG30" i="6"/>
  <c r="EG29" i="6"/>
  <c r="EG36" i="6"/>
  <c r="EG28" i="6"/>
  <c r="EG27" i="6"/>
  <c r="EG6" i="6"/>
  <c r="EG7" i="6"/>
  <c r="EG8" i="6"/>
  <c r="EG9" i="6"/>
  <c r="EG10" i="6"/>
  <c r="EG26" i="6"/>
  <c r="EG25" i="6"/>
  <c r="EG11" i="6"/>
  <c r="EG12" i="6"/>
  <c r="EG13" i="6"/>
  <c r="EG14" i="6"/>
  <c r="EG15" i="6"/>
  <c r="EG16" i="6"/>
  <c r="EG17" i="6"/>
  <c r="EG18" i="6"/>
  <c r="EG19" i="6"/>
  <c r="EG20" i="6"/>
  <c r="EG5" i="6"/>
  <c r="EG2" i="6"/>
  <c r="EE45" i="6"/>
  <c r="EE49" i="6" s="1"/>
  <c r="EA45" i="8" s="1"/>
  <c r="EE16" i="8"/>
  <c r="EE20" i="8"/>
  <c r="EC16" i="7"/>
  <c r="EC19" i="7" s="1"/>
  <c r="EE19" i="8"/>
  <c r="A19" i="8" s="1"/>
  <c r="EE15" i="8"/>
  <c r="EE17" i="8"/>
  <c r="A17" i="8" s="1"/>
  <c r="EE64" i="8"/>
  <c r="EE65" i="8" s="1"/>
  <c r="A62" i="8"/>
  <c r="A58" i="8"/>
  <c r="A63" i="8"/>
  <c r="A36" i="8"/>
  <c r="A18" i="8"/>
  <c r="A16" i="8"/>
  <c r="A20" i="8"/>
  <c r="E14" i="1"/>
  <c r="EE18" i="8"/>
  <c r="EE21" i="8"/>
  <c r="A21" i="8" s="1"/>
  <c r="H63" i="10"/>
  <c r="I63" i="10"/>
  <c r="K63" i="10"/>
  <c r="L63" i="10"/>
  <c r="ED39" i="8"/>
  <c r="ED40" i="8"/>
  <c r="EE2" i="8"/>
  <c r="EE38" i="8" s="1"/>
  <c r="EE47" i="8"/>
  <c r="EE50" i="8"/>
  <c r="EE30" i="8"/>
  <c r="A30" i="8" s="1"/>
  <c r="EE32" i="8"/>
  <c r="A32" i="8" s="1"/>
  <c r="EE31" i="8"/>
  <c r="A31" i="8" s="1"/>
  <c r="EE33" i="8"/>
  <c r="A33" i="8" s="1"/>
  <c r="EE35" i="8"/>
  <c r="A35" i="8" s="1"/>
  <c r="EE34" i="8"/>
  <c r="A34" i="8" s="1"/>
  <c r="EE36" i="8"/>
  <c r="EE29" i="8"/>
  <c r="A29" i="8" s="1"/>
  <c r="DW7" i="7"/>
  <c r="DW6" i="7" s="1"/>
  <c r="DW9" i="7" s="1"/>
  <c r="DX4" i="7" s="1"/>
  <c r="DR47" i="8" l="1"/>
  <c r="DS11" i="8"/>
  <c r="DS26" i="8" s="1"/>
  <c r="DS37" i="8" s="1"/>
  <c r="DS41" i="8" s="1"/>
  <c r="DS43" i="8" s="1"/>
  <c r="EX3" i="2"/>
  <c r="EW5" i="2"/>
  <c r="DU6" i="8" s="1"/>
  <c r="DW22" i="8"/>
  <c r="DV24" i="8"/>
  <c r="DT10" i="8"/>
  <c r="DT9" i="8"/>
  <c r="DT7" i="8"/>
  <c r="DT8" i="8"/>
  <c r="EG41" i="6"/>
  <c r="D63" i="10"/>
  <c r="EF45" i="6"/>
  <c r="EF49" i="6" s="1"/>
  <c r="EB45" i="8" s="1"/>
  <c r="G63" i="10"/>
  <c r="DO15" i="7"/>
  <c r="DP51" i="8" s="1"/>
  <c r="E18" i="1"/>
  <c r="E17" i="1"/>
  <c r="BJ14" i="7"/>
  <c r="BJ19" i="7" s="1"/>
  <c r="BK14" i="7" s="1"/>
  <c r="BK50" i="8"/>
  <c r="H49" i="10" s="1"/>
  <c r="CU15" i="7"/>
  <c r="CV51" i="8" s="1"/>
  <c r="CV15" i="7"/>
  <c r="CW51" i="8" s="1"/>
  <c r="CW15" i="7"/>
  <c r="CX51" i="8" s="1"/>
  <c r="CX15" i="7"/>
  <c r="CY51" i="8" s="1"/>
  <c r="CY54" i="8" s="1"/>
  <c r="CY15" i="7"/>
  <c r="CZ51" i="8" s="1"/>
  <c r="CZ54" i="8" s="1"/>
  <c r="CZ15" i="7"/>
  <c r="DA51" i="8" s="1"/>
  <c r="DA54" i="8" s="1"/>
  <c r="DA15" i="7"/>
  <c r="DB51" i="8" s="1"/>
  <c r="DB15" i="7"/>
  <c r="DC51" i="8" s="1"/>
  <c r="DC54" i="8" s="1"/>
  <c r="DC15" i="7"/>
  <c r="DD51" i="8" s="1"/>
  <c r="DD15" i="7"/>
  <c r="DE51" i="8" s="1"/>
  <c r="DE54" i="8" s="1"/>
  <c r="DE15" i="7"/>
  <c r="DF51" i="8" s="1"/>
  <c r="DF15" i="7"/>
  <c r="DG51" i="8" s="1"/>
  <c r="DG54" i="8" s="1"/>
  <c r="DG15" i="7"/>
  <c r="DH51" i="8" s="1"/>
  <c r="DH15" i="7"/>
  <c r="DI51" i="8" s="1"/>
  <c r="DI15" i="7"/>
  <c r="DJ51" i="8" s="1"/>
  <c r="DJ15" i="7"/>
  <c r="DK51" i="8" s="1"/>
  <c r="DK15" i="7"/>
  <c r="DL51" i="8" s="1"/>
  <c r="DL15" i="7"/>
  <c r="DM51" i="8" s="1"/>
  <c r="DM54" i="8" s="1"/>
  <c r="DM15" i="7"/>
  <c r="DN51" i="8" s="1"/>
  <c r="DN15" i="7"/>
  <c r="DO51" i="8" s="1"/>
  <c r="DO54" i="8" s="1"/>
  <c r="DP15" i="7"/>
  <c r="DQ51" i="8" s="1"/>
  <c r="DQ54" i="8" s="1"/>
  <c r="DQ15" i="7"/>
  <c r="DR51" i="8" s="1"/>
  <c r="DR55" i="8" s="1"/>
  <c r="DR15" i="7"/>
  <c r="DS51" i="8" s="1"/>
  <c r="D14" i="10"/>
  <c r="A15" i="8"/>
  <c r="EG21" i="6"/>
  <c r="EI1" i="6"/>
  <c r="EH36" i="6"/>
  <c r="EH40" i="6"/>
  <c r="EH39" i="6"/>
  <c r="EH38" i="6"/>
  <c r="EH35" i="6"/>
  <c r="EH37" i="6"/>
  <c r="EH32" i="6"/>
  <c r="EH31" i="6"/>
  <c r="EH30" i="6"/>
  <c r="EH29" i="6"/>
  <c r="EH33" i="6"/>
  <c r="EH28" i="6"/>
  <c r="EH26" i="6"/>
  <c r="EH34" i="6"/>
  <c r="EH25" i="6"/>
  <c r="EH6" i="6"/>
  <c r="EH7" i="6"/>
  <c r="EH8" i="6"/>
  <c r="EH9" i="6"/>
  <c r="EH10" i="6"/>
  <c r="EH27" i="6"/>
  <c r="EH11" i="6"/>
  <c r="EH12" i="6"/>
  <c r="EH13" i="6"/>
  <c r="EH14" i="6"/>
  <c r="EH15" i="6"/>
  <c r="EH16" i="6"/>
  <c r="EH17" i="6"/>
  <c r="EH18" i="6"/>
  <c r="EH19" i="6"/>
  <c r="EH20" i="6"/>
  <c r="EH5" i="6"/>
  <c r="EH2" i="6"/>
  <c r="ED16" i="7"/>
  <c r="ED19" i="7" s="1"/>
  <c r="M29" i="10"/>
  <c r="I35" i="10"/>
  <c r="K30" i="10"/>
  <c r="G13" i="10"/>
  <c r="F7" i="10"/>
  <c r="J38" i="10"/>
  <c r="E10" i="10"/>
  <c r="H13" i="10"/>
  <c r="H28" i="10"/>
  <c r="H10" i="10"/>
  <c r="K19" i="10"/>
  <c r="G17" i="10"/>
  <c r="L8" i="10"/>
  <c r="F32" i="10"/>
  <c r="J9" i="10"/>
  <c r="E6" i="10"/>
  <c r="I16" i="10"/>
  <c r="M6" i="10"/>
  <c r="E14" i="10"/>
  <c r="H17" i="10"/>
  <c r="J44" i="10"/>
  <c r="L30" i="10"/>
  <c r="F13" i="10"/>
  <c r="H35" i="10"/>
  <c r="L44" i="10"/>
  <c r="L29" i="10"/>
  <c r="F6" i="10"/>
  <c r="H18" i="10"/>
  <c r="F19" i="10"/>
  <c r="G33" i="10"/>
  <c r="L9" i="10"/>
  <c r="K21" i="10"/>
  <c r="L35" i="10"/>
  <c r="F20" i="10"/>
  <c r="J6" i="10"/>
  <c r="H16" i="10"/>
  <c r="I20" i="10"/>
  <c r="K16" i="10"/>
  <c r="F16" i="10"/>
  <c r="I30" i="10"/>
  <c r="M7" i="10"/>
  <c r="M16" i="10"/>
  <c r="M21" i="10"/>
  <c r="H21" i="10"/>
  <c r="G9" i="10"/>
  <c r="F35" i="10"/>
  <c r="L7" i="10"/>
  <c r="I44" i="10"/>
  <c r="L34" i="10"/>
  <c r="G5" i="10"/>
  <c r="J20" i="10"/>
  <c r="H7" i="10"/>
  <c r="L18" i="10"/>
  <c r="K5" i="10"/>
  <c r="J30" i="10"/>
  <c r="G20" i="10"/>
  <c r="I22" i="10"/>
  <c r="E32" i="10"/>
  <c r="E22" i="10"/>
  <c r="G22" i="10"/>
  <c r="I39" i="10"/>
  <c r="M22" i="10"/>
  <c r="I13" i="10"/>
  <c r="K44" i="10"/>
  <c r="H39" i="10"/>
  <c r="I19" i="10"/>
  <c r="H44" i="10"/>
  <c r="G30" i="10"/>
  <c r="F44" i="10"/>
  <c r="L33" i="10"/>
  <c r="M8" i="10"/>
  <c r="G31" i="10"/>
  <c r="J21" i="10"/>
  <c r="E17" i="10"/>
  <c r="M10" i="10"/>
  <c r="G16" i="10"/>
  <c r="I18" i="10"/>
  <c r="G21" i="10"/>
  <c r="K34" i="10"/>
  <c r="I29" i="10"/>
  <c r="G14" i="10"/>
  <c r="H34" i="10"/>
  <c r="M33" i="10"/>
  <c r="H31" i="10"/>
  <c r="G38" i="10"/>
  <c r="M34" i="10"/>
  <c r="E9" i="10"/>
  <c r="M44" i="10"/>
  <c r="K9" i="10"/>
  <c r="K15" i="10"/>
  <c r="E33" i="10"/>
  <c r="L10" i="10"/>
  <c r="H15" i="10"/>
  <c r="M15" i="10"/>
  <c r="I15" i="10"/>
  <c r="F30" i="10"/>
  <c r="E44" i="10"/>
  <c r="M28" i="10"/>
  <c r="M13" i="10"/>
  <c r="J22" i="10"/>
  <c r="J8" i="10"/>
  <c r="F31" i="10"/>
  <c r="G7" i="10"/>
  <c r="E5" i="10"/>
  <c r="E39" i="10"/>
  <c r="K31" i="10"/>
  <c r="G39" i="10"/>
  <c r="G18" i="10"/>
  <c r="K6" i="10"/>
  <c r="F5" i="10"/>
  <c r="K22" i="10"/>
  <c r="I21" i="10"/>
  <c r="L14" i="10"/>
  <c r="L21" i="10"/>
  <c r="K17" i="10"/>
  <c r="M14" i="10"/>
  <c r="F18" i="10"/>
  <c r="J5" i="10"/>
  <c r="J13" i="10"/>
  <c r="H38" i="10"/>
  <c r="L39" i="10"/>
  <c r="G44" i="10"/>
  <c r="F33" i="10"/>
  <c r="L5" i="10"/>
  <c r="L31" i="10"/>
  <c r="K7" i="10"/>
  <c r="K13" i="10"/>
  <c r="J39" i="10"/>
  <c r="J14" i="10"/>
  <c r="E19" i="10"/>
  <c r="L6" i="10"/>
  <c r="G8" i="10"/>
  <c r="H29" i="10"/>
  <c r="K14" i="10"/>
  <c r="G29" i="10"/>
  <c r="K20" i="10"/>
  <c r="L15" i="10"/>
  <c r="M32" i="10"/>
  <c r="I17" i="10"/>
  <c r="G28" i="10"/>
  <c r="F15" i="10"/>
  <c r="F28" i="10"/>
  <c r="K8" i="10"/>
  <c r="L22" i="10"/>
  <c r="L32" i="10"/>
  <c r="M30" i="10"/>
  <c r="F22" i="10"/>
  <c r="K33" i="10"/>
  <c r="G6" i="10"/>
  <c r="E8" i="10"/>
  <c r="E16" i="10"/>
  <c r="L19" i="10"/>
  <c r="F9" i="10"/>
  <c r="J19" i="10"/>
  <c r="L20" i="10"/>
  <c r="J16" i="10"/>
  <c r="H32" i="10"/>
  <c r="J34" i="10"/>
  <c r="J33" i="10"/>
  <c r="I7" i="10"/>
  <c r="H20" i="10"/>
  <c r="E18" i="10"/>
  <c r="G32" i="10"/>
  <c r="G15" i="10"/>
  <c r="I31" i="10"/>
  <c r="M31" i="10"/>
  <c r="M35" i="10"/>
  <c r="I9" i="10"/>
  <c r="E15" i="10"/>
  <c r="J17" i="10"/>
  <c r="L28" i="10"/>
  <c r="H33" i="10"/>
  <c r="K28" i="10"/>
  <c r="L13" i="10"/>
  <c r="E21" i="10"/>
  <c r="E34" i="10"/>
  <c r="F38" i="10"/>
  <c r="F8" i="10"/>
  <c r="F29" i="10"/>
  <c r="I8" i="10"/>
  <c r="J31" i="10"/>
  <c r="I5" i="10"/>
  <c r="J35" i="10"/>
  <c r="G19" i="10"/>
  <c r="K38" i="10"/>
  <c r="J15" i="10"/>
  <c r="F14" i="10"/>
  <c r="I38" i="10"/>
  <c r="M38" i="10"/>
  <c r="E31" i="10"/>
  <c r="I6" i="10"/>
  <c r="K29" i="10"/>
  <c r="E30" i="10"/>
  <c r="G35" i="10"/>
  <c r="M20" i="10"/>
  <c r="M5" i="10"/>
  <c r="M19" i="10"/>
  <c r="J32" i="10"/>
  <c r="G34" i="10"/>
  <c r="L38" i="10"/>
  <c r="F34" i="10"/>
  <c r="E38" i="10"/>
  <c r="H5" i="10"/>
  <c r="L17" i="10"/>
  <c r="K35" i="10"/>
  <c r="H14" i="10"/>
  <c r="J10" i="10"/>
  <c r="I10" i="10"/>
  <c r="E13" i="10"/>
  <c r="E35" i="10"/>
  <c r="J7" i="10"/>
  <c r="I32" i="10"/>
  <c r="M18" i="10"/>
  <c r="H9" i="10"/>
  <c r="F21" i="10"/>
  <c r="L16" i="10"/>
  <c r="H6" i="10"/>
  <c r="M39" i="10"/>
  <c r="K10" i="10"/>
  <c r="J18" i="10"/>
  <c r="H8" i="10"/>
  <c r="K18" i="10"/>
  <c r="I28" i="10"/>
  <c r="F10" i="10"/>
  <c r="H30" i="10"/>
  <c r="M17" i="10"/>
  <c r="I34" i="10"/>
  <c r="M9" i="10"/>
  <c r="G10" i="10"/>
  <c r="K32" i="10"/>
  <c r="E7" i="10"/>
  <c r="F39" i="10"/>
  <c r="J29" i="10"/>
  <c r="H19" i="10"/>
  <c r="H22" i="10"/>
  <c r="E29" i="10"/>
  <c r="F17" i="10"/>
  <c r="J28" i="10"/>
  <c r="D21" i="10"/>
  <c r="E28" i="10"/>
  <c r="E20" i="10"/>
  <c r="I51" i="10"/>
  <c r="D15" i="10"/>
  <c r="I33" i="10"/>
  <c r="I14" i="10"/>
  <c r="K39" i="10"/>
  <c r="L51" i="10"/>
  <c r="D22" i="10"/>
  <c r="D18" i="10"/>
  <c r="D17" i="10"/>
  <c r="D34" i="10"/>
  <c r="K51" i="10"/>
  <c r="D32" i="10"/>
  <c r="D30" i="10"/>
  <c r="D28" i="10"/>
  <c r="D33" i="10"/>
  <c r="D20" i="10"/>
  <c r="D16" i="10"/>
  <c r="E51" i="10"/>
  <c r="D31" i="10"/>
  <c r="F51" i="10"/>
  <c r="D19" i="10"/>
  <c r="D29" i="10"/>
  <c r="D35" i="10"/>
  <c r="G50" i="10"/>
  <c r="D44" i="10"/>
  <c r="E42" i="10"/>
  <c r="G40" i="10"/>
  <c r="G46" i="10"/>
  <c r="G42" i="10"/>
  <c r="G54" i="10"/>
  <c r="G58" i="10"/>
  <c r="H40" i="10"/>
  <c r="H36" i="10"/>
  <c r="H42" i="10"/>
  <c r="H46" i="10"/>
  <c r="H54" i="10"/>
  <c r="G51" i="10"/>
  <c r="H58" i="10"/>
  <c r="H51" i="10"/>
  <c r="K42" i="10"/>
  <c r="J63" i="10"/>
  <c r="F63" i="10"/>
  <c r="E63" i="10"/>
  <c r="EA14" i="8"/>
  <c r="ED8" i="7"/>
  <c r="ED5" i="7"/>
  <c r="D46" i="10"/>
  <c r="E46" i="10"/>
  <c r="F46" i="10"/>
  <c r="I46" i="10"/>
  <c r="J46" i="10"/>
  <c r="K46" i="10"/>
  <c r="L46" i="10"/>
  <c r="D64" i="10"/>
  <c r="E64" i="10"/>
  <c r="F64" i="10"/>
  <c r="G64" i="10"/>
  <c r="H64" i="10"/>
  <c r="I64" i="10"/>
  <c r="J64" i="10"/>
  <c r="K64" i="10"/>
  <c r="L64" i="10"/>
  <c r="EE53" i="8"/>
  <c r="D49" i="10"/>
  <c r="E49" i="10"/>
  <c r="F49" i="10"/>
  <c r="G49" i="10"/>
  <c r="I49" i="10"/>
  <c r="J49" i="10"/>
  <c r="K49" i="10"/>
  <c r="L49" i="10"/>
  <c r="M49" i="10"/>
  <c r="ED67" i="8"/>
  <c r="EE40" i="8"/>
  <c r="EE39" i="8"/>
  <c r="DX7" i="7"/>
  <c r="DX6" i="7" s="1"/>
  <c r="DX9" i="7" s="1"/>
  <c r="DY4" i="7" s="1"/>
  <c r="DN55" i="8" l="1"/>
  <c r="DN54" i="8"/>
  <c r="DJ55" i="8"/>
  <c r="DJ54" i="8"/>
  <c r="DF55" i="8"/>
  <c r="DF54" i="8"/>
  <c r="DB55" i="8"/>
  <c r="DB54" i="8"/>
  <c r="CX55" i="8"/>
  <c r="CX54" i="8"/>
  <c r="DS47" i="8"/>
  <c r="DS54" i="8"/>
  <c r="DK55" i="8"/>
  <c r="DK54" i="8"/>
  <c r="DI55" i="8"/>
  <c r="DI54" i="8"/>
  <c r="CW55" i="8"/>
  <c r="CW54" i="8"/>
  <c r="DR54" i="8"/>
  <c r="DP55" i="8"/>
  <c r="DP54" i="8"/>
  <c r="DL55" i="8"/>
  <c r="DL54" i="8"/>
  <c r="DH55" i="8"/>
  <c r="DH54" i="8"/>
  <c r="DD55" i="8"/>
  <c r="DD54" i="8"/>
  <c r="CV55" i="8"/>
  <c r="CV54" i="8"/>
  <c r="DT11" i="8"/>
  <c r="DT26" i="8" s="1"/>
  <c r="DT37" i="8" s="1"/>
  <c r="DX22" i="8"/>
  <c r="DW24" i="8"/>
  <c r="DU10" i="8"/>
  <c r="DU7" i="8"/>
  <c r="DU8" i="8"/>
  <c r="DU9" i="8"/>
  <c r="EX5" i="2"/>
  <c r="DV6" i="8" s="1"/>
  <c r="EY3" i="2"/>
  <c r="A50" i="8"/>
  <c r="A18" i="10"/>
  <c r="L50" i="10"/>
  <c r="A31" i="10"/>
  <c r="A29" i="10"/>
  <c r="A28" i="10"/>
  <c r="A34" i="10"/>
  <c r="A15" i="10"/>
  <c r="A21" i="10"/>
  <c r="A44" i="10"/>
  <c r="A19" i="10"/>
  <c r="A16" i="10"/>
  <c r="A30" i="10"/>
  <c r="A17" i="10"/>
  <c r="A20" i="10"/>
  <c r="A32" i="10"/>
  <c r="M50" i="10"/>
  <c r="A35" i="10"/>
  <c r="A33" i="10"/>
  <c r="EB14" i="8"/>
  <c r="EH21" i="6"/>
  <c r="EI35" i="6"/>
  <c r="A35" i="6" s="1"/>
  <c r="EI40" i="6"/>
  <c r="A40" i="6" s="1"/>
  <c r="EI39" i="6"/>
  <c r="A39" i="6" s="1"/>
  <c r="EI38" i="6"/>
  <c r="A38" i="6" s="1"/>
  <c r="EI33" i="6"/>
  <c r="A33" i="6" s="1"/>
  <c r="EI28" i="6"/>
  <c r="A28" i="6" s="1"/>
  <c r="EI36" i="6"/>
  <c r="A36" i="6" s="1"/>
  <c r="EI34" i="6"/>
  <c r="A34" i="6" s="1"/>
  <c r="EI25" i="6"/>
  <c r="EI37" i="6"/>
  <c r="A37" i="6" s="1"/>
  <c r="EI31" i="6"/>
  <c r="A31" i="6" s="1"/>
  <c r="EI29" i="6"/>
  <c r="A29" i="6" s="1"/>
  <c r="EI26" i="6"/>
  <c r="A26" i="6" s="1"/>
  <c r="EI27" i="6"/>
  <c r="A27" i="6" s="1"/>
  <c r="EI30" i="6"/>
  <c r="A30" i="6" s="1"/>
  <c r="EI10" i="6"/>
  <c r="A10" i="6" s="1"/>
  <c r="EI5" i="6"/>
  <c r="EI32" i="6"/>
  <c r="A32" i="6" s="1"/>
  <c r="EI7" i="6"/>
  <c r="A7" i="6" s="1"/>
  <c r="EI6" i="6"/>
  <c r="A6" i="6" s="1"/>
  <c r="EI8" i="6"/>
  <c r="A8" i="6" s="1"/>
  <c r="EI9" i="6"/>
  <c r="A9" i="6" s="1"/>
  <c r="EI11" i="6"/>
  <c r="A11" i="6" s="1"/>
  <c r="EI12" i="6"/>
  <c r="A12" i="6" s="1"/>
  <c r="EI13" i="6"/>
  <c r="A13" i="6" s="1"/>
  <c r="EI14" i="6"/>
  <c r="A14" i="6" s="1"/>
  <c r="EI15" i="6"/>
  <c r="A15" i="6" s="1"/>
  <c r="EI16" i="6"/>
  <c r="A16" i="6" s="1"/>
  <c r="EI17" i="6"/>
  <c r="A17" i="6" s="1"/>
  <c r="EI18" i="6"/>
  <c r="A18" i="6" s="1"/>
  <c r="EI19" i="6"/>
  <c r="A19" i="6" s="1"/>
  <c r="EI20" i="6"/>
  <c r="A20" i="6" s="1"/>
  <c r="EI2" i="6"/>
  <c r="BK15" i="7"/>
  <c r="BK17" i="7"/>
  <c r="A40" i="8"/>
  <c r="D39" i="10"/>
  <c r="A39" i="10" s="1"/>
  <c r="EE51" i="8"/>
  <c r="EE55" i="8" s="1"/>
  <c r="EE59" i="8" s="1"/>
  <c r="A5" i="7"/>
  <c r="A22" i="10"/>
  <c r="EH41" i="6"/>
  <c r="EG45" i="6"/>
  <c r="EG49" i="6" s="1"/>
  <c r="EC45" i="8" s="1"/>
  <c r="DM55" i="8"/>
  <c r="DE55" i="8"/>
  <c r="DA55" i="8"/>
  <c r="A39" i="8"/>
  <c r="D38" i="10"/>
  <c r="A38" i="10" s="1"/>
  <c r="EE52" i="8"/>
  <c r="D51" i="10" s="1"/>
  <c r="A8" i="7"/>
  <c r="DQ55" i="8"/>
  <c r="CZ55" i="8"/>
  <c r="A14" i="10"/>
  <c r="DO55" i="8"/>
  <c r="DG55" i="8"/>
  <c r="DC55" i="8"/>
  <c r="CY55" i="8"/>
  <c r="BK53" i="8"/>
  <c r="BK67" i="8" s="1"/>
  <c r="A49" i="10"/>
  <c r="D52" i="10"/>
  <c r="E52" i="10"/>
  <c r="F52" i="10"/>
  <c r="G52" i="10"/>
  <c r="I52" i="10"/>
  <c r="J52" i="10"/>
  <c r="K52" i="10"/>
  <c r="L52" i="10"/>
  <c r="M52" i="10"/>
  <c r="D54" i="10"/>
  <c r="E54" i="10"/>
  <c r="F54" i="10"/>
  <c r="DY7" i="7"/>
  <c r="DY6" i="7" s="1"/>
  <c r="DY9" i="7" s="1"/>
  <c r="DZ4" i="7" s="1"/>
  <c r="M46" i="10" l="1"/>
  <c r="A46" i="10" s="1"/>
  <c r="A47" i="8"/>
  <c r="DS55" i="8"/>
  <c r="M54" i="10" s="1"/>
  <c r="DU11" i="8"/>
  <c r="DU26" i="8" s="1"/>
  <c r="DU37" i="8" s="1"/>
  <c r="DV10" i="8"/>
  <c r="DV8" i="8"/>
  <c r="DV9" i="8"/>
  <c r="DV7" i="8"/>
  <c r="EZ3" i="2"/>
  <c r="EY5" i="2"/>
  <c r="DW6" i="8" s="1"/>
  <c r="DY22" i="8"/>
  <c r="DX24" i="8"/>
  <c r="H52" i="10"/>
  <c r="A52" i="10" s="1"/>
  <c r="L54" i="10"/>
  <c r="A53" i="8"/>
  <c r="EI21" i="6"/>
  <c r="A5" i="6"/>
  <c r="EI41" i="6"/>
  <c r="A41" i="6" s="1"/>
  <c r="A25" i="6"/>
  <c r="EH45" i="6"/>
  <c r="EH49" i="6" s="1"/>
  <c r="ED45" i="8" s="1"/>
  <c r="BL51" i="8"/>
  <c r="BK16" i="7"/>
  <c r="BK19" i="7" s="1"/>
  <c r="BL14" i="7" s="1"/>
  <c r="EC14" i="8"/>
  <c r="D25" i="10"/>
  <c r="A26" i="8"/>
  <c r="E25" i="10"/>
  <c r="F25" i="10"/>
  <c r="G25" i="10"/>
  <c r="H25" i="10"/>
  <c r="I25" i="10"/>
  <c r="J25" i="10"/>
  <c r="K25" i="10"/>
  <c r="L25" i="10"/>
  <c r="M25" i="10"/>
  <c r="A24" i="8"/>
  <c r="D23" i="10"/>
  <c r="E23" i="10"/>
  <c r="F23" i="10"/>
  <c r="G23" i="10"/>
  <c r="H23" i="10"/>
  <c r="I23" i="10"/>
  <c r="J23" i="10"/>
  <c r="K23" i="10"/>
  <c r="L23" i="10"/>
  <c r="M23" i="10"/>
  <c r="D58" i="10"/>
  <c r="E58" i="10"/>
  <c r="F58" i="10"/>
  <c r="EE67" i="8"/>
  <c r="DZ7" i="7"/>
  <c r="DZ6" i="7" s="1"/>
  <c r="DZ9" i="7" s="1"/>
  <c r="EA4" i="7" s="1"/>
  <c r="BL55" i="8" l="1"/>
  <c r="BL59" i="8" s="1"/>
  <c r="BL54" i="8"/>
  <c r="DV11" i="8"/>
  <c r="DV26" i="8" s="1"/>
  <c r="DV37" i="8" s="1"/>
  <c r="DW8" i="8"/>
  <c r="DW10" i="8"/>
  <c r="DW9" i="8"/>
  <c r="DW7" i="8"/>
  <c r="DZ22" i="8"/>
  <c r="DY24" i="8"/>
  <c r="FA3" i="2"/>
  <c r="EZ5" i="2"/>
  <c r="DX6" i="8" s="1"/>
  <c r="ED14" i="8"/>
  <c r="BL15" i="7"/>
  <c r="BM51" i="8" s="1"/>
  <c r="BM54" i="8" s="1"/>
  <c r="BL17" i="7"/>
  <c r="EI45" i="6"/>
  <c r="A45" i="6" s="1"/>
  <c r="A21" i="6"/>
  <c r="A37" i="8"/>
  <c r="D36" i="10"/>
  <c r="E36" i="10"/>
  <c r="F36" i="10"/>
  <c r="G36" i="10"/>
  <c r="I36" i="10"/>
  <c r="J36" i="10"/>
  <c r="K36" i="10"/>
  <c r="L36" i="10"/>
  <c r="M36" i="10"/>
  <c r="A23" i="10"/>
  <c r="A25" i="10"/>
  <c r="D68" i="10"/>
  <c r="D66" i="10"/>
  <c r="E66" i="10"/>
  <c r="F66" i="10"/>
  <c r="G66" i="10"/>
  <c r="H66" i="10"/>
  <c r="EA7" i="7"/>
  <c r="EA6" i="7" s="1"/>
  <c r="EA9" i="7" s="1"/>
  <c r="EB4" i="7" s="1"/>
  <c r="DW11" i="8" l="1"/>
  <c r="DW26" i="8" s="1"/>
  <c r="DW37" i="8" s="1"/>
  <c r="FB3" i="2"/>
  <c r="FA5" i="2"/>
  <c r="DY6" i="8" s="1"/>
  <c r="EA22" i="8"/>
  <c r="DZ24" i="8"/>
  <c r="DX10" i="8"/>
  <c r="DX8" i="8"/>
  <c r="DX9" i="8"/>
  <c r="DX7" i="8"/>
  <c r="EI49" i="6"/>
  <c r="EE45" i="8" s="1"/>
  <c r="A45" i="8" s="1"/>
  <c r="B4" i="11" s="1"/>
  <c r="BL67" i="8"/>
  <c r="BL70" i="8"/>
  <c r="BM69" i="8" s="1"/>
  <c r="BL16" i="7"/>
  <c r="BL19" i="7" s="1"/>
  <c r="BM14" i="7" s="1"/>
  <c r="BM55" i="8"/>
  <c r="EE14" i="8"/>
  <c r="A36" i="10"/>
  <c r="G68" i="10"/>
  <c r="H68" i="10"/>
  <c r="E68" i="10"/>
  <c r="F68" i="10"/>
  <c r="EB7" i="7"/>
  <c r="EB6" i="7" s="1"/>
  <c r="EB9" i="7" s="1"/>
  <c r="EC4" i="7" s="1"/>
  <c r="DX11" i="8" l="1"/>
  <c r="DX26" i="8" s="1"/>
  <c r="DX37" i="8" s="1"/>
  <c r="EB22" i="8"/>
  <c r="EA24" i="8"/>
  <c r="DY10" i="8"/>
  <c r="DY9" i="8"/>
  <c r="DY7" i="8"/>
  <c r="DY8" i="8"/>
  <c r="FB5" i="2"/>
  <c r="DZ6" i="8" s="1"/>
  <c r="FC3" i="2"/>
  <c r="A49" i="6"/>
  <c r="D13" i="10"/>
  <c r="A13" i="10" s="1"/>
  <c r="A14" i="8"/>
  <c r="BM59" i="8"/>
  <c r="BM15" i="7"/>
  <c r="BM17" i="7"/>
  <c r="F14" i="5"/>
  <c r="G14" i="5" s="1"/>
  <c r="EC7" i="7"/>
  <c r="EC6" i="7" s="1"/>
  <c r="EC9" i="7" s="1"/>
  <c r="ED4" i="7" s="1"/>
  <c r="A4" i="7" s="1"/>
  <c r="DY11" i="8" l="1"/>
  <c r="DY26" i="8" s="1"/>
  <c r="DY37" i="8" s="1"/>
  <c r="DZ7" i="8"/>
  <c r="DZ9" i="8"/>
  <c r="DZ10" i="8"/>
  <c r="DZ8" i="8"/>
  <c r="FC5" i="2"/>
  <c r="EA6" i="8" s="1"/>
  <c r="FD3" i="2"/>
  <c r="EC22" i="8"/>
  <c r="EB24" i="8"/>
  <c r="D5" i="10"/>
  <c r="A5" i="10" s="1"/>
  <c r="A6" i="8"/>
  <c r="BM16" i="7"/>
  <c r="BM19" i="7" s="1"/>
  <c r="BN14" i="7" s="1"/>
  <c r="BN51" i="8"/>
  <c r="BN54" i="8" s="1"/>
  <c r="BM67" i="8"/>
  <c r="BM70" i="8"/>
  <c r="BN69" i="8" s="1"/>
  <c r="ED7" i="7"/>
  <c r="DZ11" i="8" l="1"/>
  <c r="DZ26" i="8" s="1"/>
  <c r="DZ37" i="8" s="1"/>
  <c r="FE3" i="2"/>
  <c r="FD5" i="2"/>
  <c r="EB6" i="8" s="1"/>
  <c r="EA8" i="8"/>
  <c r="EA9" i="8"/>
  <c r="EA7" i="8"/>
  <c r="EA10" i="8"/>
  <c r="ED22" i="8"/>
  <c r="EC24" i="8"/>
  <c r="D10" i="10"/>
  <c r="A10" i="10" s="1"/>
  <c r="A11" i="8"/>
  <c r="BN55" i="8"/>
  <c r="BN17" i="7"/>
  <c r="BN15" i="7"/>
  <c r="D9" i="10"/>
  <c r="A9" i="10" s="1"/>
  <c r="A10" i="8"/>
  <c r="D7" i="10"/>
  <c r="A7" i="10" s="1"/>
  <c r="A8" i="8"/>
  <c r="D8" i="10"/>
  <c r="A8" i="10" s="1"/>
  <c r="A9" i="8"/>
  <c r="A7" i="8"/>
  <c r="D6" i="10"/>
  <c r="A6" i="10" s="1"/>
  <c r="ED6" i="7"/>
  <c r="A7" i="7"/>
  <c r="EA11" i="8" l="1"/>
  <c r="EA26" i="8" s="1"/>
  <c r="EA37" i="8" s="1"/>
  <c r="EE22" i="8"/>
  <c r="ED24" i="8"/>
  <c r="EB10" i="8"/>
  <c r="EB9" i="8"/>
  <c r="EB8" i="8"/>
  <c r="EB7" i="8"/>
  <c r="FF3" i="2"/>
  <c r="FE5" i="2"/>
  <c r="EC6" i="8" s="1"/>
  <c r="BN16" i="7"/>
  <c r="BN19" i="7" s="1"/>
  <c r="BO14" i="7" s="1"/>
  <c r="BO51" i="8"/>
  <c r="BN59" i="8"/>
  <c r="ED9" i="7"/>
  <c r="A6" i="7"/>
  <c r="A2" i="7" s="1"/>
  <c r="B2" i="11" s="1"/>
  <c r="BO55" i="8" l="1"/>
  <c r="BO54" i="8"/>
  <c r="EB11" i="8"/>
  <c r="EB26" i="8" s="1"/>
  <c r="EB37" i="8" s="1"/>
  <c r="FF5" i="2"/>
  <c r="ED6" i="8" s="1"/>
  <c r="FG3" i="2"/>
  <c r="FG5" i="2" s="1"/>
  <c r="EE6" i="8" s="1"/>
  <c r="EC7" i="8"/>
  <c r="EC9" i="8"/>
  <c r="EC10" i="8"/>
  <c r="EC8" i="8"/>
  <c r="A22" i="8"/>
  <c r="EE24" i="8"/>
  <c r="BO17" i="7"/>
  <c r="BO15" i="7"/>
  <c r="BN67" i="8"/>
  <c r="BN70" i="8"/>
  <c r="BO69" i="8" s="1"/>
  <c r="EC11" i="8" l="1"/>
  <c r="EC26" i="8" s="1"/>
  <c r="EC37" i="8" s="1"/>
  <c r="EE8" i="8"/>
  <c r="EE9" i="8"/>
  <c r="EE10" i="8"/>
  <c r="EE7" i="8"/>
  <c r="ED7" i="8"/>
  <c r="ED8" i="8"/>
  <c r="ED9" i="8"/>
  <c r="ED10" i="8"/>
  <c r="BO59" i="8"/>
  <c r="BO67" i="8" s="1"/>
  <c r="BP51" i="8"/>
  <c r="BP54" i="8" s="1"/>
  <c r="BO16" i="7"/>
  <c r="BO19" i="7" s="1"/>
  <c r="BP14" i="7" s="1"/>
  <c r="EE11" i="8" l="1"/>
  <c r="EE26" i="8" s="1"/>
  <c r="EE37" i="8" s="1"/>
  <c r="ED11" i="8"/>
  <c r="ED26" i="8" s="1"/>
  <c r="ED37" i="8" s="1"/>
  <c r="BO70" i="8"/>
  <c r="BP69" i="8" s="1"/>
  <c r="BP15" i="7"/>
  <c r="BP17" i="7"/>
  <c r="BP55" i="8"/>
  <c r="BQ51" i="8" l="1"/>
  <c r="BQ54" i="8" s="1"/>
  <c r="BP16" i="7"/>
  <c r="BP19" i="7" s="1"/>
  <c r="BQ14" i="7" s="1"/>
  <c r="BP59" i="8"/>
  <c r="BP70" i="8" l="1"/>
  <c r="BQ69" i="8" s="1"/>
  <c r="BP67" i="8"/>
  <c r="BQ15" i="7"/>
  <c r="BQ17" i="7"/>
  <c r="BQ55" i="8"/>
  <c r="BQ59" i="8" l="1"/>
  <c r="BQ67" i="8" s="1"/>
  <c r="BQ16" i="7"/>
  <c r="BQ19" i="7" s="1"/>
  <c r="BR14" i="7" s="1"/>
  <c r="BR51" i="8"/>
  <c r="BR55" i="8" l="1"/>
  <c r="BR54" i="8"/>
  <c r="BQ70" i="8"/>
  <c r="BR69" i="8" s="1"/>
  <c r="BR15" i="7"/>
  <c r="BR17" i="7"/>
  <c r="BR59" i="8" l="1"/>
  <c r="BR70" i="8" s="1"/>
  <c r="BS69" i="8" s="1"/>
  <c r="BR16" i="7"/>
  <c r="BR19" i="7" s="1"/>
  <c r="BS14" i="7" s="1"/>
  <c r="BS51" i="8"/>
  <c r="BR67" i="8" l="1"/>
  <c r="BS55" i="8"/>
  <c r="BS59" i="8" s="1"/>
  <c r="BS67" i="8" s="1"/>
  <c r="BS54" i="8"/>
  <c r="BS17" i="7"/>
  <c r="BS15" i="7"/>
  <c r="BS70" i="8" l="1"/>
  <c r="BT69" i="8" s="1"/>
  <c r="BS16" i="7"/>
  <c r="BS19" i="7" s="1"/>
  <c r="BT14" i="7" s="1"/>
  <c r="BT51" i="8"/>
  <c r="BT54" i="8" s="1"/>
  <c r="BT55" i="8" l="1"/>
  <c r="BT59" i="8" s="1"/>
  <c r="BT70" i="8" s="1"/>
  <c r="BU69" i="8" s="1"/>
  <c r="BT17" i="7"/>
  <c r="BT15" i="7"/>
  <c r="BT67" i="8" l="1"/>
  <c r="BT16" i="7"/>
  <c r="BT19" i="7" s="1"/>
  <c r="BU14" i="7" s="1"/>
  <c r="BU51" i="8"/>
  <c r="H50" i="10"/>
  <c r="D50" i="10"/>
  <c r="E50" i="10"/>
  <c r="F50" i="10"/>
  <c r="BU55" i="8" l="1"/>
  <c r="BU59" i="8" s="1"/>
  <c r="BU67" i="8" s="1"/>
  <c r="BU54" i="8"/>
  <c r="BU15" i="7"/>
  <c r="BU17" i="7"/>
  <c r="BU70" i="8" l="1"/>
  <c r="BV69" i="8" s="1"/>
  <c r="BV51" i="8"/>
  <c r="BV54" i="8" s="1"/>
  <c r="BU16" i="7"/>
  <c r="BU19" i="7" s="1"/>
  <c r="BV14" i="7" s="1"/>
  <c r="BV17" i="7" l="1"/>
  <c r="BV15" i="7"/>
  <c r="BV55" i="8"/>
  <c r="BV59" i="8" l="1"/>
  <c r="BW51" i="8"/>
  <c r="BW54" i="8" s="1"/>
  <c r="BV16" i="7"/>
  <c r="BV19" i="7" s="1"/>
  <c r="BW14" i="7" s="1"/>
  <c r="BW17" i="7" l="1"/>
  <c r="BW15" i="7"/>
  <c r="BW55" i="8"/>
  <c r="I50" i="10"/>
  <c r="BV70" i="8"/>
  <c r="BW69" i="8" s="1"/>
  <c r="BV67" i="8"/>
  <c r="BW59" i="8" l="1"/>
  <c r="BW70" i="8" s="1"/>
  <c r="BX69" i="8" s="1"/>
  <c r="BW16" i="7"/>
  <c r="BW19" i="7" s="1"/>
  <c r="BX14" i="7" s="1"/>
  <c r="BX51" i="8"/>
  <c r="BX54" i="8" s="1"/>
  <c r="BX55" i="8" l="1"/>
  <c r="BW67" i="8"/>
  <c r="BX15" i="7"/>
  <c r="BX17" i="7"/>
  <c r="BX59" i="8" l="1"/>
  <c r="BY51" i="8"/>
  <c r="BY54" i="8" s="1"/>
  <c r="BX16" i="7"/>
  <c r="BX19" i="7" s="1"/>
  <c r="BY14" i="7" s="1"/>
  <c r="BY15" i="7" l="1"/>
  <c r="BY17" i="7"/>
  <c r="BX67" i="8"/>
  <c r="BX70" i="8"/>
  <c r="BY69" i="8" s="1"/>
  <c r="BY55" i="8"/>
  <c r="BY59" i="8" l="1"/>
  <c r="BZ51" i="8"/>
  <c r="BZ54" i="8" s="1"/>
  <c r="BY16" i="7"/>
  <c r="BY19" i="7" s="1"/>
  <c r="BZ14" i="7" s="1"/>
  <c r="BZ15" i="7" l="1"/>
  <c r="BZ17" i="7"/>
  <c r="BY70" i="8"/>
  <c r="BZ69" i="8" s="1"/>
  <c r="BY67" i="8"/>
  <c r="BZ55" i="8"/>
  <c r="BZ59" i="8" l="1"/>
  <c r="BZ70" i="8" s="1"/>
  <c r="CA69" i="8" s="1"/>
  <c r="BZ16" i="7"/>
  <c r="BZ19" i="7" s="1"/>
  <c r="CA14" i="7" s="1"/>
  <c r="CA51" i="8"/>
  <c r="CA54" i="8" s="1"/>
  <c r="CA55" i="8" l="1"/>
  <c r="CA17" i="7"/>
  <c r="CA15" i="7"/>
  <c r="BZ67" i="8"/>
  <c r="CA16" i="7" l="1"/>
  <c r="CA19" i="7" s="1"/>
  <c r="CB14" i="7" s="1"/>
  <c r="CB51" i="8"/>
  <c r="CB54" i="8" s="1"/>
  <c r="CA59" i="8"/>
  <c r="CA70" i="8" l="1"/>
  <c r="CB69" i="8" s="1"/>
  <c r="CA67" i="8"/>
  <c r="CB55" i="8"/>
  <c r="CB15" i="7"/>
  <c r="CB17" i="7"/>
  <c r="CB59" i="8" l="1"/>
  <c r="CB70" i="8" s="1"/>
  <c r="CC69" i="8" s="1"/>
  <c r="CB16" i="7"/>
  <c r="CB19" i="7" s="1"/>
  <c r="CC14" i="7" s="1"/>
  <c r="CC51" i="8"/>
  <c r="CC54" i="8" s="1"/>
  <c r="CC55" i="8" l="1"/>
  <c r="CC59" i="8" s="1"/>
  <c r="CC67" i="8" s="1"/>
  <c r="CC17" i="7"/>
  <c r="CC15" i="7"/>
  <c r="CB67" i="8"/>
  <c r="CC70" i="8" l="1"/>
  <c r="CD69" i="8" s="1"/>
  <c r="CC16" i="7"/>
  <c r="CC19" i="7" s="1"/>
  <c r="CD14" i="7" s="1"/>
  <c r="CD51" i="8"/>
  <c r="CD55" i="8" l="1"/>
  <c r="CD59" i="8" s="1"/>
  <c r="CD67" i="8" s="1"/>
  <c r="CD54" i="8"/>
  <c r="CD17" i="7"/>
  <c r="CD15" i="7"/>
  <c r="CD70" i="8" l="1"/>
  <c r="CE69" i="8" s="1"/>
  <c r="CE51" i="8"/>
  <c r="CE54" i="8" s="1"/>
  <c r="CD16" i="7"/>
  <c r="CD19" i="7" s="1"/>
  <c r="CE14" i="7" s="1"/>
  <c r="CE15" i="7" l="1"/>
  <c r="CE17" i="7"/>
  <c r="CE55" i="8"/>
  <c r="CE59" i="8" s="1"/>
  <c r="CE70" i="8" s="1"/>
  <c r="CF69" i="8" s="1"/>
  <c r="CE67" i="8" l="1"/>
  <c r="CE16" i="7"/>
  <c r="CE19" i="7" s="1"/>
  <c r="CF14" i="7" s="1"/>
  <c r="CF51" i="8"/>
  <c r="CF55" i="8" l="1"/>
  <c r="CF59" i="8" s="1"/>
  <c r="CF67" i="8" s="1"/>
  <c r="CF54" i="8"/>
  <c r="CF17" i="7"/>
  <c r="CF15" i="7"/>
  <c r="CF70" i="8" l="1"/>
  <c r="CG69" i="8" s="1"/>
  <c r="CF16" i="7"/>
  <c r="CF19" i="7" s="1"/>
  <c r="CG14" i="7" s="1"/>
  <c r="CG51" i="8"/>
  <c r="CG54" i="8" s="1"/>
  <c r="CG55" i="8" l="1"/>
  <c r="CG59" i="8" s="1"/>
  <c r="CG70" i="8" s="1"/>
  <c r="CH69" i="8" s="1"/>
  <c r="CG17" i="7"/>
  <c r="CG15" i="7"/>
  <c r="CG16" i="7" l="1"/>
  <c r="CG19" i="7" s="1"/>
  <c r="CH14" i="7" s="1"/>
  <c r="CH51" i="8"/>
  <c r="CH54" i="8" s="1"/>
  <c r="CG67" i="8"/>
  <c r="CH17" i="7" l="1"/>
  <c r="CH15" i="7"/>
  <c r="CH55" i="8"/>
  <c r="CH59" i="8" s="1"/>
  <c r="CH70" i="8" s="1"/>
  <c r="CI69" i="8" s="1"/>
  <c r="CI51" i="8" l="1"/>
  <c r="CI54" i="8" s="1"/>
  <c r="CH16" i="7"/>
  <c r="CH67" i="8"/>
  <c r="CH18" i="7" l="1"/>
  <c r="CI52" i="8" s="1"/>
  <c r="J51" i="10" s="1"/>
  <c r="CI55" i="8"/>
  <c r="CI59" i="8" s="1"/>
  <c r="CI70" i="8" s="1"/>
  <c r="CJ69" i="8" s="1"/>
  <c r="CI67" i="8" l="1"/>
  <c r="CH19" i="7"/>
  <c r="CI14" i="7" s="1"/>
  <c r="CI15" i="7" l="1"/>
  <c r="CI17" i="7"/>
  <c r="CJ51" i="8" l="1"/>
  <c r="CJ54" i="8" s="1"/>
  <c r="CI16" i="7"/>
  <c r="CI19" i="7" s="1"/>
  <c r="CJ14" i="7" s="1"/>
  <c r="CJ17" i="7" l="1"/>
  <c r="CJ15" i="7"/>
  <c r="CJ55" i="8"/>
  <c r="CJ59" i="8" l="1"/>
  <c r="CJ16" i="7"/>
  <c r="CJ19" i="7" s="1"/>
  <c r="CK14" i="7" s="1"/>
  <c r="CK51" i="8"/>
  <c r="CK54" i="8" s="1"/>
  <c r="CK55" i="8" l="1"/>
  <c r="CK15" i="7"/>
  <c r="CK17" i="7"/>
  <c r="CJ70" i="8"/>
  <c r="CK69" i="8" s="1"/>
  <c r="CJ67" i="8"/>
  <c r="CL51" i="8" l="1"/>
  <c r="CL54" i="8" s="1"/>
  <c r="CK16" i="7"/>
  <c r="CK19" i="7" s="1"/>
  <c r="CL14" i="7" s="1"/>
  <c r="CK59" i="8"/>
  <c r="CK67" i="8" l="1"/>
  <c r="CL17" i="7"/>
  <c r="CL15" i="7"/>
  <c r="CL55" i="8"/>
  <c r="CK70" i="8"/>
  <c r="CL69" i="8" s="1"/>
  <c r="CL59" i="8" l="1"/>
  <c r="CL70" i="8" s="1"/>
  <c r="CM69" i="8" s="1"/>
  <c r="CL16" i="7"/>
  <c r="CL19" i="7" s="1"/>
  <c r="CM14" i="7" s="1"/>
  <c r="CM51" i="8"/>
  <c r="CM54" i="8" s="1"/>
  <c r="CM55" i="8" l="1"/>
  <c r="CM17" i="7"/>
  <c r="CM15" i="7"/>
  <c r="CL67" i="8"/>
  <c r="CM16" i="7" l="1"/>
  <c r="CM19" i="7" s="1"/>
  <c r="CN14" i="7" s="1"/>
  <c r="CN51" i="8"/>
  <c r="CN54" i="8" s="1"/>
  <c r="CM59" i="8"/>
  <c r="CM70" i="8" l="1"/>
  <c r="CN69" i="8" s="1"/>
  <c r="CM67" i="8"/>
  <c r="CN55" i="8"/>
  <c r="CN17" i="7"/>
  <c r="CN15" i="7"/>
  <c r="CO51" i="8" l="1"/>
  <c r="CN16" i="7"/>
  <c r="CN19" i="7" s="1"/>
  <c r="CO14" i="7" s="1"/>
  <c r="CN59" i="8"/>
  <c r="CO55" i="8" l="1"/>
  <c r="CO54" i="8"/>
  <c r="CN67" i="8"/>
  <c r="CO17" i="7"/>
  <c r="CO15" i="7"/>
  <c r="CN70" i="8"/>
  <c r="CO69" i="8" s="1"/>
  <c r="CO59" i="8" l="1"/>
  <c r="CO67" i="8" s="1"/>
  <c r="CP51" i="8"/>
  <c r="CP54" i="8" s="1"/>
  <c r="CO16" i="7"/>
  <c r="CO19" i="7" s="1"/>
  <c r="CP14" i="7" s="1"/>
  <c r="CO70" i="8" l="1"/>
  <c r="CP69" i="8" s="1"/>
  <c r="CP15" i="7"/>
  <c r="CP17" i="7"/>
  <c r="CP55" i="8"/>
  <c r="CP59" i="8" l="1"/>
  <c r="CP70" i="8" s="1"/>
  <c r="CQ69" i="8" s="1"/>
  <c r="CQ51" i="8"/>
  <c r="CQ54" i="8" s="1"/>
  <c r="CP16" i="7"/>
  <c r="CP19" i="7" s="1"/>
  <c r="CQ14" i="7" s="1"/>
  <c r="CP67" i="8" l="1"/>
  <c r="CQ15" i="7"/>
  <c r="CQ17" i="7"/>
  <c r="CQ55" i="8"/>
  <c r="CQ59" i="8" s="1"/>
  <c r="CQ70" i="8" s="1"/>
  <c r="CR69" i="8" s="1"/>
  <c r="CQ67" i="8" l="1"/>
  <c r="CR51" i="8"/>
  <c r="CR54" i="8" s="1"/>
  <c r="CQ16" i="7"/>
  <c r="CQ19" i="7" s="1"/>
  <c r="CR14" i="7" s="1"/>
  <c r="CR17" i="7" l="1"/>
  <c r="CR15" i="7"/>
  <c r="CR55" i="8"/>
  <c r="CR59" i="8" s="1"/>
  <c r="CR70" i="8" s="1"/>
  <c r="CS69" i="8" s="1"/>
  <c r="CS51" i="8" l="1"/>
  <c r="CS54" i="8" s="1"/>
  <c r="CR16" i="7"/>
  <c r="CR19" i="7" s="1"/>
  <c r="CS14" i="7" s="1"/>
  <c r="CR67" i="8"/>
  <c r="CS15" i="7" l="1"/>
  <c r="CS17" i="7"/>
  <c r="CS55" i="8"/>
  <c r="CS59" i="8" s="1"/>
  <c r="CS70" i="8" s="1"/>
  <c r="CT69" i="8" s="1"/>
  <c r="CS67" i="8" l="1"/>
  <c r="CS16" i="7"/>
  <c r="CT51" i="8"/>
  <c r="CT54" i="8" s="1"/>
  <c r="CS19" i="7" l="1"/>
  <c r="CT14" i="7" s="1"/>
  <c r="CT55" i="8"/>
  <c r="CT59" i="8" s="1"/>
  <c r="CT70" i="8" s="1"/>
  <c r="CU69" i="8" s="1"/>
  <c r="DT41" i="8"/>
  <c r="DT43" i="8" s="1"/>
  <c r="DU41" i="8"/>
  <c r="DU43" i="8" s="1"/>
  <c r="DV41" i="8"/>
  <c r="DV43" i="8" s="1"/>
  <c r="DW41" i="8"/>
  <c r="DW43" i="8" s="1"/>
  <c r="DX41" i="8"/>
  <c r="DX43" i="8" s="1"/>
  <c r="DY41" i="8"/>
  <c r="DY43" i="8" s="1"/>
  <c r="DZ41" i="8"/>
  <c r="DZ43" i="8" s="1"/>
  <c r="EA41" i="8"/>
  <c r="EA43" i="8" s="1"/>
  <c r="EB41" i="8"/>
  <c r="EB43" i="8" s="1"/>
  <c r="EC41" i="8"/>
  <c r="EC43" i="8" s="1"/>
  <c r="ED41" i="8"/>
  <c r="ED43" i="8" s="1"/>
  <c r="CT67" i="8" l="1"/>
  <c r="CT17" i="7"/>
  <c r="CT15" i="7"/>
  <c r="D37" i="10"/>
  <c r="E37" i="10"/>
  <c r="F37" i="10"/>
  <c r="G37" i="10"/>
  <c r="H37" i="10"/>
  <c r="I37" i="10"/>
  <c r="J37" i="10"/>
  <c r="K37" i="10"/>
  <c r="L37" i="10"/>
  <c r="M37" i="10"/>
  <c r="EE41" i="8"/>
  <c r="A38" i="8"/>
  <c r="CU51" i="8" l="1"/>
  <c r="CU54" i="8" s="1"/>
  <c r="A54" i="8" s="1"/>
  <c r="CT16" i="7"/>
  <c r="A15" i="7"/>
  <c r="D40" i="10"/>
  <c r="E40" i="10"/>
  <c r="F40" i="10"/>
  <c r="I40" i="10"/>
  <c r="J40" i="10"/>
  <c r="K40" i="10"/>
  <c r="L40" i="10"/>
  <c r="M40" i="10"/>
  <c r="A37" i="10"/>
  <c r="EE43" i="8"/>
  <c r="I42" i="10" s="1"/>
  <c r="A41" i="8"/>
  <c r="CT19" i="7" l="1"/>
  <c r="CU14" i="7" s="1"/>
  <c r="CU55" i="8"/>
  <c r="A51" i="8"/>
  <c r="J50" i="10"/>
  <c r="K50" i="10"/>
  <c r="D42" i="10"/>
  <c r="B25" i="1" s="1"/>
  <c r="F42" i="10"/>
  <c r="J42" i="10"/>
  <c r="L42" i="10"/>
  <c r="M42" i="10"/>
  <c r="A40" i="10"/>
  <c r="A43" i="8"/>
  <c r="DS64" i="8"/>
  <c r="M63" i="10" s="1"/>
  <c r="A63" i="10" s="1"/>
  <c r="A50" i="10" l="1"/>
  <c r="I54" i="10"/>
  <c r="CU59" i="8"/>
  <c r="A55" i="8"/>
  <c r="J54" i="10"/>
  <c r="K54" i="10"/>
  <c r="CU17" i="7"/>
  <c r="E4" i="1"/>
  <c r="E5" i="1"/>
  <c r="A42" i="10"/>
  <c r="A64" i="8"/>
  <c r="H21" i="1" s="1"/>
  <c r="H24" i="1" s="1"/>
  <c r="DS65" i="8"/>
  <c r="M64" i="10" s="1"/>
  <c r="A64" i="10" s="1"/>
  <c r="CU16" i="7" l="1"/>
  <c r="CU70" i="8"/>
  <c r="CV69" i="8" s="1"/>
  <c r="CU67" i="8"/>
  <c r="A54" i="10"/>
  <c r="H22" i="1"/>
  <c r="H20" i="1"/>
  <c r="H3" i="1"/>
  <c r="A65" i="8"/>
  <c r="H23" i="1" s="1"/>
  <c r="CV59" i="8" l="1"/>
  <c r="CU19" i="7"/>
  <c r="CV14" i="7" s="1"/>
  <c r="K66" i="10"/>
  <c r="CV67" i="8" l="1"/>
  <c r="CV70" i="8"/>
  <c r="CW69" i="8" s="1"/>
  <c r="CV17" i="7"/>
  <c r="CV16" i="7" s="1"/>
  <c r="CV19" i="7" s="1"/>
  <c r="CW14" i="7" s="1"/>
  <c r="I58" i="10"/>
  <c r="J58" i="10"/>
  <c r="K58" i="10"/>
  <c r="CW59" i="8" l="1"/>
  <c r="I68" i="10"/>
  <c r="CW17" i="7"/>
  <c r="CW16" i="7" s="1"/>
  <c r="CW19" i="7" s="1"/>
  <c r="CX14" i="7" s="1"/>
  <c r="CW67" i="8" l="1"/>
  <c r="CW70" i="8"/>
  <c r="CX69" i="8" s="1"/>
  <c r="CX17" i="7"/>
  <c r="CX16" i="7" s="1"/>
  <c r="CX19" i="7" s="1"/>
  <c r="CY14" i="7" s="1"/>
  <c r="CX59" i="8" l="1"/>
  <c r="CY17" i="7"/>
  <c r="CY16" i="7" s="1"/>
  <c r="CY19" i="7" s="1"/>
  <c r="CZ14" i="7" s="1"/>
  <c r="CX67" i="8" l="1"/>
  <c r="CX70" i="8"/>
  <c r="CY69" i="8" s="1"/>
  <c r="CZ17" i="7"/>
  <c r="CZ16" i="7" s="1"/>
  <c r="CZ19" i="7" s="1"/>
  <c r="DA14" i="7" s="1"/>
  <c r="CY59" i="8" l="1"/>
  <c r="DA17" i="7"/>
  <c r="DA16" i="7" s="1"/>
  <c r="DA19" i="7" s="1"/>
  <c r="DB14" i="7" s="1"/>
  <c r="CY67" i="8" l="1"/>
  <c r="CY70" i="8"/>
  <c r="CZ69" i="8" s="1"/>
  <c r="DB17" i="7"/>
  <c r="DB16" i="7" s="1"/>
  <c r="DB19" i="7" s="1"/>
  <c r="DC14" i="7" s="1"/>
  <c r="CZ59" i="8" l="1"/>
  <c r="DC17" i="7"/>
  <c r="DC16" i="7" s="1"/>
  <c r="DC19" i="7" s="1"/>
  <c r="DD14" i="7" s="1"/>
  <c r="CZ67" i="8" l="1"/>
  <c r="CZ70" i="8"/>
  <c r="DA69" i="8" s="1"/>
  <c r="DD17" i="7"/>
  <c r="DD16" i="7" s="1"/>
  <c r="DD19" i="7" s="1"/>
  <c r="DE14" i="7" s="1"/>
  <c r="DA59" i="8" l="1"/>
  <c r="DE17" i="7"/>
  <c r="DE16" i="7" s="1"/>
  <c r="DE19" i="7" s="1"/>
  <c r="DF14" i="7" s="1"/>
  <c r="DA67" i="8" l="1"/>
  <c r="DA70" i="8"/>
  <c r="DB69" i="8" s="1"/>
  <c r="DF17" i="7"/>
  <c r="DF16" i="7" s="1"/>
  <c r="DF19" i="7" s="1"/>
  <c r="DG14" i="7" s="1"/>
  <c r="DG17" i="7" s="1"/>
  <c r="DG16" i="7" s="1"/>
  <c r="DG19" i="7" s="1"/>
  <c r="DH14" i="7" s="1"/>
  <c r="DB59" i="8" l="1"/>
  <c r="DB67" i="8" s="1"/>
  <c r="DH17" i="7"/>
  <c r="DH16" i="7" s="1"/>
  <c r="DH19" i="7" s="1"/>
  <c r="DI14" i="7" s="1"/>
  <c r="DB70" i="8" l="1"/>
  <c r="DC69" i="8" s="1"/>
  <c r="DI17" i="7"/>
  <c r="DI16" i="7" s="1"/>
  <c r="DI19" i="7" s="1"/>
  <c r="DJ14" i="7" s="1"/>
  <c r="DC59" i="8" l="1"/>
  <c r="DC67" i="8" s="1"/>
  <c r="DJ17" i="7"/>
  <c r="DJ16" i="7" s="1"/>
  <c r="DJ19" i="7" s="1"/>
  <c r="DK14" i="7" s="1"/>
  <c r="DC70" i="8" l="1"/>
  <c r="DD69" i="8" s="1"/>
  <c r="DK17" i="7"/>
  <c r="DK16" i="7" s="1"/>
  <c r="DK19" i="7" s="1"/>
  <c r="DL14" i="7" s="1"/>
  <c r="DD59" i="8" l="1"/>
  <c r="DD67" i="8" s="1"/>
  <c r="DL17" i="7"/>
  <c r="DL16" i="7" s="1"/>
  <c r="DL19" i="7" s="1"/>
  <c r="DM14" i="7" s="1"/>
  <c r="DD70" i="8" l="1"/>
  <c r="DE69" i="8" s="1"/>
  <c r="DM17" i="7"/>
  <c r="DM16" i="7" s="1"/>
  <c r="DM19" i="7" s="1"/>
  <c r="DN14" i="7" s="1"/>
  <c r="DE59" i="8" l="1"/>
  <c r="DE67" i="8" s="1"/>
  <c r="DN17" i="7"/>
  <c r="DN16" i="7" s="1"/>
  <c r="DN19" i="7" s="1"/>
  <c r="DO14" i="7" s="1"/>
  <c r="DE70" i="8" l="1"/>
  <c r="DF69" i="8" s="1"/>
  <c r="DO17" i="7"/>
  <c r="DO16" i="7" s="1"/>
  <c r="DO19" i="7" s="1"/>
  <c r="DP14" i="7" s="1"/>
  <c r="DF59" i="8" l="1"/>
  <c r="DF67" i="8" s="1"/>
  <c r="DP17" i="7"/>
  <c r="DP16" i="7" s="1"/>
  <c r="DP19" i="7" s="1"/>
  <c r="DQ14" i="7" s="1"/>
  <c r="DF70" i="8" l="1"/>
  <c r="DG69" i="8" s="1"/>
  <c r="DQ17" i="7"/>
  <c r="DQ16" i="7" s="1"/>
  <c r="DQ19" i="7" s="1"/>
  <c r="DR14" i="7" s="1"/>
  <c r="DG59" i="8" l="1"/>
  <c r="DG67" i="8" s="1"/>
  <c r="DR17" i="7"/>
  <c r="A14" i="7"/>
  <c r="DG70" i="8" l="1"/>
  <c r="DH69" i="8" s="1"/>
  <c r="DH59" i="8"/>
  <c r="DR16" i="7"/>
  <c r="A17" i="7"/>
  <c r="DH67" i="8" l="1"/>
  <c r="DH70" i="8"/>
  <c r="DI69" i="8" s="1"/>
  <c r="A16" i="7"/>
  <c r="DR18" i="7"/>
  <c r="DR19" i="7" s="1"/>
  <c r="DI59" i="8" l="1"/>
  <c r="A18" i="7"/>
  <c r="A12" i="7" s="1"/>
  <c r="B3" i="11" s="1"/>
  <c r="DS52" i="8"/>
  <c r="DI67" i="8" l="1"/>
  <c r="DI70" i="8"/>
  <c r="DJ69" i="8" s="1"/>
  <c r="M51" i="10"/>
  <c r="A51" i="10" s="1"/>
  <c r="A52" i="8"/>
  <c r="DJ59" i="8" l="1"/>
  <c r="I66" i="10"/>
  <c r="J66" i="10"/>
  <c r="DJ67" i="8" l="1"/>
  <c r="DJ70" i="8"/>
  <c r="DK69" i="8" s="1"/>
  <c r="K68" i="10"/>
  <c r="J68" i="10"/>
  <c r="DK59" i="8" l="1"/>
  <c r="DK67" i="8" l="1"/>
  <c r="DK70" i="8"/>
  <c r="DL69" i="8" s="1"/>
  <c r="DL59" i="8" l="1"/>
  <c r="DL70" i="8" s="1"/>
  <c r="DM69" i="8" s="1"/>
  <c r="DM59" i="8" l="1"/>
  <c r="DM67" i="8" s="1"/>
  <c r="DL67" i="8"/>
  <c r="DM70" i="8" l="1"/>
  <c r="DN69" i="8" s="1"/>
  <c r="DN59" i="8" l="1"/>
  <c r="DN67" i="8" s="1"/>
  <c r="DN70" i="8" l="1"/>
  <c r="DO69" i="8" s="1"/>
  <c r="DO59" i="8" l="1"/>
  <c r="DO67" i="8" s="1"/>
  <c r="DO70" i="8" l="1"/>
  <c r="DP69" i="8" s="1"/>
  <c r="DP59" i="8" l="1"/>
  <c r="DP67" i="8" s="1"/>
  <c r="DP70" i="8" l="1"/>
  <c r="DQ69" i="8" s="1"/>
  <c r="DQ59" i="8" l="1"/>
  <c r="DQ67" i="8" s="1"/>
  <c r="DQ70" i="8" l="1"/>
  <c r="DR69" i="8" s="1"/>
  <c r="DR59" i="8" l="1"/>
  <c r="DR67" i="8" s="1"/>
  <c r="DR70" i="8" l="1"/>
  <c r="DS69" i="8" s="1"/>
  <c r="DS59" i="8" s="1"/>
  <c r="DS70" i="8" l="1"/>
  <c r="DT69" i="8" s="1"/>
  <c r="DT70" i="8" s="1"/>
  <c r="DU69" i="8" s="1"/>
  <c r="DU70" i="8" s="1"/>
  <c r="DV69" i="8" s="1"/>
  <c r="DV70" i="8" s="1"/>
  <c r="DW69" i="8" s="1"/>
  <c r="DW70" i="8" s="1"/>
  <c r="DX69" i="8" s="1"/>
  <c r="DX70" i="8" s="1"/>
  <c r="DY69" i="8" s="1"/>
  <c r="DY70" i="8" s="1"/>
  <c r="DZ69" i="8" s="1"/>
  <c r="DZ70" i="8" s="1"/>
  <c r="EA69" i="8" s="1"/>
  <c r="EA70" i="8" s="1"/>
  <c r="EB69" i="8" s="1"/>
  <c r="EB70" i="8" s="1"/>
  <c r="EC69" i="8" s="1"/>
  <c r="EC70" i="8" s="1"/>
  <c r="ED69" i="8" s="1"/>
  <c r="ED70" i="8" s="1"/>
  <c r="EE69" i="8" s="1"/>
  <c r="EE70" i="8" s="1"/>
  <c r="L58" i="10"/>
  <c r="A59" i="8"/>
  <c r="DS67" i="8"/>
  <c r="M58" i="10"/>
  <c r="A58" i="10" l="1"/>
  <c r="L68" i="10"/>
  <c r="L66" i="10"/>
  <c r="M68" i="10" s="1"/>
  <c r="K14" i="1"/>
  <c r="B5" i="11" s="1"/>
  <c r="A67" i="8"/>
  <c r="K23" i="1"/>
  <c r="H26" i="1" s="1"/>
  <c r="M66" i="10"/>
  <c r="K22" i="1"/>
  <c r="G40" i="1" l="1"/>
  <c r="G32" i="1"/>
  <c r="H25" i="1"/>
  <c r="A66" i="10"/>
  <c r="K24" i="1"/>
  <c r="H2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<sst xmlns="http://schemas.openxmlformats.org/spreadsheetml/2006/main" count="428" uniqueCount="301">
  <si>
    <t>Street Address</t>
  </si>
  <si>
    <t>Going-In Cap Rate</t>
  </si>
  <si>
    <t>LTV</t>
  </si>
  <si>
    <t>Going-In DSCR</t>
  </si>
  <si>
    <t>Going-In Debt Yield</t>
  </si>
  <si>
    <t>Amortization</t>
  </si>
  <si>
    <t>Cap Rate Expansion/Year</t>
  </si>
  <si>
    <t>Total Uses</t>
  </si>
  <si>
    <t>Equity Multiple</t>
  </si>
  <si>
    <t>Average Cash-on-Cash</t>
  </si>
  <si>
    <t>$/SF</t>
  </si>
  <si>
    <t>1BR - 1BA</t>
  </si>
  <si>
    <t>2BR - 2BA</t>
  </si>
  <si>
    <t>Renovation Premium</t>
  </si>
  <si>
    <t>Premium</t>
  </si>
  <si>
    <t>Total</t>
  </si>
  <si>
    <t>Rent Increase Timing</t>
  </si>
  <si>
    <t>Concessions</t>
  </si>
  <si>
    <t>Economic Vacancy</t>
  </si>
  <si>
    <t>% of Stabilized Units</t>
  </si>
  <si>
    <t>Total Potential Rental Revenue</t>
  </si>
  <si>
    <t>Item</t>
  </si>
  <si>
    <t>Marketing</t>
  </si>
  <si>
    <t>Contract Services</t>
  </si>
  <si>
    <t>Property Taxes</t>
  </si>
  <si>
    <t>No</t>
  </si>
  <si>
    <t>Property Tax Growth Rates</t>
  </si>
  <si>
    <t>Hold Period Property Taxes</t>
  </si>
  <si>
    <t>Assessed Property Value</t>
  </si>
  <si>
    <t>Total Property Taxes</t>
  </si>
  <si>
    <t>Other</t>
  </si>
  <si>
    <t>Subtotal</t>
  </si>
  <si>
    <t>Check</t>
  </si>
  <si>
    <t>Contingency</t>
  </si>
  <si>
    <t>Percentage</t>
  </si>
  <si>
    <t>Ending Balance</t>
  </si>
  <si>
    <t>Year</t>
  </si>
  <si>
    <t>Net Rental Income</t>
  </si>
  <si>
    <t>Total Other Income</t>
  </si>
  <si>
    <t>Effective Gross Revenue</t>
  </si>
  <si>
    <t>Expenses</t>
  </si>
  <si>
    <t>Capital Expense Reserves</t>
  </si>
  <si>
    <t>Total Operating Expenses</t>
  </si>
  <si>
    <t>Net Operating Income</t>
  </si>
  <si>
    <t>Cash Flow Before Debt Service</t>
  </si>
  <si>
    <t>Beginning Working Capital Balance</t>
  </si>
  <si>
    <t>Ending Working Capital Balance</t>
  </si>
  <si>
    <t>Acquisition &amp; Sale Information</t>
  </si>
  <si>
    <t>Net Levered Cash Flow</t>
  </si>
  <si>
    <t>Year Ending</t>
  </si>
  <si>
    <t>Cash-on-Cash Return</t>
  </si>
  <si>
    <t>Checks</t>
  </si>
  <si>
    <t>Acquisition Financing - Loan Payoff &amp; Amortization = Beginning Balance</t>
  </si>
  <si>
    <t>Refinancing - Loan Payoff &amp; Amortization = Beginning Balance</t>
  </si>
  <si>
    <t>All Construction Capital Funded</t>
  </si>
  <si>
    <t>Total Equity = Sum of Negative Cash Flow</t>
  </si>
  <si>
    <r>
      <t xml:space="preserve">www.breakintocre.com
</t>
    </r>
    <r>
      <rPr>
        <b/>
        <sz val="10"/>
        <color theme="8" tint="0.79998168889431442"/>
        <rFont val="Franklin Gothic Book"/>
        <family val="2"/>
      </rPr>
      <t>Congrats on finishing the model! This file contains the finalized pro forma we built out in the course for your reference.</t>
    </r>
    <r>
      <rPr>
        <sz val="10"/>
        <color theme="0"/>
        <rFont val="Franklin Gothic Book"/>
        <family val="2"/>
      </rPr>
      <t xml:space="preserve">
</t>
    </r>
    <r>
      <rPr>
        <b/>
        <sz val="10"/>
        <color theme="0"/>
        <rFont val="Franklin Gothic Book"/>
        <family val="2"/>
      </rPr>
      <t>DISCLAIMER:</t>
    </r>
    <r>
      <rPr>
        <sz val="10"/>
        <color theme="0"/>
        <rFont val="Franklin Gothic Book"/>
        <family val="2"/>
      </rPr>
      <t xml:space="preserve">
YOU ACKNOWLEDGE AND AGREE THAT ALL MATERIALS, DOCUMENTS, MEDIA, FORMULAS, EXCEL FILES, AND ANY OTHER INFORMATION (HEREINAFTER COLLECTIVELY REFERRED TO AS THE “MATERIALS”) PROVIDED BY JBK ENTERPRISES, LLC (THE “COMPANY”) THROUGH BREAKINTOCRE.COM OR ANY OF ITS OTHER AFFILIATE WEBSITES OR SOURCES IS PROVIDED ON AN “AS IS” AND “AS AVAILABLE” BASIS. YOU EXPRESSLY AGREE THAT USE OF THE MATERIALS IS AT YOUR SOLE RISK.
THE COMPANY DOES NOT MAKE ANY REPRESENTATIONS OR GRANT ANY WARRANTIES, EXPRESS OR IMPLIED, EITHER IN FACT OR BY OPERATION OF LAW, BY STATUTE OR OTHERWISE AND BY USING THE MATERIALS, YOU SPECIFICALLY DISCLAIM ANY OTHER WARRANTIES, WHETHER WRITTEN OR ORAL, OR EXPRESS OR IMPLIED, INCLUDING ANY WARRANTY OF QUALITY, MERCHANTABILITY, OR FITNESS FOR A PARTICULAR USE OR PURPOSE OR ANY WARRANTY AS THE NON-INFRINGEMENT OF ANY INTELLECTUAL PROPERTY RIGHTS OF THIRD PARTIES.
THE COMPANY MAKES NO WARRANTY THAT THE MATERIALS WILL MEET YOUR REQUIREMENTS, OR THAT IT WILL BE UNINTERRUPTED, TIMELY, SECURE, OR ERROR-FREE, OR THAT ANY DEFECTS, IF ANY, WILL BE CORRECTED OR FIXED BY COMPANY. YOU AGREE THAT THE COMPANY MAKES NO WARRANTY AS TO THE RESULTS THAT MAY BE OBTAINED FROM THE USE OF THE MATERIALS OR AS TO THE ACCURACY OR RELIABILITY OF ANY INFORMATION OBTAINED THROUGH THE MATERIALS.
COMPANY IS NOT PROVIDING ANY TAX, LEGAL, ACCOUNTING, TAX, VALUATION, OR FINANCIAL ADVICE NOR IS THE COMPANY MAKING ANY RECOMMENDATIONS. ALL INFORMATION PROVIDED IS INTENDED SOLELY FOR EDUCATIONAL PURPOSES. YOU ARE HEREBY ADVISED TO CONSULT WITH YOUR OWN PERSONAL PROFESSIONAL ADVISORS REGARDING THE USE OF ANY MATERIALS PRIOR TO PUTTING ANY MATERIALS INTO ACTION.
BY USING THE MATERIALS, YOU AGREE TO ALL OF THE TERMS AND CONDITIONS WHICH CAN BE FOUND AT HTTPS://BREAKINTOCRE.COM/TERMS-CONDITIONS-2/ AND FURTHER AGREE TO HOLD JBK ENTERPRISES, LLC, AND ITS AFFILIATES HARMLESS FOR ANY CONSEQUENCES RELATED TO YOUR USE OF THE MATERIALS. NO COMMUNICATION (WRITTEN OR ORAL) RECEIVED SHALL BE DEEMED TO BE AN ASSURANCE, GUARANTEE, OR WARRANTY.</t>
    </r>
  </si>
  <si>
    <t>M2</t>
  </si>
  <si>
    <t>$/M2</t>
  </si>
  <si>
    <t>Medellin - Colombia</t>
  </si>
  <si>
    <t>Rentas estables</t>
  </si>
  <si>
    <t>Rentas Estables</t>
  </si>
  <si>
    <t>% Vacancia</t>
  </si>
  <si>
    <t>% Impagos</t>
  </si>
  <si>
    <t>Otras perdidas</t>
  </si>
  <si>
    <t>otros crecimientos de ingresos</t>
  </si>
  <si>
    <t>Tipo</t>
  </si>
  <si>
    <t># of Unidades</t>
  </si>
  <si>
    <t>Ingresos de lavandería</t>
  </si>
  <si>
    <t>Intereses de mora</t>
  </si>
  <si>
    <t>Ingresos por parqueaderos</t>
  </si>
  <si>
    <t>Ingresos por cuarto util</t>
  </si>
  <si>
    <t>Renta mensual</t>
  </si>
  <si>
    <t>T-12 Gastos de operación</t>
  </si>
  <si>
    <t>Salarios</t>
  </si>
  <si>
    <t>Gastos Generales y admin</t>
  </si>
  <si>
    <t>Reparaciones y mantenimiento</t>
  </si>
  <si>
    <t>Servicios Publicos</t>
  </si>
  <si>
    <t>Impuestos</t>
  </si>
  <si>
    <t>Seguros</t>
  </si>
  <si>
    <t>Gastos de funcionamiento (periodo de tenencia)</t>
  </si>
  <si>
    <t>Información sobre el impuesto a la propiedad</t>
  </si>
  <si>
    <t>Incremento anual de costos</t>
  </si>
  <si>
    <t>Otros ingresos/Unit/Month</t>
  </si>
  <si>
    <t>Multas y sanciones</t>
  </si>
  <si>
    <t>Otros ingresos</t>
  </si>
  <si>
    <t>Pintura, grifería, salpicadero, encimera económica</t>
  </si>
  <si>
    <t>Inodoros, grifería, pintura, espejos</t>
  </si>
  <si>
    <t>LVT económico o cerámica básica</t>
  </si>
  <si>
    <t>Interior de paredes y techos</t>
  </si>
  <si>
    <t>Reemplazo de bombillos por LED</t>
  </si>
  <si>
    <t>Ajustes generales, tomas, cerraduras</t>
  </si>
  <si>
    <t>Revisión, mantenimiento, reparación puntual</t>
  </si>
  <si>
    <t>Pintura, reparaciones puntuales, mantenimiento verde</t>
  </si>
  <si>
    <t>Supervisión y coordinación básica</t>
  </si>
  <si>
    <t>Trámites para remodelación menor</t>
  </si>
  <si>
    <t>Contingencias</t>
  </si>
  <si>
    <t>Costo de rotacion inquilinos</t>
  </si>
  <si>
    <t>Utilidad en servicios administrativos</t>
  </si>
  <si>
    <t>Reservas legal</t>
  </si>
  <si>
    <t>Parqueaderos descubiertos</t>
  </si>
  <si>
    <t>Parqueaderos en garaje</t>
  </si>
  <si>
    <t>Informacion de parqueaderos</t>
  </si>
  <si>
    <t>Numero de apartamentos</t>
  </si>
  <si>
    <t>Numero de torres</t>
  </si>
  <si>
    <t>Area construida total</t>
  </si>
  <si>
    <t>Area por unidad</t>
  </si>
  <si>
    <t>Ciudad</t>
  </si>
  <si>
    <t>Precio de adquisicion</t>
  </si>
  <si>
    <t>Precio adquisicion/unidad</t>
  </si>
  <si>
    <t>Costos de adquision</t>
  </si>
  <si>
    <t>Informacion de la adquisicion</t>
  </si>
  <si>
    <t>Información de credito de adquisición</t>
  </si>
  <si>
    <t>Informacion de refinanciacion</t>
  </si>
  <si>
    <t>Costos de construccion totales</t>
  </si>
  <si>
    <t>Costos de construccion totales/Unidad</t>
  </si>
  <si>
    <t>Costos de renovacion exteriores</t>
  </si>
  <si>
    <t>Costos de renovacion exteriores/Unidad</t>
  </si>
  <si>
    <t>Costos de renovacion interiores</t>
  </si>
  <si>
    <t>Costos de renovacion interiores/Unidad</t>
  </si>
  <si>
    <t>Rendimiento sobre el Costo</t>
  </si>
  <si>
    <t>Detalles de renovaciones</t>
  </si>
  <si>
    <t>Patrimonio</t>
  </si>
  <si>
    <t>Pasivo</t>
  </si>
  <si>
    <t>Total Recursos</t>
  </si>
  <si>
    <t>Monto del prestamo</t>
  </si>
  <si>
    <t>Año de construccion</t>
  </si>
  <si>
    <t>Total parqueaderos/Unidad</t>
  </si>
  <si>
    <t>Numero de pisos</t>
  </si>
  <si>
    <t>Unidades por piso</t>
  </si>
  <si>
    <t>Detalles de la propiedad</t>
  </si>
  <si>
    <t>Detalles de la venta</t>
  </si>
  <si>
    <t>Rentas actuales</t>
  </si>
  <si>
    <t>Cuarto util</t>
  </si>
  <si>
    <t>Total cuarto util/Unidad</t>
  </si>
  <si>
    <t>$/Unidad/Año</t>
  </si>
  <si>
    <t>Otros supuestos de gastos</t>
  </si>
  <si>
    <t>Presupuesto de renovacion exterior</t>
  </si>
  <si>
    <t>Presupuesto de renovacion interior</t>
  </si>
  <si>
    <t>Por unidad</t>
  </si>
  <si>
    <t>Mes inicial</t>
  </si>
  <si>
    <t>Mes final</t>
  </si>
  <si>
    <t>Total meses</t>
  </si>
  <si>
    <t>Mes</t>
  </si>
  <si>
    <t>Fecha</t>
  </si>
  <si>
    <t>Financiacion de la adquisision</t>
  </si>
  <si>
    <t>Refinanciacion</t>
  </si>
  <si>
    <t>Año</t>
  </si>
  <si>
    <t>Mes de terminacion</t>
  </si>
  <si>
    <t>Presupuesto general de construcción</t>
  </si>
  <si>
    <t>Presupuesto total de construcción</t>
  </si>
  <si>
    <t>Precio/m2</t>
  </si>
  <si>
    <t>Costos del proyecto totales</t>
  </si>
  <si>
    <t>Costos totales/Unidad</t>
  </si>
  <si>
    <t>Utilidad en venta</t>
  </si>
  <si>
    <t>Capital adicional requerido</t>
  </si>
  <si>
    <t>Requerimientos de Capital Adicional (Post-Cierre)</t>
  </si>
  <si>
    <t>Recursos (al cierre)</t>
  </si>
  <si>
    <t>Uses (al cierre)</t>
  </si>
  <si>
    <t>Informacion de la venta</t>
  </si>
  <si>
    <t>Costos de venta (%)</t>
  </si>
  <si>
    <t>Periodo de tenencia</t>
  </si>
  <si>
    <t>Metricas de retornos</t>
  </si>
  <si>
    <t>Crecimiento de la renta</t>
  </si>
  <si>
    <t>Mes de refinanciacion</t>
  </si>
  <si>
    <t>Tasa de capitalización utilizada para la valoración</t>
  </si>
  <si>
    <t>Ingresos potenciales brutos por alquiler</t>
  </si>
  <si>
    <t>Ingresos</t>
  </si>
  <si>
    <t>Total Otros Ingresos</t>
  </si>
  <si>
    <t>Ingresos efectivos brutos</t>
  </si>
  <si>
    <t>Gastos</t>
  </si>
  <si>
    <t>Tasa de interes</t>
  </si>
  <si>
    <t>Amortizacion</t>
  </si>
  <si>
    <t>Tiempo</t>
  </si>
  <si>
    <t>Resumen</t>
  </si>
  <si>
    <t>TIR</t>
  </si>
  <si>
    <t>Multiplicador de Capital Apalancado</t>
  </si>
  <si>
    <t>Rentabilidad promedio anual en efectivo apalancada</t>
  </si>
  <si>
    <t>Concessiones</t>
  </si>
  <si>
    <t>Fecha de construccion</t>
  </si>
  <si>
    <t>Cap Rate Inicial</t>
  </si>
  <si>
    <t>Predial</t>
  </si>
  <si>
    <t>Reavaluo al Momento de la Venta</t>
  </si>
  <si>
    <t>% del Valor Gravable</t>
  </si>
  <si>
    <t>Valor Gravable Actual</t>
  </si>
  <si>
    <t>Costos de Construccion</t>
  </si>
  <si>
    <t>Financiacion del prestamo</t>
  </si>
  <si>
    <t>Pago total</t>
  </si>
  <si>
    <t>Pago total del Prestamo</t>
  </si>
  <si>
    <t>Fees del prestamo</t>
  </si>
  <si>
    <t>Informacion del credito</t>
  </si>
  <si>
    <t>Flujo de cada antes de servicio a la deuda</t>
  </si>
  <si>
    <t>Financiamiento de Capital de Trabajo</t>
  </si>
  <si>
    <t>Capital de Trabajo Aportado</t>
  </si>
  <si>
    <t>Capital de Trabajo Distribuido</t>
  </si>
  <si>
    <t>Comisiones de Venta</t>
  </si>
  <si>
    <t>Precio de Venta</t>
  </si>
  <si>
    <t>Otros Gastos y Costos de Cierre</t>
  </si>
  <si>
    <t>Precio de Compra</t>
  </si>
  <si>
    <t>Ingresos Netos de renta</t>
  </si>
  <si>
    <t>Gastos Operativos Totales</t>
  </si>
  <si>
    <t>Ingreso Operativo Neto</t>
  </si>
  <si>
    <t>Informacion del Credito</t>
  </si>
  <si>
    <t>Financiacion del Prestamo</t>
  </si>
  <si>
    <t>Pago Total</t>
  </si>
  <si>
    <t>Fees del Prestamo</t>
  </si>
  <si>
    <t>Flujo de caja despues de servicio a la deuda</t>
  </si>
  <si>
    <t>Precio de COMPRA</t>
  </si>
  <si>
    <t>Costos de cierre</t>
  </si>
  <si>
    <t>Balance Inicial</t>
  </si>
  <si>
    <t>Servicio a la deuda</t>
  </si>
  <si>
    <t>Pago de capital</t>
  </si>
  <si>
    <t>Pago de Intereses</t>
  </si>
  <si>
    <t>Periodo de estabilizacion de rentas</t>
  </si>
  <si>
    <t>Cap Rate Salida</t>
  </si>
  <si>
    <t>Comision de Estructuracion</t>
  </si>
  <si>
    <t>Periodo de gracia</t>
  </si>
  <si>
    <t>1. Descripción del Proyecto</t>
  </si>
  <si>
    <t>Manual Técnico del Modelo Financiero - Proyecto Multifamiliar Remodelacion</t>
  </si>
  <si>
    <t>Este documento tiene como propósito servir como guía técnica para la comprensión, análisis y validación de un modelo financiero aplicado a la adquisición, remodelación y operación de un proyecto Multifamily en Colombia. El modelo está estructurado en un archivo Excel con múltiples hojas de cálculo interconectadas, que permiten simular los flujos de caja del proyecto, calcular la rentabilidad y analizar la viabilidad financiera de la inversión.</t>
  </si>
  <si>
    <t>El modelo está dividido en las siguientes pestañas principales:</t>
  </si>
  <si>
    <t>Pestaña</t>
  </si>
  <si>
    <t>Función</t>
  </si>
  <si>
    <t>Presupuesto de contsruccion</t>
  </si>
  <si>
    <t>Financiamiento</t>
  </si>
  <si>
    <t>Flujo de caja mensual</t>
  </si>
  <si>
    <t>Flujo de caja anual</t>
  </si>
  <si>
    <t>Validaciones</t>
  </si>
  <si>
    <t>Resumen ejecutivo con KPIs financieros clave del proyecto</t>
  </si>
  <si>
    <t>Proyecciones de ingresos por alquiler y otras fuentes</t>
  </si>
  <si>
    <t xml:space="preserve">	Detalle de los costos operacionales del activo</t>
  </si>
  <si>
    <t>Detalle de la inversión en CAPEX y cronograma de ejecución</t>
  </si>
  <si>
    <t>Estructura de deuda y cronograma de pagos</t>
  </si>
  <si>
    <t>Flujo consolidado mes a mes con ingresos, egresos y financiamiento</t>
  </si>
  <si>
    <t>Versión agregada anual del flujo de caja para análisis de largo plazo</t>
  </si>
  <si>
    <t>Parámetros clave, tasas y consistencia de fórmulas</t>
  </si>
  <si>
    <t>2.  Estructura del Modelo</t>
  </si>
  <si>
    <t>3. Conexiones entre pestañas</t>
  </si>
  <si>
    <t>El modelo está diseñado de manera modular, donde cada pestaña alimenta a la siguiente:</t>
  </si>
  <si>
    <t>- Ingresos + Gastos → Flujo operativo mensual</t>
  </si>
  <si>
    <t>- CAPEX (Presupuesto) → Flujo de caja mensual (egresos de inversión)</t>
  </si>
  <si>
    <t>- Financiamiento → Flujo mensual (servicio de deuda)</t>
  </si>
  <si>
    <t>- Flujo mensual → Flujo anual</t>
  </si>
  <si>
    <t>- Flujos + inversión inicial → Summary (TIR, VPN, Cap Rate, etc.)</t>
  </si>
  <si>
    <t>4. Descripción y análisis de cada pestaña</t>
  </si>
  <si>
    <t>Define los costos de obra (CAPEX) que también son flujos negativos en el flujo mensual</t>
  </si>
  <si>
    <t>- Los ingresos (ventas o rentas) de la hoja 'Ingresos' se integran directamente en 'FC Mensual' como flujos de entrada, considerando el calendario de pagos establecido.
- Los egresos de la hoja 'Gastos' se agrupan por categoría y mes, impactando el flujo de salida en 'FC Mensual'</t>
  </si>
  <si>
    <t>- Genera entradas por desembolsos del préstamo y salidas por servicio de deuda, también reflejadas en 'FC Mensual'
- Resume los movimientos del flujo mensual para análisis macro</t>
  </si>
  <si>
    <t>- Brindar una visión ejecutiva del desempeño del proyecto</t>
  </si>
  <si>
    <t>- Lista de unidades por tipología.
- Valor mensual por unidad.
- Ajustes por ocupación, vacancia, impagos, concesiones.
- Otros ingresos (parqueaderos, servicios)</t>
  </si>
  <si>
    <r>
      <t xml:space="preserve">Ingresos
</t>
    </r>
    <r>
      <rPr>
        <sz val="11"/>
        <color theme="1"/>
        <rFont val="Aptos Narrow"/>
        <family val="2"/>
      </rPr>
      <t>Proyectar los ingresos esperados por alquiler</t>
    </r>
  </si>
  <si>
    <r>
      <t xml:space="preserve">Gastos
</t>
    </r>
    <r>
      <rPr>
        <sz val="11"/>
        <color theme="1"/>
        <rFont val="Aptos Narrow"/>
        <family val="2"/>
      </rPr>
      <t>Estimar los gastos operacionales para determinar el NOI</t>
    </r>
  </si>
  <si>
    <t>- Administración
- Servicios públicos comunes
- Mantenimiento y reparaciones
- Marketing
- Rotación de inquilinos
- Property taxes e impuestos</t>
  </si>
  <si>
    <r>
      <t xml:space="preserve">Presupuesto de construcción
</t>
    </r>
    <r>
      <rPr>
        <sz val="11"/>
        <color theme="1"/>
        <rFont val="Aptos Narrow"/>
        <family val="2"/>
      </rPr>
      <t>Describir y calendarizar la inversión en remodelación (CAPEX)</t>
    </r>
  </si>
  <si>
    <t>- Partidas por actividad (pintura, trámites, supervisión)
- Costos por unidad o globales
- Cronograma de ejecución (mes inicial, final)
- Cálculo de desembolsos mensuales</t>
  </si>
  <si>
    <r>
      <t xml:space="preserve">Financiamiento
</t>
    </r>
    <r>
      <rPr>
        <sz val="11"/>
        <color theme="1"/>
        <rFont val="Aptos Narrow"/>
        <family val="2"/>
      </rPr>
      <t>Simular el servicio de deuda y cronograma de pagos</t>
    </r>
  </si>
  <si>
    <t>- Monto financiado
- Tasa de interés y plazo
- Cuota mensual (interés + capital)
- Balance inicial y final por mes</t>
  </si>
  <si>
    <r>
      <t xml:space="preserve">Flujo de caja mensual
</t>
    </r>
    <r>
      <rPr>
        <sz val="11"/>
        <color theme="1"/>
        <rFont val="Aptos Narrow"/>
        <family val="2"/>
      </rPr>
      <t>Consolidar ingresos, egresos operacionales, inversión y financiamiento en una línea de tiempo detallada</t>
    </r>
  </si>
  <si>
    <t>- Ingresos netos mensuales
- Gastos operacionales
- CAPEX mensual
- Servicio de deuda
- Flujo neto mensual</t>
  </si>
  <si>
    <r>
      <t xml:space="preserve">Flujo de caja anual
</t>
    </r>
    <r>
      <rPr>
        <sz val="11"/>
        <color theme="1"/>
        <rFont val="Aptos Narrow"/>
        <family val="2"/>
      </rPr>
      <t>Agregación anual del flujo mensual, útil para KPIs y comparaciones interanuales</t>
    </r>
  </si>
  <si>
    <t>- Net Rental Income anual
- Gastos anuales
- Deuda anual
- Flujo de caja libre (FCF)</t>
  </si>
  <si>
    <t>5. Conceptos Financieros Relevantes</t>
  </si>
  <si>
    <t>Se calcula como el ingreso operativo neto anual dividido entre el valor del activo. Permite comparar la rentabilidad esperada de un proyecto inmobiliario en relación con su precio de mercado</t>
  </si>
  <si>
    <t>Cap Rate (Capitalization Rate)</t>
  </si>
  <si>
    <t>LTV (Loan to Value)</t>
  </si>
  <si>
    <t>Es el porcentaje del valor total del proyecto que está financiado por deuda. LTV = Monto del préstamo / Valor del activo. Es un indicador de riesgo para bancos e inversionistas</t>
  </si>
  <si>
    <t>NOI (Net Operating Income)</t>
  </si>
  <si>
    <t>Ingreso neto operativo. Es el resultado de restar los gastos operativos al ingreso bruto anual, antes de intereses e impuestos</t>
  </si>
  <si>
    <t>TIR y VAN</t>
  </si>
  <si>
    <t>La Tasa Interna de Retorno y el Valor Actual Neto son medidas estándar de rentabilidad de proyectos. El modelo los calcula con base en los flujos netos anuales.</t>
  </si>
  <si>
    <t>6. Supuestos del Modelo</t>
  </si>
  <si>
    <t>Algunos supuestos predefinidos que se encuentran en las hojas son:</t>
  </si>
  <si>
    <t>- Velocidad de ventas (meses en los que se reciben ingresos)</t>
  </si>
  <si>
    <t>- Inflación proyectada o indexación de costos</t>
  </si>
  <si>
    <t>- Tasa de interés y plazo del crédito hipotecario</t>
  </si>
  <si>
    <t>- Fechas de inicio y fin de construcción</t>
  </si>
  <si>
    <t>- Costos indirectos calculados como porcentaje del presupuesto directo</t>
  </si>
  <si>
    <t>- Cronograma de egresos por etapa (obra, legal, comercial, etc.)</t>
  </si>
  <si>
    <t>7. Buenas Prácticas y Visualización</t>
  </si>
  <si>
    <t>- No modificar celdas con fórmulas protegidas o referencias cruzadas</t>
  </si>
  <si>
    <t>- Usar formatos condicionales para identificar flujos negativos o desfases</t>
  </si>
  <si>
    <t>- Se recomienda exportar los resultados a herramientas como Power BI para generar dashboards dinámicos</t>
  </si>
  <si>
    <t>- Verificar la hoja “Checks” luego de cada actualización</t>
  </si>
  <si>
    <t>- Mantener respaldo del archivo base antes de realizar simulaciones de sensibilidad</t>
  </si>
  <si>
    <t>8. Conclusión</t>
  </si>
  <si>
    <t>El modelo multifamily Compra-Renovacion representa una herramienta completa para el análisis económico y financiero de un desarrollo inmobiliario. La correcta interpretación de sus componentes permite tomar decisiones estratégicas fundamentadas en proyecciones realistas y supuestos flexibles</t>
  </si>
  <si>
    <t>- TIR sin deuda (Unlevered TIR)
- TIR con deuda (Levered TIR)
- NPV con tasa de descuento definida
- Cap Rate inicial y final
- Cash-on-Cash Return
- Valor de reventa
- DSCR promedio (indicador de cobertura de deuda)</t>
  </si>
  <si>
    <t>Tasa de Interes</t>
  </si>
  <si>
    <t>Periodo de solo intereses</t>
  </si>
  <si>
    <t>Precio de venta</t>
  </si>
  <si>
    <t>Precio de venta/Unidad</t>
  </si>
  <si>
    <t>CAGR</t>
  </si>
  <si>
    <t>TIR Apalancada</t>
  </si>
  <si>
    <t>Fees del Prestamo de Adquisicion</t>
  </si>
  <si>
    <t>Otros Gastos</t>
  </si>
  <si>
    <t>IPC+6%</t>
  </si>
  <si>
    <t>DSCR</t>
  </si>
  <si>
    <t>TASA DE INTERES</t>
  </si>
  <si>
    <t xml:space="preserve"> </t>
  </si>
  <si>
    <t>CAP RATE</t>
  </si>
  <si>
    <r>
      <t xml:space="preserve">Resumen
</t>
    </r>
    <r>
      <rPr>
        <sz val="11"/>
        <color theme="1"/>
        <rFont val="Aptos Narrow"/>
        <family val="2"/>
      </rPr>
      <t>Brindar una visión ejecutiva del desempeño del proyecto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</si>
</sst>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 #,##0.00_-;\-&quot;$&quot;\ * #,##0.00_-;_-&quot;$&quot;\ * &quot;-&quot;??_-;_-@_-"/>
    <numFmt numFmtId="43" formatCode="_-* #,##0.00_-;\-* #,##0.00_-;_-* &quot;-&quot;??_-;_-@_-"/>
    <numFmt numFmtId="164" formatCode="&quot;$&quot;#,##0_);[Red]\(&quot;$&quot;#,##0\)"/>
    <numFmt numFmtId="165" formatCode="&quot;$&quot;#,##0"/>
    <numFmt numFmtId="166" formatCode="0.00&quot;x&quot;"/>
    <numFmt numFmtId="167" formatCode="0\ &quot;Months&quot;"/>
    <numFmt numFmtId="168" formatCode="&quot;Month&quot;\ 0"/>
    <numFmt numFmtId="169" formatCode="&quot;$&quot;#,##0.00"/>
    <numFmt numFmtId="170" formatCode="&quot;Year&quot;\ 0"/>
    <numFmt numFmtId="171" formatCode="0.0%"/>
    <numFmt numFmtId="172" formatCode="&quot;Acquisition&quot;"/>
    <numFmt numFmtId="173" formatCode="_-&quot;$&quot;\ * #,##0_-;\-&quot;$&quot;\ * #,##0_-;_-&quot;$&quot;\ * &quot;-&quot;??_-;_-@_-"/>
    <numFmt numFmtId="174" formatCode="&quot;Año&quot;\ 0"/>
    <numFmt numFmtId="175" formatCode="&quot;Mes&quot;\ 0"/>
    <numFmt numFmtId="176" formatCode="0\ &quot;Meses&quot;"/>
  </numFmts>
  <fonts count="19" x14ac:knownFonts="1">
    <font>
      <sz val="11"/>
      <color theme="1"/>
      <name val="Calibri"/>
      <family val="2"/>
      <scheme val="minor"/>
    </font>
    <font>
      <sz val="10"/>
      <color theme="1"/>
      <name val="Franklin Gothic Book"/>
      <family val="2"/>
    </font>
    <font>
      <b/>
      <sz val="10"/>
      <color theme="0"/>
      <name val="Franklin Gothic Book"/>
      <family val="2"/>
    </font>
    <font>
      <sz val="10"/>
      <color rgb="FF0000FF"/>
      <name val="Franklin Gothic Book"/>
      <family val="2"/>
    </font>
    <font>
      <sz val="10"/>
      <name val="Franklin Gothic Book"/>
      <family val="2"/>
    </font>
    <font>
      <b/>
      <sz val="10"/>
      <color theme="1"/>
      <name val="Franklin Gothic Book"/>
      <family val="2"/>
    </font>
    <font>
      <sz val="11"/>
      <color theme="1"/>
      <name val="Calibri"/>
      <family val="2"/>
      <scheme val="minor"/>
    </font>
    <font>
      <b/>
      <sz val="10"/>
      <name val="Franklin Gothic Book"/>
      <family val="2"/>
    </font>
    <font>
      <u/>
      <sz val="10"/>
      <color theme="1"/>
      <name val="Franklin Gothic Book"/>
      <family val="2"/>
    </font>
    <font>
      <u/>
      <sz val="10"/>
      <color theme="0"/>
      <name val="Franklin Gothic Book"/>
      <family val="2"/>
    </font>
    <font>
      <sz val="10"/>
      <color theme="0"/>
      <name val="Franklin Gothic Book"/>
      <family val="2"/>
    </font>
    <font>
      <i/>
      <sz val="10"/>
      <color theme="1"/>
      <name val="Franklin Gothic Book"/>
      <family val="2"/>
    </font>
    <font>
      <b/>
      <sz val="10"/>
      <color theme="8" tint="0.79998168889431442"/>
      <name val="Franklin Gothic Book"/>
      <family val="2"/>
    </font>
    <font>
      <sz val="11"/>
      <color theme="1"/>
      <name val="Aptos Narrow"/>
      <family val="2"/>
    </font>
    <font>
      <b/>
      <sz val="24"/>
      <color theme="1"/>
      <name val="Aptos Narrow"/>
      <family val="2"/>
    </font>
    <font>
      <b/>
      <sz val="20"/>
      <color theme="1"/>
      <name val="Aptos Narrow"/>
      <family val="2"/>
    </font>
    <font>
      <b/>
      <sz val="11"/>
      <color theme="1"/>
      <name val="Aptos Narrow"/>
      <family val="2"/>
    </font>
    <font>
      <b/>
      <sz val="14"/>
      <color theme="1"/>
      <name val="Aptos Narrow"/>
      <family val="2"/>
    </font>
    <font>
      <b/>
      <sz val="15"/>
      <color theme="1"/>
      <name val="Aptos Narrow"/>
      <family val="2"/>
    </font>
  </fonts>
  <fills count="10">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002060"/>
        <bgColor indexed="64"/>
      </patternFill>
    </fill>
    <fill>
      <patternFill patternType="solid">
        <fgColor theme="0" tint="-4.9989318521683403E-2"/>
        <bgColor indexed="64"/>
      </patternFill>
    </fill>
  </fills>
  <borders count="2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indexed="64"/>
      </bottom>
      <diagonal/>
    </border>
    <border>
      <left/>
      <right style="thin">
        <color theme="1"/>
      </right>
      <top/>
      <bottom style="thin">
        <color indexed="64"/>
      </bottom>
      <diagonal/>
    </border>
    <border>
      <left/>
      <right/>
      <top/>
      <bottom style="thin">
        <color theme="1"/>
      </bottom>
      <diagonal/>
    </border>
  </borders>
  <cellStyleXfs count="5">
    <xf numFmtId="0" fontId="0" fillId="0" borderId="0"/>
    <xf numFmtId="9" fontId="6" fillId="0" borderId="0" applyFont="0" applyFill="0" applyBorder="0" applyAlignment="0" applyProtection="0"/>
    <xf numFmtId="0" fontId="6" fillId="0" borderId="0"/>
    <xf numFmtId="44" fontId="6" fillId="0" borderId="0" applyFont="0" applyFill="0" applyBorder="0" applyAlignment="0" applyProtection="0"/>
    <xf numFmtId="43" fontId="6" fillId="0" borderId="0" applyFont="0" applyFill="0" applyBorder="0" applyAlignment="0" applyProtection="0"/>
  </cellStyleXfs>
  <cellXfs count="240">
    <xf numFmtId="0" fontId="0" fillId="0" borderId="0" xfId="0"/>
    <xf numFmtId="0" fontId="1" fillId="0" borderId="0" xfId="0" applyFont="1"/>
    <xf numFmtId="0" fontId="2" fillId="2" borderId="1" xfId="0" applyFont="1" applyFill="1" applyBorder="1" applyAlignment="1">
      <alignment horizontal="centerContinuous"/>
    </xf>
    <xf numFmtId="0" fontId="2" fillId="2" borderId="2" xfId="0" applyFont="1" applyFill="1" applyBorder="1" applyAlignment="1">
      <alignment horizontal="centerContinuous"/>
    </xf>
    <xf numFmtId="0" fontId="1" fillId="3" borderId="3" xfId="0" applyFont="1" applyFill="1" applyBorder="1" applyAlignment="1">
      <alignment horizontal="right"/>
    </xf>
    <xf numFmtId="0" fontId="1" fillId="3" borderId="4" xfId="0" applyFont="1" applyFill="1" applyBorder="1" applyAlignment="1">
      <alignment horizontal="right"/>
    </xf>
    <xf numFmtId="0" fontId="1" fillId="3" borderId="5" xfId="0" applyFont="1" applyFill="1" applyBorder="1" applyAlignment="1">
      <alignment horizontal="right"/>
    </xf>
    <xf numFmtId="0" fontId="3" fillId="0" borderId="3" xfId="0" applyFont="1" applyBorder="1" applyAlignment="1">
      <alignment horizontal="center"/>
    </xf>
    <xf numFmtId="3" fontId="1" fillId="0" borderId="4" xfId="0" applyNumberFormat="1" applyFont="1" applyBorder="1" applyAlignment="1">
      <alignment horizontal="center"/>
    </xf>
    <xf numFmtId="3" fontId="3" fillId="0" borderId="4" xfId="0" applyNumberFormat="1" applyFont="1" applyBorder="1" applyAlignment="1">
      <alignment horizontal="center"/>
    </xf>
    <xf numFmtId="0" fontId="3" fillId="0" borderId="4" xfId="0" applyFont="1" applyBorder="1" applyAlignment="1">
      <alignment horizontal="center"/>
    </xf>
    <xf numFmtId="2" fontId="3" fillId="0" borderId="4" xfId="0" applyNumberFormat="1" applyFont="1" applyBorder="1" applyAlignment="1">
      <alignment horizontal="center"/>
    </xf>
    <xf numFmtId="2" fontId="4" fillId="0" borderId="4" xfId="0" applyNumberFormat="1" applyFont="1" applyBorder="1" applyAlignment="1">
      <alignment horizontal="center"/>
    </xf>
    <xf numFmtId="0" fontId="3" fillId="0" borderId="5" xfId="0" applyFont="1" applyBorder="1" applyAlignment="1">
      <alignment horizontal="center"/>
    </xf>
    <xf numFmtId="0" fontId="5" fillId="3" borderId="6" xfId="0" applyFont="1" applyFill="1" applyBorder="1" applyAlignment="1">
      <alignment horizontal="right"/>
    </xf>
    <xf numFmtId="3" fontId="5" fillId="0" borderId="6" xfId="0" applyNumberFormat="1" applyFont="1" applyBorder="1" applyAlignment="1">
      <alignment horizontal="center"/>
    </xf>
    <xf numFmtId="0" fontId="1" fillId="3" borderId="6" xfId="0" applyFont="1" applyFill="1" applyBorder="1" applyAlignment="1">
      <alignment horizontal="right"/>
    </xf>
    <xf numFmtId="4" fontId="1" fillId="0" borderId="6" xfId="0" applyNumberFormat="1" applyFont="1" applyBorder="1" applyAlignment="1">
      <alignment horizontal="center"/>
    </xf>
    <xf numFmtId="164" fontId="3" fillId="0" borderId="3" xfId="0" applyNumberFormat="1" applyFont="1" applyBorder="1" applyAlignment="1">
      <alignment horizontal="center"/>
    </xf>
    <xf numFmtId="165" fontId="1" fillId="0" borderId="4" xfId="0" applyNumberFormat="1" applyFont="1" applyBorder="1" applyAlignment="1">
      <alignment horizontal="center"/>
    </xf>
    <xf numFmtId="165" fontId="3" fillId="0" borderId="4" xfId="0" applyNumberFormat="1" applyFont="1" applyBorder="1" applyAlignment="1">
      <alignment horizontal="center"/>
    </xf>
    <xf numFmtId="10" fontId="1" fillId="0" borderId="4" xfId="1" applyNumberFormat="1" applyFont="1" applyBorder="1" applyAlignment="1">
      <alignment horizontal="center"/>
    </xf>
    <xf numFmtId="14" fontId="3" fillId="0" borderId="5" xfId="0" applyNumberFormat="1" applyFont="1" applyBorder="1" applyAlignment="1">
      <alignment horizontal="center"/>
    </xf>
    <xf numFmtId="9" fontId="3" fillId="0" borderId="4" xfId="1" applyFont="1" applyBorder="1" applyAlignment="1">
      <alignment horizontal="center"/>
    </xf>
    <xf numFmtId="164" fontId="4" fillId="0" borderId="3" xfId="0" applyNumberFormat="1" applyFont="1" applyBorder="1" applyAlignment="1">
      <alignment horizontal="center"/>
    </xf>
    <xf numFmtId="166" fontId="4" fillId="0" borderId="4" xfId="0" applyNumberFormat="1" applyFont="1" applyBorder="1" applyAlignment="1">
      <alignment horizontal="center"/>
    </xf>
    <xf numFmtId="10" fontId="3" fillId="0" borderId="4" xfId="1" applyNumberFormat="1" applyFont="1" applyBorder="1" applyAlignment="1">
      <alignment horizontal="center"/>
    </xf>
    <xf numFmtId="164" fontId="4" fillId="0" borderId="4" xfId="0" applyNumberFormat="1" applyFont="1" applyBorder="1" applyAlignment="1">
      <alignment horizontal="center"/>
    </xf>
    <xf numFmtId="0" fontId="1" fillId="0" borderId="0" xfId="0" applyFont="1" applyAlignment="1">
      <alignment horizontal="right"/>
    </xf>
    <xf numFmtId="167" fontId="3" fillId="0" borderId="0" xfId="0" applyNumberFormat="1" applyFont="1" applyAlignment="1">
      <alignment horizontal="center"/>
    </xf>
    <xf numFmtId="10" fontId="4" fillId="0" borderId="4" xfId="1" applyNumberFormat="1" applyFont="1" applyBorder="1" applyAlignment="1">
      <alignment horizontal="center"/>
    </xf>
    <xf numFmtId="165" fontId="4" fillId="0" borderId="4" xfId="0" applyNumberFormat="1" applyFont="1" applyBorder="1" applyAlignment="1">
      <alignment horizontal="center"/>
    </xf>
    <xf numFmtId="165" fontId="4" fillId="0" borderId="5" xfId="0" applyNumberFormat="1" applyFont="1" applyBorder="1" applyAlignment="1">
      <alignment horizontal="center"/>
    </xf>
    <xf numFmtId="165" fontId="4" fillId="0" borderId="4" xfId="1" applyNumberFormat="1" applyFont="1" applyBorder="1" applyAlignment="1">
      <alignment horizontal="center"/>
    </xf>
    <xf numFmtId="10" fontId="4" fillId="0" borderId="5" xfId="1" applyNumberFormat="1" applyFont="1" applyBorder="1" applyAlignment="1">
      <alignment horizontal="center"/>
    </xf>
    <xf numFmtId="165" fontId="7" fillId="0" borderId="6" xfId="0" applyNumberFormat="1" applyFont="1" applyBorder="1" applyAlignment="1">
      <alignment horizontal="center"/>
    </xf>
    <xf numFmtId="164" fontId="4" fillId="0" borderId="6" xfId="0" applyNumberFormat="1" applyFont="1" applyBorder="1" applyAlignment="1">
      <alignment horizontal="center"/>
    </xf>
    <xf numFmtId="10" fontId="3" fillId="0" borderId="3" xfId="0" applyNumberFormat="1" applyFont="1" applyBorder="1" applyAlignment="1">
      <alignment horizontal="center"/>
    </xf>
    <xf numFmtId="0" fontId="2" fillId="4" borderId="1" xfId="0" applyFont="1" applyFill="1" applyBorder="1" applyAlignment="1">
      <alignment horizontal="centerContinuous"/>
    </xf>
    <xf numFmtId="0" fontId="2" fillId="4" borderId="2" xfId="0" applyFont="1" applyFill="1" applyBorder="1" applyAlignment="1">
      <alignment horizontal="centerContinuous"/>
    </xf>
    <xf numFmtId="10" fontId="7" fillId="5" borderId="3" xfId="0" applyNumberFormat="1" applyFont="1" applyFill="1" applyBorder="1" applyAlignment="1">
      <alignment horizontal="center"/>
    </xf>
    <xf numFmtId="166" fontId="7" fillId="5" borderId="4" xfId="1" applyNumberFormat="1" applyFont="1" applyFill="1" applyBorder="1" applyAlignment="1">
      <alignment horizontal="center"/>
    </xf>
    <xf numFmtId="10" fontId="7" fillId="5" borderId="5" xfId="1" applyNumberFormat="1" applyFont="1" applyFill="1" applyBorder="1" applyAlignment="1">
      <alignment horizontal="center"/>
    </xf>
    <xf numFmtId="0" fontId="2" fillId="2" borderId="7" xfId="0" applyFont="1" applyFill="1" applyBorder="1" applyAlignment="1">
      <alignment horizontal="centerContinuous"/>
    </xf>
    <xf numFmtId="0" fontId="8" fillId="3" borderId="1" xfId="0" applyFont="1" applyFill="1" applyBorder="1" applyAlignment="1">
      <alignment horizontal="center"/>
    </xf>
    <xf numFmtId="0" fontId="8" fillId="3" borderId="7" xfId="0" applyFont="1" applyFill="1" applyBorder="1" applyAlignment="1">
      <alignment horizontal="center"/>
    </xf>
    <xf numFmtId="0" fontId="8" fillId="3" borderId="2" xfId="0" applyFont="1" applyFill="1"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3" fillId="0" borderId="11" xfId="0" applyFont="1" applyBorder="1" applyAlignment="1">
      <alignment horizontal="center"/>
    </xf>
    <xf numFmtId="0" fontId="3" fillId="0" borderId="0" xfId="0" applyFont="1" applyAlignment="1">
      <alignment horizontal="center"/>
    </xf>
    <xf numFmtId="0" fontId="5" fillId="3" borderId="1" xfId="0" applyFont="1" applyFill="1" applyBorder="1" applyAlignment="1">
      <alignment horizontal="center"/>
    </xf>
    <xf numFmtId="0" fontId="5" fillId="3" borderId="7" xfId="0" applyFont="1" applyFill="1" applyBorder="1" applyAlignment="1">
      <alignment horizontal="center"/>
    </xf>
    <xf numFmtId="3" fontId="3" fillId="0" borderId="9" xfId="0" applyNumberFormat="1" applyFont="1" applyBorder="1" applyAlignment="1">
      <alignment horizontal="center"/>
    </xf>
    <xf numFmtId="164" fontId="3" fillId="0" borderId="9" xfId="0" applyNumberFormat="1" applyFont="1" applyBorder="1" applyAlignment="1">
      <alignment horizontal="center"/>
    </xf>
    <xf numFmtId="3" fontId="3" fillId="0" borderId="0" xfId="0" applyNumberFormat="1" applyFont="1" applyAlignment="1">
      <alignment horizontal="center"/>
    </xf>
    <xf numFmtId="164" fontId="3" fillId="0" borderId="0" xfId="0" applyNumberFormat="1" applyFont="1" applyAlignment="1">
      <alignment horizontal="center"/>
    </xf>
    <xf numFmtId="3" fontId="5" fillId="3" borderId="7" xfId="0" applyNumberFormat="1" applyFont="1" applyFill="1" applyBorder="1" applyAlignment="1">
      <alignment horizontal="center"/>
    </xf>
    <xf numFmtId="165" fontId="5" fillId="3" borderId="7" xfId="0" applyNumberFormat="1" applyFont="1" applyFill="1" applyBorder="1" applyAlignment="1">
      <alignment horizontal="center"/>
    </xf>
    <xf numFmtId="169" fontId="5" fillId="3" borderId="2" xfId="0" applyNumberFormat="1" applyFont="1" applyFill="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3" fontId="4" fillId="0" borderId="9" xfId="0" applyNumberFormat="1"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3" fontId="4" fillId="0" borderId="0" xfId="0" applyNumberFormat="1" applyFont="1" applyAlignment="1">
      <alignment horizontal="center"/>
    </xf>
    <xf numFmtId="165" fontId="3" fillId="0" borderId="3" xfId="0" applyNumberFormat="1" applyFont="1" applyBorder="1" applyAlignment="1">
      <alignment horizontal="center"/>
    </xf>
    <xf numFmtId="165" fontId="3" fillId="0" borderId="4" xfId="1" applyNumberFormat="1" applyFont="1" applyBorder="1" applyAlignment="1">
      <alignment horizontal="center"/>
    </xf>
    <xf numFmtId="167" fontId="4" fillId="0" borderId="5" xfId="1" applyNumberFormat="1" applyFont="1" applyBorder="1" applyAlignment="1">
      <alignment horizontal="center"/>
    </xf>
    <xf numFmtId="0" fontId="9" fillId="2" borderId="1" xfId="0" applyFont="1" applyFill="1" applyBorder="1" applyAlignment="1">
      <alignment horizontal="center"/>
    </xf>
    <xf numFmtId="10" fontId="1" fillId="0" borderId="0" xfId="1" applyNumberFormat="1" applyFont="1"/>
    <xf numFmtId="10" fontId="5" fillId="0" borderId="7" xfId="1" applyNumberFormat="1" applyFont="1" applyBorder="1" applyAlignment="1">
      <alignment horizontal="center"/>
    </xf>
    <xf numFmtId="10" fontId="5" fillId="0" borderId="2" xfId="1" applyNumberFormat="1" applyFont="1" applyBorder="1" applyAlignment="1">
      <alignment horizontal="center"/>
    </xf>
    <xf numFmtId="10" fontId="3" fillId="0" borderId="0" xfId="1" applyNumberFormat="1" applyFont="1" applyAlignment="1">
      <alignment horizontal="center"/>
    </xf>
    <xf numFmtId="10" fontId="3" fillId="0" borderId="12" xfId="1" applyNumberFormat="1" applyFont="1" applyBorder="1" applyAlignment="1">
      <alignment horizontal="center"/>
    </xf>
    <xf numFmtId="10" fontId="3" fillId="0" borderId="0" xfId="1" applyNumberFormat="1" applyFont="1" applyBorder="1" applyAlignment="1">
      <alignment horizontal="center"/>
    </xf>
    <xf numFmtId="10" fontId="3" fillId="0" borderId="13" xfId="1" applyNumberFormat="1" applyFont="1" applyBorder="1" applyAlignment="1">
      <alignment horizontal="center"/>
    </xf>
    <xf numFmtId="10" fontId="3" fillId="0" borderId="14" xfId="1" applyNumberFormat="1" applyFont="1" applyBorder="1" applyAlignment="1">
      <alignment horizontal="center"/>
    </xf>
    <xf numFmtId="165" fontId="4" fillId="0" borderId="0" xfId="1" applyNumberFormat="1" applyFont="1" applyAlignment="1">
      <alignment horizontal="center"/>
    </xf>
    <xf numFmtId="168" fontId="9" fillId="0" borderId="0" xfId="0" applyNumberFormat="1" applyFont="1" applyAlignment="1">
      <alignment horizontal="center"/>
    </xf>
    <xf numFmtId="165" fontId="4" fillId="0" borderId="0" xfId="0" applyNumberFormat="1" applyFont="1" applyAlignment="1">
      <alignment horizontal="center"/>
    </xf>
    <xf numFmtId="165" fontId="4" fillId="0" borderId="12" xfId="0" applyNumberFormat="1" applyFont="1" applyBorder="1" applyAlignment="1">
      <alignment horizontal="center"/>
    </xf>
    <xf numFmtId="165" fontId="4" fillId="0" borderId="0" xfId="1" applyNumberFormat="1" applyFont="1" applyBorder="1" applyAlignment="1">
      <alignment horizontal="center"/>
    </xf>
    <xf numFmtId="9" fontId="4" fillId="0" borderId="0" xfId="1" applyFont="1" applyAlignment="1">
      <alignment horizontal="center"/>
    </xf>
    <xf numFmtId="9" fontId="4" fillId="0" borderId="0" xfId="1" applyFont="1" applyBorder="1" applyAlignment="1">
      <alignment horizontal="center"/>
    </xf>
    <xf numFmtId="9" fontId="4" fillId="0" borderId="12" xfId="1" applyFont="1" applyBorder="1" applyAlignment="1">
      <alignment horizontal="center"/>
    </xf>
    <xf numFmtId="165" fontId="7" fillId="0" borderId="7" xfId="1" applyNumberFormat="1" applyFont="1" applyBorder="1" applyAlignment="1">
      <alignment horizontal="center"/>
    </xf>
    <xf numFmtId="165" fontId="7" fillId="0" borderId="7" xfId="0" applyNumberFormat="1" applyFont="1" applyBorder="1" applyAlignment="1">
      <alignment horizontal="center"/>
    </xf>
    <xf numFmtId="165" fontId="7" fillId="0" borderId="2" xfId="0" applyNumberFormat="1" applyFont="1" applyBorder="1" applyAlignment="1">
      <alignment horizontal="center"/>
    </xf>
    <xf numFmtId="0" fontId="8" fillId="6" borderId="1" xfId="0" applyFont="1" applyFill="1" applyBorder="1" applyAlignment="1">
      <alignment horizontal="right"/>
    </xf>
    <xf numFmtId="0" fontId="8" fillId="6" borderId="7" xfId="0" applyFont="1" applyFill="1" applyBorder="1" applyAlignment="1">
      <alignment horizontal="center"/>
    </xf>
    <xf numFmtId="0" fontId="8" fillId="6" borderId="2" xfId="0" applyFont="1" applyFill="1" applyBorder="1" applyAlignment="1">
      <alignment horizontal="center"/>
    </xf>
    <xf numFmtId="164" fontId="1" fillId="0" borderId="3" xfId="0" applyNumberFormat="1" applyFont="1" applyBorder="1" applyAlignment="1">
      <alignment horizontal="center"/>
    </xf>
    <xf numFmtId="164" fontId="3" fillId="0" borderId="4" xfId="0" applyNumberFormat="1" applyFont="1" applyBorder="1" applyAlignment="1">
      <alignment horizontal="center"/>
    </xf>
    <xf numFmtId="164" fontId="1" fillId="0" borderId="4" xfId="0" applyNumberFormat="1" applyFont="1" applyBorder="1" applyAlignment="1">
      <alignment horizontal="center"/>
    </xf>
    <xf numFmtId="164" fontId="5" fillId="0" borderId="6" xfId="0" applyNumberFormat="1" applyFont="1" applyBorder="1" applyAlignment="1">
      <alignment horizontal="center"/>
    </xf>
    <xf numFmtId="165" fontId="3" fillId="0" borderId="5" xfId="1" applyNumberFormat="1" applyFont="1" applyBorder="1" applyAlignment="1">
      <alignment horizontal="center"/>
    </xf>
    <xf numFmtId="10" fontId="3" fillId="0" borderId="3" xfId="1" applyNumberFormat="1" applyFont="1" applyBorder="1" applyAlignment="1">
      <alignment horizontal="center"/>
    </xf>
    <xf numFmtId="10" fontId="3" fillId="0" borderId="5" xfId="1" applyNumberFormat="1" applyFont="1" applyBorder="1" applyAlignment="1">
      <alignment horizontal="center"/>
    </xf>
    <xf numFmtId="165" fontId="4" fillId="0" borderId="6" xfId="0" applyNumberFormat="1" applyFont="1" applyBorder="1" applyAlignment="1">
      <alignment horizontal="center"/>
    </xf>
    <xf numFmtId="0" fontId="5" fillId="0" borderId="0" xfId="0" applyFont="1" applyAlignment="1">
      <alignment horizontal="right"/>
    </xf>
    <xf numFmtId="168" fontId="1" fillId="0" borderId="0" xfId="0" applyNumberFormat="1" applyFont="1" applyAlignment="1">
      <alignment horizontal="center"/>
    </xf>
    <xf numFmtId="0" fontId="8" fillId="6" borderId="1" xfId="0" applyFont="1" applyFill="1" applyBorder="1" applyAlignment="1">
      <alignment horizontal="center"/>
    </xf>
    <xf numFmtId="164" fontId="3" fillId="0" borderId="6" xfId="0" applyNumberFormat="1" applyFont="1" applyBorder="1" applyAlignment="1">
      <alignment horizontal="center"/>
    </xf>
    <xf numFmtId="164" fontId="1" fillId="0" borderId="6" xfId="0" applyNumberFormat="1" applyFont="1" applyBorder="1" applyAlignment="1">
      <alignment horizontal="center"/>
    </xf>
    <xf numFmtId="167" fontId="1" fillId="0" borderId="6" xfId="0" applyNumberFormat="1" applyFont="1" applyBorder="1" applyAlignment="1">
      <alignment horizontal="center"/>
    </xf>
    <xf numFmtId="165" fontId="1" fillId="0" borderId="0" xfId="0" applyNumberFormat="1" applyFont="1" applyAlignment="1">
      <alignment horizontal="center"/>
    </xf>
    <xf numFmtId="165" fontId="5" fillId="0" borderId="1" xfId="0" applyNumberFormat="1" applyFont="1" applyBorder="1" applyAlignment="1">
      <alignment horizontal="center"/>
    </xf>
    <xf numFmtId="165" fontId="5" fillId="0" borderId="7" xfId="0" applyNumberFormat="1" applyFont="1" applyBorder="1" applyAlignment="1">
      <alignment horizontal="center"/>
    </xf>
    <xf numFmtId="165" fontId="5" fillId="0" borderId="2" xfId="0" applyNumberFormat="1" applyFont="1" applyBorder="1" applyAlignment="1">
      <alignment horizontal="center"/>
    </xf>
    <xf numFmtId="0" fontId="1" fillId="0" borderId="6" xfId="0" applyFont="1" applyBorder="1" applyAlignment="1">
      <alignment horizontal="center"/>
    </xf>
    <xf numFmtId="164" fontId="7" fillId="0" borderId="6" xfId="0" applyNumberFormat="1" applyFont="1" applyBorder="1" applyAlignment="1">
      <alignment horizontal="center"/>
    </xf>
    <xf numFmtId="171" fontId="3" fillId="0" borderId="6" xfId="0" applyNumberFormat="1" applyFont="1" applyBorder="1" applyAlignment="1">
      <alignment horizontal="center"/>
    </xf>
    <xf numFmtId="168" fontId="4" fillId="0" borderId="6" xfId="0" applyNumberFormat="1" applyFont="1" applyBorder="1" applyAlignment="1">
      <alignment horizontal="center"/>
    </xf>
    <xf numFmtId="0" fontId="2" fillId="2" borderId="1" xfId="0" applyFont="1" applyFill="1" applyBorder="1"/>
    <xf numFmtId="0" fontId="2" fillId="2" borderId="7" xfId="0" applyFont="1" applyFill="1" applyBorder="1"/>
    <xf numFmtId="0" fontId="2" fillId="2" borderId="2" xfId="0" applyFont="1" applyFill="1" applyBorder="1"/>
    <xf numFmtId="0" fontId="8" fillId="6" borderId="8" xfId="0" applyFont="1" applyFill="1" applyBorder="1" applyAlignment="1">
      <alignment horizontal="right"/>
    </xf>
    <xf numFmtId="0" fontId="8" fillId="6" borderId="9" xfId="0" applyFont="1" applyFill="1" applyBorder="1" applyAlignment="1">
      <alignment horizontal="center"/>
    </xf>
    <xf numFmtId="0" fontId="8" fillId="6" borderId="10" xfId="0" applyFont="1" applyFill="1" applyBorder="1" applyAlignment="1">
      <alignment horizontal="center"/>
    </xf>
    <xf numFmtId="0" fontId="8" fillId="6" borderId="15" xfId="0" applyFont="1" applyFill="1" applyBorder="1" applyAlignment="1">
      <alignment horizontal="right"/>
    </xf>
    <xf numFmtId="14" fontId="8" fillId="6" borderId="13" xfId="0" applyNumberFormat="1" applyFont="1" applyFill="1" applyBorder="1" applyAlignment="1">
      <alignment horizontal="center"/>
    </xf>
    <xf numFmtId="14" fontId="8" fillId="6" borderId="14" xfId="0" applyNumberFormat="1" applyFont="1" applyFill="1" applyBorder="1" applyAlignment="1">
      <alignment horizontal="center"/>
    </xf>
    <xf numFmtId="164" fontId="1" fillId="0" borderId="0" xfId="0" applyNumberFormat="1" applyFont="1"/>
    <xf numFmtId="164" fontId="1" fillId="0" borderId="0" xfId="0" applyNumberFormat="1" applyFont="1" applyAlignment="1">
      <alignment horizontal="center"/>
    </xf>
    <xf numFmtId="164" fontId="1" fillId="0" borderId="12" xfId="0" applyNumberFormat="1" applyFont="1" applyBorder="1" applyAlignment="1">
      <alignment horizontal="center"/>
    </xf>
    <xf numFmtId="164" fontId="5" fillId="0" borderId="7" xfId="0" applyNumberFormat="1" applyFont="1" applyBorder="1" applyAlignment="1">
      <alignment horizontal="center"/>
    </xf>
    <xf numFmtId="164" fontId="5" fillId="0" borderId="2" xfId="0" applyNumberFormat="1" applyFont="1" applyBorder="1" applyAlignment="1">
      <alignment horizontal="center"/>
    </xf>
    <xf numFmtId="0" fontId="2" fillId="2" borderId="1" xfId="0" applyFont="1" applyFill="1" applyBorder="1" applyAlignment="1">
      <alignment horizontal="center"/>
    </xf>
    <xf numFmtId="168" fontId="2" fillId="2" borderId="8" xfId="0" applyNumberFormat="1" applyFont="1" applyFill="1" applyBorder="1" applyAlignment="1">
      <alignment horizontal="right"/>
    </xf>
    <xf numFmtId="170" fontId="2" fillId="2" borderId="15" xfId="0" applyNumberFormat="1" applyFont="1" applyFill="1" applyBorder="1" applyAlignment="1">
      <alignment horizontal="right"/>
    </xf>
    <xf numFmtId="1" fontId="10" fillId="2" borderId="9" xfId="0" applyNumberFormat="1" applyFont="1" applyFill="1" applyBorder="1" applyAlignment="1">
      <alignment horizontal="center"/>
    </xf>
    <xf numFmtId="1" fontId="10" fillId="2" borderId="10" xfId="0" applyNumberFormat="1" applyFont="1" applyFill="1" applyBorder="1" applyAlignment="1">
      <alignment horizontal="center"/>
    </xf>
    <xf numFmtId="172" fontId="10" fillId="2" borderId="0" xfId="0" applyNumberFormat="1" applyFont="1" applyFill="1" applyAlignment="1">
      <alignment horizontal="center"/>
    </xf>
    <xf numFmtId="1" fontId="10" fillId="2" borderId="0" xfId="0" applyNumberFormat="1" applyFont="1" applyFill="1" applyAlignment="1">
      <alignment horizontal="center"/>
    </xf>
    <xf numFmtId="172" fontId="10" fillId="2" borderId="9" xfId="0" applyNumberFormat="1" applyFont="1" applyFill="1" applyBorder="1" applyAlignment="1">
      <alignment horizontal="center"/>
    </xf>
    <xf numFmtId="170" fontId="2" fillId="2" borderId="11" xfId="0" applyNumberFormat="1" applyFont="1" applyFill="1" applyBorder="1" applyAlignment="1">
      <alignment horizontal="right"/>
    </xf>
    <xf numFmtId="1" fontId="10" fillId="2" borderId="12" xfId="0" applyNumberFormat="1" applyFont="1" applyFill="1" applyBorder="1" applyAlignment="1">
      <alignment horizontal="center"/>
    </xf>
    <xf numFmtId="14" fontId="9" fillId="2" borderId="13" xfId="0" applyNumberFormat="1" applyFont="1" applyFill="1" applyBorder="1" applyAlignment="1">
      <alignment horizontal="center"/>
    </xf>
    <xf numFmtId="14" fontId="9" fillId="2" borderId="14" xfId="0" applyNumberFormat="1" applyFont="1" applyFill="1" applyBorder="1" applyAlignment="1">
      <alignment horizontal="center"/>
    </xf>
    <xf numFmtId="0" fontId="5" fillId="3" borderId="4" xfId="0" applyFont="1" applyFill="1" applyBorder="1" applyAlignment="1">
      <alignment horizontal="right"/>
    </xf>
    <xf numFmtId="38" fontId="1" fillId="0" borderId="8" xfId="0" applyNumberFormat="1" applyFont="1" applyBorder="1" applyAlignment="1">
      <alignment horizontal="center"/>
    </xf>
    <xf numFmtId="38" fontId="1" fillId="0" borderId="9" xfId="0" applyNumberFormat="1" applyFont="1" applyBorder="1" applyAlignment="1">
      <alignment horizontal="center"/>
    </xf>
    <xf numFmtId="38" fontId="1" fillId="0" borderId="10" xfId="0" applyNumberFormat="1" applyFont="1" applyBorder="1" applyAlignment="1">
      <alignment horizontal="center"/>
    </xf>
    <xf numFmtId="38" fontId="1" fillId="0" borderId="11" xfId="0" applyNumberFormat="1" applyFont="1" applyBorder="1" applyAlignment="1">
      <alignment horizontal="center"/>
    </xf>
    <xf numFmtId="38" fontId="1" fillId="0" borderId="0" xfId="0" applyNumberFormat="1" applyFont="1" applyAlignment="1">
      <alignment horizontal="center"/>
    </xf>
    <xf numFmtId="38" fontId="1" fillId="0" borderId="12" xfId="0" applyNumberFormat="1" applyFont="1" applyBorder="1" applyAlignment="1">
      <alignment horizontal="center"/>
    </xf>
    <xf numFmtId="38" fontId="1" fillId="0" borderId="1" xfId="0" applyNumberFormat="1" applyFont="1" applyBorder="1" applyAlignment="1">
      <alignment horizontal="center"/>
    </xf>
    <xf numFmtId="38" fontId="5" fillId="0" borderId="7" xfId="0" applyNumberFormat="1" applyFont="1" applyBorder="1" applyAlignment="1">
      <alignment horizontal="center"/>
    </xf>
    <xf numFmtId="38" fontId="5" fillId="0" borderId="2" xfId="0" applyNumberFormat="1" applyFont="1" applyBorder="1" applyAlignment="1">
      <alignment horizontal="center"/>
    </xf>
    <xf numFmtId="38" fontId="5" fillId="0" borderId="1" xfId="0" applyNumberFormat="1" applyFont="1" applyBorder="1" applyAlignment="1">
      <alignment horizontal="center"/>
    </xf>
    <xf numFmtId="0" fontId="1" fillId="0" borderId="0" xfId="0" applyFont="1" applyAlignment="1">
      <alignment horizontal="center"/>
    </xf>
    <xf numFmtId="38" fontId="11" fillId="0" borderId="0" xfId="0" applyNumberFormat="1" applyFont="1"/>
    <xf numFmtId="0" fontId="11" fillId="0" borderId="0" xfId="0" applyFont="1" applyAlignment="1">
      <alignment horizontal="right"/>
    </xf>
    <xf numFmtId="0" fontId="11" fillId="0" borderId="0" xfId="0" applyFont="1"/>
    <xf numFmtId="10" fontId="11" fillId="0" borderId="0" xfId="1" applyNumberFormat="1" applyFont="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0" xfId="2" applyFont="1"/>
    <xf numFmtId="0" fontId="10" fillId="2" borderId="11" xfId="2" applyFont="1" applyFill="1" applyBorder="1" applyAlignment="1">
      <alignment vertical="top" wrapText="1"/>
    </xf>
    <xf numFmtId="0" fontId="10" fillId="2" borderId="0" xfId="2" applyFont="1" applyFill="1" applyAlignment="1">
      <alignment vertical="top" wrapText="1"/>
    </xf>
    <xf numFmtId="0" fontId="10" fillId="2" borderId="12" xfId="2" applyFont="1" applyFill="1" applyBorder="1" applyAlignment="1">
      <alignment vertical="top" wrapText="1"/>
    </xf>
    <xf numFmtId="0" fontId="10" fillId="0" borderId="9" xfId="2" applyFont="1" applyBorder="1" applyAlignment="1">
      <alignment vertical="top" wrapText="1"/>
    </xf>
    <xf numFmtId="0" fontId="4" fillId="0" borderId="9" xfId="2" applyFont="1" applyBorder="1" applyAlignment="1">
      <alignment vertical="top" wrapText="1"/>
    </xf>
    <xf numFmtId="0" fontId="10" fillId="0" borderId="0" xfId="2" applyFont="1" applyAlignment="1">
      <alignment vertical="top" wrapText="1"/>
    </xf>
    <xf numFmtId="9" fontId="1" fillId="0" borderId="0" xfId="1" applyFont="1"/>
    <xf numFmtId="173" fontId="1" fillId="0" borderId="0" xfId="3" applyNumberFormat="1" applyFont="1"/>
    <xf numFmtId="164" fontId="1" fillId="0" borderId="10" xfId="0" applyNumberFormat="1" applyFont="1" applyBorder="1" applyAlignment="1">
      <alignment horizontal="center"/>
    </xf>
    <xf numFmtId="171" fontId="3" fillId="0" borderId="4" xfId="1" applyNumberFormat="1" applyFont="1" applyBorder="1" applyAlignment="1">
      <alignment horizontal="center"/>
    </xf>
    <xf numFmtId="9" fontId="1" fillId="0" borderId="4" xfId="1" applyFont="1" applyBorder="1" applyAlignment="1">
      <alignment horizontal="center"/>
    </xf>
    <xf numFmtId="9" fontId="3" fillId="0" borderId="4" xfId="1" applyFont="1" applyFill="1" applyBorder="1" applyAlignment="1">
      <alignment horizontal="center"/>
    </xf>
    <xf numFmtId="10" fontId="1" fillId="0" borderId="4" xfId="1" applyNumberFormat="1" applyFont="1" applyFill="1" applyBorder="1" applyAlignment="1">
      <alignment horizontal="center"/>
    </xf>
    <xf numFmtId="10" fontId="3" fillId="0" borderId="4" xfId="1" applyNumberFormat="1" applyFont="1" applyFill="1" applyBorder="1" applyAlignment="1">
      <alignment horizontal="center"/>
    </xf>
    <xf numFmtId="168" fontId="4" fillId="0" borderId="3" xfId="0" applyNumberFormat="1" applyFont="1" applyBorder="1" applyAlignment="1">
      <alignment horizontal="center"/>
    </xf>
    <xf numFmtId="174" fontId="9" fillId="2" borderId="7" xfId="0" applyNumberFormat="1" applyFont="1" applyFill="1" applyBorder="1" applyAlignment="1">
      <alignment horizontal="center"/>
    </xf>
    <xf numFmtId="175" fontId="9" fillId="2" borderId="7" xfId="0" applyNumberFormat="1" applyFont="1" applyFill="1" applyBorder="1" applyAlignment="1">
      <alignment horizontal="center"/>
    </xf>
    <xf numFmtId="174" fontId="8" fillId="3" borderId="6" xfId="0" applyNumberFormat="1" applyFont="1" applyFill="1" applyBorder="1" applyAlignment="1">
      <alignment horizontal="center"/>
    </xf>
    <xf numFmtId="175" fontId="9" fillId="2" borderId="8" xfId="0" applyNumberFormat="1" applyFont="1" applyFill="1" applyBorder="1" applyAlignment="1">
      <alignment horizontal="center"/>
    </xf>
    <xf numFmtId="174" fontId="9" fillId="2" borderId="15" xfId="0" applyNumberFormat="1" applyFont="1" applyFill="1" applyBorder="1" applyAlignment="1">
      <alignment horizontal="center"/>
    </xf>
    <xf numFmtId="175" fontId="3" fillId="0" borderId="6" xfId="0" applyNumberFormat="1" applyFont="1" applyBorder="1" applyAlignment="1">
      <alignment horizontal="center"/>
    </xf>
    <xf numFmtId="176" fontId="1" fillId="0" borderId="6" xfId="0" applyNumberFormat="1" applyFont="1" applyBorder="1" applyAlignment="1">
      <alignment horizontal="center"/>
    </xf>
    <xf numFmtId="175" fontId="5" fillId="0" borderId="6" xfId="0" applyNumberFormat="1" applyFont="1" applyBorder="1" applyAlignment="1">
      <alignment horizontal="center"/>
    </xf>
    <xf numFmtId="176" fontId="5" fillId="0" borderId="6" xfId="0" applyNumberFormat="1" applyFont="1" applyBorder="1" applyAlignment="1">
      <alignment horizontal="center"/>
    </xf>
    <xf numFmtId="3" fontId="1" fillId="0" borderId="0" xfId="0" applyNumberFormat="1" applyFont="1"/>
    <xf numFmtId="176" fontId="3" fillId="0" borderId="4" xfId="0" applyNumberFormat="1" applyFont="1" applyBorder="1" applyAlignment="1">
      <alignment horizontal="center"/>
    </xf>
    <xf numFmtId="176" fontId="3" fillId="0" borderId="5" xfId="0" applyNumberFormat="1" applyFont="1" applyBorder="1" applyAlignment="1">
      <alignment horizontal="center"/>
    </xf>
    <xf numFmtId="10" fontId="3" fillId="0" borderId="6" xfId="0" applyNumberFormat="1" applyFont="1" applyBorder="1" applyAlignment="1">
      <alignment horizontal="center"/>
    </xf>
    <xf numFmtId="0" fontId="1" fillId="7" borderId="5" xfId="0" applyFont="1" applyFill="1" applyBorder="1" applyAlignment="1">
      <alignment horizontal="right"/>
    </xf>
    <xf numFmtId="0" fontId="1" fillId="7" borderId="4" xfId="0" applyFont="1" applyFill="1" applyBorder="1" applyAlignment="1">
      <alignment horizontal="right"/>
    </xf>
    <xf numFmtId="175" fontId="3" fillId="0" borderId="3" xfId="0" applyNumberFormat="1" applyFont="1" applyBorder="1" applyAlignment="1">
      <alignment horizontal="center"/>
    </xf>
    <xf numFmtId="175" fontId="3" fillId="0" borderId="4" xfId="1" applyNumberFormat="1" applyFont="1" applyBorder="1" applyAlignment="1">
      <alignment horizontal="center"/>
    </xf>
    <xf numFmtId="0" fontId="13" fillId="0" borderId="0" xfId="0" applyFont="1"/>
    <xf numFmtId="0" fontId="15" fillId="0" borderId="0" xfId="0" applyFont="1"/>
    <xf numFmtId="0" fontId="17" fillId="0" borderId="21" xfId="0" applyFont="1" applyBorder="1" applyAlignment="1">
      <alignment horizontal="center"/>
    </xf>
    <xf numFmtId="0" fontId="13" fillId="0" borderId="0" xfId="0" applyFont="1" applyAlignment="1">
      <alignment horizontal="center"/>
    </xf>
    <xf numFmtId="0" fontId="13" fillId="0" borderId="0" xfId="0" quotePrefix="1" applyFont="1"/>
    <xf numFmtId="0" fontId="13" fillId="9" borderId="0" xfId="0" applyFont="1" applyFill="1"/>
    <xf numFmtId="0" fontId="13" fillId="0" borderId="0" xfId="0" quotePrefix="1" applyFont="1" applyAlignment="1">
      <alignment horizontal="left"/>
    </xf>
    <xf numFmtId="0" fontId="0" fillId="8" borderId="0" xfId="0" applyFill="1"/>
    <xf numFmtId="43" fontId="1" fillId="0" borderId="0" xfId="4" applyFont="1" applyAlignment="1">
      <alignment horizontal="center"/>
    </xf>
    <xf numFmtId="43" fontId="1" fillId="0" borderId="0" xfId="0" applyNumberFormat="1" applyFont="1"/>
    <xf numFmtId="10" fontId="7" fillId="5" borderId="6" xfId="0" applyNumberFormat="1" applyFont="1" applyFill="1" applyBorder="1" applyAlignment="1">
      <alignment horizontal="center"/>
    </xf>
    <xf numFmtId="10" fontId="2" fillId="2" borderId="6" xfId="1" applyNumberFormat="1" applyFont="1" applyFill="1" applyBorder="1" applyAlignment="1">
      <alignment horizontal="center"/>
    </xf>
    <xf numFmtId="10" fontId="1" fillId="0" borderId="4" xfId="1" applyNumberFormat="1" applyFont="1" applyBorder="1"/>
    <xf numFmtId="10" fontId="1" fillId="0" borderId="5" xfId="1" applyNumberFormat="1" applyFont="1" applyBorder="1"/>
    <xf numFmtId="0" fontId="10" fillId="2" borderId="8" xfId="2" applyFont="1" applyFill="1" applyBorder="1" applyAlignment="1">
      <alignment horizontal="center" vertical="top" wrapText="1"/>
    </xf>
    <xf numFmtId="0" fontId="10" fillId="2" borderId="9" xfId="2" applyFont="1" applyFill="1" applyBorder="1" applyAlignment="1">
      <alignment horizontal="center" vertical="top" wrapText="1"/>
    </xf>
    <xf numFmtId="0" fontId="10" fillId="2" borderId="10" xfId="2" applyFont="1" applyFill="1" applyBorder="1" applyAlignment="1">
      <alignment horizontal="center" vertical="top" wrapText="1"/>
    </xf>
    <xf numFmtId="0" fontId="10" fillId="2" borderId="11" xfId="2" applyFont="1" applyFill="1" applyBorder="1" applyAlignment="1">
      <alignment horizontal="center" vertical="top" wrapText="1"/>
    </xf>
    <xf numFmtId="0" fontId="10" fillId="2" borderId="0" xfId="2" applyFont="1" applyFill="1" applyAlignment="1">
      <alignment horizontal="center" vertical="top" wrapText="1"/>
    </xf>
    <xf numFmtId="0" fontId="10" fillId="2" borderId="12" xfId="2" applyFont="1" applyFill="1" applyBorder="1" applyAlignment="1">
      <alignment horizontal="center" vertical="top" wrapText="1"/>
    </xf>
    <xf numFmtId="0" fontId="13" fillId="0" borderId="0" xfId="0" quotePrefix="1" applyFont="1" applyAlignment="1">
      <alignment horizontal="left" wrapText="1"/>
    </xf>
    <xf numFmtId="0" fontId="18" fillId="0" borderId="0" xfId="0" applyFont="1" applyAlignment="1">
      <alignment horizontal="right" vertical="center" wrapText="1"/>
    </xf>
    <xf numFmtId="0" fontId="13" fillId="0" borderId="0" xfId="0" quotePrefix="1" applyFont="1" applyAlignment="1">
      <alignment horizontal="left" vertical="center" wrapText="1"/>
    </xf>
    <xf numFmtId="0" fontId="13" fillId="9" borderId="9" xfId="0" applyFont="1" applyFill="1" applyBorder="1" applyAlignment="1">
      <alignment horizontal="left" vertical="center"/>
    </xf>
    <xf numFmtId="0" fontId="13" fillId="9" borderId="13" xfId="0" applyFont="1" applyFill="1" applyBorder="1" applyAlignment="1">
      <alignment horizontal="left" vertical="center"/>
    </xf>
    <xf numFmtId="0" fontId="16" fillId="9" borderId="9" xfId="0" quotePrefix="1" applyFont="1" applyFill="1" applyBorder="1" applyAlignment="1">
      <alignment horizontal="right" vertical="top" wrapText="1"/>
    </xf>
    <xf numFmtId="0" fontId="16" fillId="9" borderId="13" xfId="0" quotePrefix="1" applyFont="1" applyFill="1" applyBorder="1" applyAlignment="1">
      <alignment horizontal="right" vertical="top" wrapText="1"/>
    </xf>
    <xf numFmtId="0" fontId="13" fillId="0" borderId="9" xfId="0" quotePrefix="1" applyFont="1" applyBorder="1" applyAlignment="1">
      <alignment horizontal="left" vertical="center" wrapText="1"/>
    </xf>
    <xf numFmtId="0" fontId="13" fillId="0" borderId="9" xfId="0" applyFont="1" applyBorder="1" applyAlignment="1">
      <alignment horizontal="left" vertical="center" wrapText="1"/>
    </xf>
    <xf numFmtId="0" fontId="13" fillId="0" borderId="13" xfId="0" applyFont="1" applyBorder="1" applyAlignment="1">
      <alignment horizontal="left" vertical="center" wrapText="1"/>
    </xf>
    <xf numFmtId="0" fontId="16" fillId="0" borderId="9" xfId="0" quotePrefix="1" applyFont="1" applyBorder="1" applyAlignment="1">
      <alignment horizontal="right" vertical="center" wrapText="1"/>
    </xf>
    <xf numFmtId="0" fontId="16" fillId="0" borderId="13" xfId="0" quotePrefix="1" applyFont="1" applyBorder="1" applyAlignment="1">
      <alignment horizontal="right" vertical="center" wrapText="1"/>
    </xf>
    <xf numFmtId="0" fontId="13" fillId="9" borderId="9" xfId="0" quotePrefix="1" applyFont="1" applyFill="1" applyBorder="1" applyAlignment="1">
      <alignment horizontal="left" vertical="center"/>
    </xf>
    <xf numFmtId="0" fontId="13" fillId="9" borderId="0" xfId="0" applyFont="1" applyFill="1" applyAlignment="1">
      <alignment horizontal="left" vertical="center"/>
    </xf>
    <xf numFmtId="0" fontId="16" fillId="9" borderId="9" xfId="0" quotePrefix="1" applyFont="1" applyFill="1" applyBorder="1" applyAlignment="1">
      <alignment horizontal="right" wrapText="1"/>
    </xf>
    <xf numFmtId="0" fontId="16" fillId="9" borderId="0" xfId="0" quotePrefix="1" applyFont="1" applyFill="1" applyAlignment="1">
      <alignment horizontal="right" wrapText="1"/>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0" xfId="0" applyFont="1" applyBorder="1" applyAlignment="1">
      <alignment horizontal="center" vertical="center" wrapText="1"/>
    </xf>
    <xf numFmtId="0" fontId="13" fillId="0" borderId="0" xfId="0" applyFont="1" applyAlignment="1">
      <alignment horizontal="left" vertical="top" wrapText="1"/>
    </xf>
    <xf numFmtId="0" fontId="13" fillId="9" borderId="0" xfId="0" quotePrefix="1" applyFont="1" applyFill="1" applyAlignment="1">
      <alignment horizontal="left" vertical="center" wrapText="1"/>
    </xf>
    <xf numFmtId="0" fontId="13" fillId="9" borderId="0" xfId="0" applyFont="1" applyFill="1" applyAlignment="1">
      <alignment horizontal="left" vertical="center" wrapText="1"/>
    </xf>
    <xf numFmtId="0" fontId="13" fillId="9" borderId="13" xfId="0" applyFont="1" applyFill="1" applyBorder="1" applyAlignment="1">
      <alignment horizontal="left" vertical="center" wrapText="1"/>
    </xf>
    <xf numFmtId="0" fontId="16" fillId="9" borderId="0" xfId="0" quotePrefix="1" applyFont="1" applyFill="1" applyAlignment="1">
      <alignment horizontal="right" vertical="center"/>
    </xf>
    <xf numFmtId="0" fontId="16" fillId="9" borderId="13" xfId="0" quotePrefix="1" applyFont="1" applyFill="1" applyBorder="1" applyAlignment="1">
      <alignment horizontal="right" vertical="center"/>
    </xf>
  </cellXfs>
  <cellStyles count="5">
    <cellStyle name="Millares" xfId="4" builtinId="3"/>
    <cellStyle name="Moneda" xfId="3" builtinId="4"/>
    <cellStyle name="Normal" xfId="0" builtinId="0"/>
    <cellStyle name="Normal 2 2 2" xfId="2" xr:uid="{28C23029-FAF0-4175-ACA9-E761FEED5AD8}"/>
    <cellStyle name="Porcentaje" xfId="1" builtinId="5"/>
  </cellStyles>
  <dxfs count="1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323850</xdr:colOff>
      <xdr:row>0</xdr:row>
      <xdr:rowOff>0</xdr:rowOff>
    </xdr:from>
    <xdr:to>
      <xdr:col>9</xdr:col>
      <xdr:colOff>419597</xdr:colOff>
      <xdr:row>3</xdr:row>
      <xdr:rowOff>139120</xdr:rowOff>
    </xdr:to>
    <xdr:pic>
      <xdr:nvPicPr>
        <xdr:cNvPr id="2" name="Picture 1">
          <a:extLst>
            <a:ext uri="{FF2B5EF4-FFF2-40B4-BE49-F238E27FC236}">
              <a16:creationId xmlns:a16="http://schemas.microsoft.com/office/drawing/2014/main" id="{2200F2AD-C39F-4436-B381-DE833B70EE9B}"/>
            </a:ext>
          </a:extLst>
        </xdr:cNvPr>
        <xdr:cNvPicPr>
          <a:picLocks noChangeAspect="1"/>
        </xdr:cNvPicPr>
      </xdr:nvPicPr>
      <xdr:blipFill>
        <a:blip xmlns:r="http://schemas.openxmlformats.org/officeDocument/2006/relationships" r:embed="rId1"/>
        <a:stretch>
          <a:fillRect/>
        </a:stretch>
      </xdr:blipFill>
      <xdr:spPr>
        <a:xfrm>
          <a:off x="2876550" y="0"/>
          <a:ext cx="3296147" cy="60775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052FA-06E7-44FE-A6FA-537C4DFDF852}">
  <dimension ref="A5:N50"/>
  <sheetViews>
    <sheetView showGridLines="0" view="pageBreakPreview" zoomScaleNormal="100" zoomScaleSheetLayoutView="100" workbookViewId="0"/>
  </sheetViews>
  <sheetFormatPr baseColWidth="10" defaultColWidth="8.85546875" defaultRowHeight="13.5" x14ac:dyDescent="0.25"/>
  <cols>
    <col min="1" max="16384" width="8.85546875" style="159"/>
  </cols>
  <sheetData>
    <row r="5" spans="1:14" ht="12.4" customHeight="1" x14ac:dyDescent="0.25">
      <c r="A5" s="206" t="s">
        <v>56</v>
      </c>
      <c r="B5" s="207"/>
      <c r="C5" s="207"/>
      <c r="D5" s="207"/>
      <c r="E5" s="207"/>
      <c r="F5" s="207"/>
      <c r="G5" s="207"/>
      <c r="H5" s="207"/>
      <c r="I5" s="207"/>
      <c r="J5" s="207"/>
      <c r="K5" s="207"/>
      <c r="L5" s="207"/>
      <c r="M5" s="207"/>
      <c r="N5" s="208"/>
    </row>
    <row r="6" spans="1:14" x14ac:dyDescent="0.25">
      <c r="A6" s="209"/>
      <c r="B6" s="210"/>
      <c r="C6" s="210"/>
      <c r="D6" s="210"/>
      <c r="E6" s="210"/>
      <c r="F6" s="210"/>
      <c r="G6" s="210"/>
      <c r="H6" s="210"/>
      <c r="I6" s="210"/>
      <c r="J6" s="210"/>
      <c r="K6" s="210"/>
      <c r="L6" s="210"/>
      <c r="M6" s="210"/>
      <c r="N6" s="211"/>
    </row>
    <row r="7" spans="1:14" x14ac:dyDescent="0.25">
      <c r="A7" s="209"/>
      <c r="B7" s="210"/>
      <c r="C7" s="210"/>
      <c r="D7" s="210"/>
      <c r="E7" s="210"/>
      <c r="F7" s="210"/>
      <c r="G7" s="210"/>
      <c r="H7" s="210"/>
      <c r="I7" s="210"/>
      <c r="J7" s="210"/>
      <c r="K7" s="210"/>
      <c r="L7" s="210"/>
      <c r="M7" s="210"/>
      <c r="N7" s="211"/>
    </row>
    <row r="8" spans="1:14" x14ac:dyDescent="0.25">
      <c r="A8" s="209"/>
      <c r="B8" s="210"/>
      <c r="C8" s="210"/>
      <c r="D8" s="210"/>
      <c r="E8" s="210"/>
      <c r="F8" s="210"/>
      <c r="G8" s="210"/>
      <c r="H8" s="210"/>
      <c r="I8" s="210"/>
      <c r="J8" s="210"/>
      <c r="K8" s="210"/>
      <c r="L8" s="210"/>
      <c r="M8" s="210"/>
      <c r="N8" s="211"/>
    </row>
    <row r="9" spans="1:14" x14ac:dyDescent="0.25">
      <c r="A9" s="209"/>
      <c r="B9" s="210"/>
      <c r="C9" s="210"/>
      <c r="D9" s="210"/>
      <c r="E9" s="210"/>
      <c r="F9" s="210"/>
      <c r="G9" s="210"/>
      <c r="H9" s="210"/>
      <c r="I9" s="210"/>
      <c r="J9" s="210"/>
      <c r="K9" s="210"/>
      <c r="L9" s="210"/>
      <c r="M9" s="210"/>
      <c r="N9" s="211"/>
    </row>
    <row r="10" spans="1:14" x14ac:dyDescent="0.25">
      <c r="A10" s="209"/>
      <c r="B10" s="210"/>
      <c r="C10" s="210"/>
      <c r="D10" s="210"/>
      <c r="E10" s="210"/>
      <c r="F10" s="210"/>
      <c r="G10" s="210"/>
      <c r="H10" s="210"/>
      <c r="I10" s="210"/>
      <c r="J10" s="210"/>
      <c r="K10" s="210"/>
      <c r="L10" s="210"/>
      <c r="M10" s="210"/>
      <c r="N10" s="211"/>
    </row>
    <row r="11" spans="1:14" x14ac:dyDescent="0.25">
      <c r="A11" s="209"/>
      <c r="B11" s="210"/>
      <c r="C11" s="210"/>
      <c r="D11" s="210"/>
      <c r="E11" s="210"/>
      <c r="F11" s="210"/>
      <c r="G11" s="210"/>
      <c r="H11" s="210"/>
      <c r="I11" s="210"/>
      <c r="J11" s="210"/>
      <c r="K11" s="210"/>
      <c r="L11" s="210"/>
      <c r="M11" s="210"/>
      <c r="N11" s="211"/>
    </row>
    <row r="12" spans="1:14" x14ac:dyDescent="0.25">
      <c r="A12" s="209"/>
      <c r="B12" s="210"/>
      <c r="C12" s="210"/>
      <c r="D12" s="210"/>
      <c r="E12" s="210"/>
      <c r="F12" s="210"/>
      <c r="G12" s="210"/>
      <c r="H12" s="210"/>
      <c r="I12" s="210"/>
      <c r="J12" s="210"/>
      <c r="K12" s="210"/>
      <c r="L12" s="210"/>
      <c r="M12" s="210"/>
      <c r="N12" s="211"/>
    </row>
    <row r="13" spans="1:14" x14ac:dyDescent="0.25">
      <c r="A13" s="209"/>
      <c r="B13" s="210"/>
      <c r="C13" s="210"/>
      <c r="D13" s="210"/>
      <c r="E13" s="210"/>
      <c r="F13" s="210"/>
      <c r="G13" s="210"/>
      <c r="H13" s="210"/>
      <c r="I13" s="210"/>
      <c r="J13" s="210"/>
      <c r="K13" s="210"/>
      <c r="L13" s="210"/>
      <c r="M13" s="210"/>
      <c r="N13" s="211"/>
    </row>
    <row r="14" spans="1:14" x14ac:dyDescent="0.25">
      <c r="A14" s="209"/>
      <c r="B14" s="210"/>
      <c r="C14" s="210"/>
      <c r="D14" s="210"/>
      <c r="E14" s="210"/>
      <c r="F14" s="210"/>
      <c r="G14" s="210"/>
      <c r="H14" s="210"/>
      <c r="I14" s="210"/>
      <c r="J14" s="210"/>
      <c r="K14" s="210"/>
      <c r="L14" s="210"/>
      <c r="M14" s="210"/>
      <c r="N14" s="211"/>
    </row>
    <row r="15" spans="1:14" x14ac:dyDescent="0.25">
      <c r="A15" s="209"/>
      <c r="B15" s="210"/>
      <c r="C15" s="210"/>
      <c r="D15" s="210"/>
      <c r="E15" s="210"/>
      <c r="F15" s="210"/>
      <c r="G15" s="210"/>
      <c r="H15" s="210"/>
      <c r="I15" s="210"/>
      <c r="J15" s="210"/>
      <c r="K15" s="210"/>
      <c r="L15" s="210"/>
      <c r="M15" s="210"/>
      <c r="N15" s="211"/>
    </row>
    <row r="16" spans="1:14" x14ac:dyDescent="0.25">
      <c r="A16" s="209"/>
      <c r="B16" s="210"/>
      <c r="C16" s="210"/>
      <c r="D16" s="210"/>
      <c r="E16" s="210"/>
      <c r="F16" s="210"/>
      <c r="G16" s="210"/>
      <c r="H16" s="210"/>
      <c r="I16" s="210"/>
      <c r="J16" s="210"/>
      <c r="K16" s="210"/>
      <c r="L16" s="210"/>
      <c r="M16" s="210"/>
      <c r="N16" s="211"/>
    </row>
    <row r="17" spans="1:14" x14ac:dyDescent="0.25">
      <c r="A17" s="209"/>
      <c r="B17" s="210"/>
      <c r="C17" s="210"/>
      <c r="D17" s="210"/>
      <c r="E17" s="210"/>
      <c r="F17" s="210"/>
      <c r="G17" s="210"/>
      <c r="H17" s="210"/>
      <c r="I17" s="210"/>
      <c r="J17" s="210"/>
      <c r="K17" s="210"/>
      <c r="L17" s="210"/>
      <c r="M17" s="210"/>
      <c r="N17" s="211"/>
    </row>
    <row r="18" spans="1:14" x14ac:dyDescent="0.25">
      <c r="A18" s="209"/>
      <c r="B18" s="210"/>
      <c r="C18" s="210"/>
      <c r="D18" s="210"/>
      <c r="E18" s="210"/>
      <c r="F18" s="210"/>
      <c r="G18" s="210"/>
      <c r="H18" s="210"/>
      <c r="I18" s="210"/>
      <c r="J18" s="210"/>
      <c r="K18" s="210"/>
      <c r="L18" s="210"/>
      <c r="M18" s="210"/>
      <c r="N18" s="211"/>
    </row>
    <row r="19" spans="1:14" x14ac:dyDescent="0.25">
      <c r="A19" s="209"/>
      <c r="B19" s="210"/>
      <c r="C19" s="210"/>
      <c r="D19" s="210"/>
      <c r="E19" s="210"/>
      <c r="F19" s="210"/>
      <c r="G19" s="210"/>
      <c r="H19" s="210"/>
      <c r="I19" s="210"/>
      <c r="J19" s="210"/>
      <c r="K19" s="210"/>
      <c r="L19" s="210"/>
      <c r="M19" s="210"/>
      <c r="N19" s="211"/>
    </row>
    <row r="20" spans="1:14" x14ac:dyDescent="0.25">
      <c r="A20" s="209"/>
      <c r="B20" s="210"/>
      <c r="C20" s="210"/>
      <c r="D20" s="210"/>
      <c r="E20" s="210"/>
      <c r="F20" s="210"/>
      <c r="G20" s="210"/>
      <c r="H20" s="210"/>
      <c r="I20" s="210"/>
      <c r="J20" s="210"/>
      <c r="K20" s="210"/>
      <c r="L20" s="210"/>
      <c r="M20" s="210"/>
      <c r="N20" s="211"/>
    </row>
    <row r="21" spans="1:14" x14ac:dyDescent="0.25">
      <c r="A21" s="209"/>
      <c r="B21" s="210"/>
      <c r="C21" s="210"/>
      <c r="D21" s="210"/>
      <c r="E21" s="210"/>
      <c r="F21" s="210"/>
      <c r="G21" s="210"/>
      <c r="H21" s="210"/>
      <c r="I21" s="210"/>
      <c r="J21" s="210"/>
      <c r="K21" s="210"/>
      <c r="L21" s="210"/>
      <c r="M21" s="210"/>
      <c r="N21" s="211"/>
    </row>
    <row r="22" spans="1:14" x14ac:dyDescent="0.25">
      <c r="A22" s="209"/>
      <c r="B22" s="210"/>
      <c r="C22" s="210"/>
      <c r="D22" s="210"/>
      <c r="E22" s="210"/>
      <c r="F22" s="210"/>
      <c r="G22" s="210"/>
      <c r="H22" s="210"/>
      <c r="I22" s="210"/>
      <c r="J22" s="210"/>
      <c r="K22" s="210"/>
      <c r="L22" s="210"/>
      <c r="M22" s="210"/>
      <c r="N22" s="211"/>
    </row>
    <row r="23" spans="1:14" x14ac:dyDescent="0.25">
      <c r="A23" s="209"/>
      <c r="B23" s="210"/>
      <c r="C23" s="210"/>
      <c r="D23" s="210"/>
      <c r="E23" s="210"/>
      <c r="F23" s="210"/>
      <c r="G23" s="210"/>
      <c r="H23" s="210"/>
      <c r="I23" s="210"/>
      <c r="J23" s="210"/>
      <c r="K23" s="210"/>
      <c r="L23" s="210"/>
      <c r="M23" s="210"/>
      <c r="N23" s="211"/>
    </row>
    <row r="24" spans="1:14" x14ac:dyDescent="0.25">
      <c r="A24" s="209"/>
      <c r="B24" s="210"/>
      <c r="C24" s="210"/>
      <c r="D24" s="210"/>
      <c r="E24" s="210"/>
      <c r="F24" s="210"/>
      <c r="G24" s="210"/>
      <c r="H24" s="210"/>
      <c r="I24" s="210"/>
      <c r="J24" s="210"/>
      <c r="K24" s="210"/>
      <c r="L24" s="210"/>
      <c r="M24" s="210"/>
      <c r="N24" s="211"/>
    </row>
    <row r="25" spans="1:14" x14ac:dyDescent="0.25">
      <c r="A25" s="209"/>
      <c r="B25" s="210"/>
      <c r="C25" s="210"/>
      <c r="D25" s="210"/>
      <c r="E25" s="210"/>
      <c r="F25" s="210"/>
      <c r="G25" s="210"/>
      <c r="H25" s="210"/>
      <c r="I25" s="210"/>
      <c r="J25" s="210"/>
      <c r="K25" s="210"/>
      <c r="L25" s="210"/>
      <c r="M25" s="210"/>
      <c r="N25" s="211"/>
    </row>
    <row r="26" spans="1:14" x14ac:dyDescent="0.25">
      <c r="A26" s="209"/>
      <c r="B26" s="210"/>
      <c r="C26" s="210"/>
      <c r="D26" s="210"/>
      <c r="E26" s="210"/>
      <c r="F26" s="210"/>
      <c r="G26" s="210"/>
      <c r="H26" s="210"/>
      <c r="I26" s="210"/>
      <c r="J26" s="210"/>
      <c r="K26" s="210"/>
      <c r="L26" s="210"/>
      <c r="M26" s="210"/>
      <c r="N26" s="211"/>
    </row>
    <row r="27" spans="1:14" x14ac:dyDescent="0.25">
      <c r="A27" s="209"/>
      <c r="B27" s="210"/>
      <c r="C27" s="210"/>
      <c r="D27" s="210"/>
      <c r="E27" s="210"/>
      <c r="F27" s="210"/>
      <c r="G27" s="210"/>
      <c r="H27" s="210"/>
      <c r="I27" s="210"/>
      <c r="J27" s="210"/>
      <c r="K27" s="210"/>
      <c r="L27" s="210"/>
      <c r="M27" s="210"/>
      <c r="N27" s="211"/>
    </row>
    <row r="28" spans="1:14" x14ac:dyDescent="0.25">
      <c r="A28" s="209"/>
      <c r="B28" s="210"/>
      <c r="C28" s="210"/>
      <c r="D28" s="210"/>
      <c r="E28" s="210"/>
      <c r="F28" s="210"/>
      <c r="G28" s="210"/>
      <c r="H28" s="210"/>
      <c r="I28" s="210"/>
      <c r="J28" s="210"/>
      <c r="K28" s="210"/>
      <c r="L28" s="210"/>
      <c r="M28" s="210"/>
      <c r="N28" s="211"/>
    </row>
    <row r="29" spans="1:14" x14ac:dyDescent="0.25">
      <c r="A29" s="209"/>
      <c r="B29" s="210"/>
      <c r="C29" s="210"/>
      <c r="D29" s="210"/>
      <c r="E29" s="210"/>
      <c r="F29" s="210"/>
      <c r="G29" s="210"/>
      <c r="H29" s="210"/>
      <c r="I29" s="210"/>
      <c r="J29" s="210"/>
      <c r="K29" s="210"/>
      <c r="L29" s="210"/>
      <c r="M29" s="210"/>
      <c r="N29" s="211"/>
    </row>
    <row r="30" spans="1:14" x14ac:dyDescent="0.25">
      <c r="A30" s="209"/>
      <c r="B30" s="210"/>
      <c r="C30" s="210"/>
      <c r="D30" s="210"/>
      <c r="E30" s="210"/>
      <c r="F30" s="210"/>
      <c r="G30" s="210"/>
      <c r="H30" s="210"/>
      <c r="I30" s="210"/>
      <c r="J30" s="210"/>
      <c r="K30" s="210"/>
      <c r="L30" s="210"/>
      <c r="M30" s="210"/>
      <c r="N30" s="211"/>
    </row>
    <row r="31" spans="1:14" x14ac:dyDescent="0.25">
      <c r="A31" s="209"/>
      <c r="B31" s="210"/>
      <c r="C31" s="210"/>
      <c r="D31" s="210"/>
      <c r="E31" s="210"/>
      <c r="F31" s="210"/>
      <c r="G31" s="210"/>
      <c r="H31" s="210"/>
      <c r="I31" s="210"/>
      <c r="J31" s="210"/>
      <c r="K31" s="210"/>
      <c r="L31" s="210"/>
      <c r="M31" s="210"/>
      <c r="N31" s="211"/>
    </row>
    <row r="32" spans="1:14" x14ac:dyDescent="0.25">
      <c r="A32" s="160"/>
      <c r="B32" s="161"/>
      <c r="C32" s="161"/>
      <c r="D32" s="161"/>
      <c r="E32" s="161"/>
      <c r="F32" s="161"/>
      <c r="G32" s="161"/>
      <c r="H32" s="161"/>
      <c r="I32" s="161"/>
      <c r="J32" s="161"/>
      <c r="K32" s="161"/>
      <c r="L32" s="161"/>
      <c r="M32" s="161"/>
      <c r="N32" s="162"/>
    </row>
    <row r="33" spans="1:14" x14ac:dyDescent="0.25">
      <c r="A33" s="209" t="str">
        <f ca="1">"©  "&amp;YEAR(TODAY())&amp;" Break Into CRE (www.breakintocre.com). All Rights Reserved."</f>
        <v>©  2025 Break Into CRE (www.breakintocre.com). All Rights Reserved.</v>
      </c>
      <c r="B33" s="210"/>
      <c r="C33" s="210"/>
      <c r="D33" s="210"/>
      <c r="E33" s="210"/>
      <c r="F33" s="210"/>
      <c r="G33" s="210"/>
      <c r="H33" s="210"/>
      <c r="I33" s="210"/>
      <c r="J33" s="210"/>
      <c r="K33" s="210"/>
      <c r="L33" s="210"/>
      <c r="M33" s="210"/>
      <c r="N33" s="211"/>
    </row>
    <row r="34" spans="1:14" x14ac:dyDescent="0.25">
      <c r="A34" s="160"/>
      <c r="B34" s="161"/>
      <c r="C34" s="161"/>
      <c r="D34" s="161"/>
      <c r="E34" s="161"/>
      <c r="F34" s="161"/>
      <c r="G34" s="161"/>
      <c r="H34" s="161"/>
      <c r="I34" s="161"/>
      <c r="J34" s="161"/>
      <c r="K34" s="161"/>
      <c r="L34" s="161"/>
      <c r="M34" s="161"/>
      <c r="N34" s="162"/>
    </row>
    <row r="35" spans="1:14" x14ac:dyDescent="0.25">
      <c r="A35" s="163"/>
      <c r="B35" s="163"/>
      <c r="C35" s="163"/>
      <c r="D35" s="163"/>
      <c r="E35" s="163"/>
      <c r="F35" s="163"/>
      <c r="G35" s="163"/>
      <c r="H35" s="164"/>
      <c r="I35" s="163"/>
      <c r="J35" s="163"/>
      <c r="K35" s="163"/>
      <c r="L35" s="163"/>
      <c r="M35" s="163"/>
      <c r="N35" s="163"/>
    </row>
    <row r="36" spans="1:14" x14ac:dyDescent="0.25">
      <c r="A36" s="165"/>
      <c r="B36" s="165"/>
      <c r="C36" s="165"/>
      <c r="D36" s="165"/>
      <c r="E36" s="165"/>
      <c r="F36" s="165"/>
      <c r="G36" s="165"/>
      <c r="H36" s="165"/>
      <c r="I36" s="165"/>
      <c r="J36" s="165"/>
      <c r="K36" s="165"/>
      <c r="L36" s="165"/>
      <c r="M36" s="165"/>
      <c r="N36" s="165"/>
    </row>
    <row r="37" spans="1:14" x14ac:dyDescent="0.25">
      <c r="A37" s="165"/>
      <c r="B37" s="165"/>
      <c r="C37" s="165"/>
      <c r="D37" s="165"/>
      <c r="E37" s="165"/>
      <c r="F37" s="165"/>
      <c r="G37" s="165"/>
      <c r="H37" s="165"/>
      <c r="I37" s="165"/>
      <c r="J37" s="165"/>
      <c r="K37" s="165"/>
      <c r="L37" s="165"/>
      <c r="M37" s="165"/>
      <c r="N37" s="165"/>
    </row>
    <row r="38" spans="1:14" x14ac:dyDescent="0.25">
      <c r="A38" s="165"/>
      <c r="B38" s="165"/>
      <c r="C38" s="165"/>
      <c r="D38" s="165"/>
      <c r="E38" s="165"/>
      <c r="F38" s="165"/>
      <c r="G38" s="165"/>
      <c r="H38" s="165"/>
      <c r="I38" s="165"/>
      <c r="J38" s="165"/>
      <c r="K38" s="165"/>
      <c r="L38" s="165"/>
      <c r="M38" s="165"/>
      <c r="N38" s="165"/>
    </row>
    <row r="39" spans="1:14" x14ac:dyDescent="0.25">
      <c r="A39" s="165"/>
      <c r="B39" s="165"/>
      <c r="C39" s="165"/>
      <c r="D39" s="165"/>
      <c r="E39" s="165"/>
      <c r="F39" s="165"/>
      <c r="G39" s="165"/>
      <c r="H39" s="165"/>
      <c r="I39" s="165"/>
      <c r="J39" s="165"/>
      <c r="K39" s="165"/>
      <c r="L39" s="165"/>
      <c r="M39" s="165"/>
      <c r="N39" s="165"/>
    </row>
    <row r="40" spans="1:14" x14ac:dyDescent="0.25">
      <c r="A40" s="165"/>
      <c r="B40" s="165"/>
      <c r="C40" s="165"/>
      <c r="D40" s="165"/>
      <c r="E40" s="165"/>
      <c r="F40" s="165"/>
      <c r="G40" s="165"/>
      <c r="H40" s="165"/>
      <c r="I40" s="165"/>
      <c r="J40" s="165"/>
      <c r="K40" s="165"/>
      <c r="L40" s="165"/>
      <c r="M40" s="165"/>
      <c r="N40" s="165"/>
    </row>
    <row r="41" spans="1:14" x14ac:dyDescent="0.25">
      <c r="A41" s="165"/>
      <c r="B41" s="165"/>
      <c r="C41" s="165"/>
      <c r="D41" s="165"/>
      <c r="E41" s="165"/>
      <c r="F41" s="165"/>
      <c r="G41" s="165"/>
      <c r="H41" s="165"/>
      <c r="I41" s="165"/>
      <c r="J41" s="165"/>
      <c r="K41" s="165"/>
      <c r="L41" s="165"/>
      <c r="M41" s="165"/>
      <c r="N41" s="165"/>
    </row>
    <row r="42" spans="1:14" x14ac:dyDescent="0.25">
      <c r="A42" s="165"/>
      <c r="B42" s="165"/>
      <c r="C42" s="165"/>
      <c r="D42" s="165"/>
      <c r="E42" s="165"/>
      <c r="F42" s="165"/>
      <c r="G42" s="165"/>
      <c r="H42" s="165"/>
      <c r="I42" s="165"/>
      <c r="J42" s="165"/>
      <c r="K42" s="165"/>
      <c r="L42" s="165"/>
      <c r="M42" s="165"/>
      <c r="N42" s="165"/>
    </row>
    <row r="43" spans="1:14" x14ac:dyDescent="0.25">
      <c r="A43" s="165"/>
      <c r="B43" s="165"/>
      <c r="C43" s="165"/>
      <c r="D43" s="165"/>
      <c r="E43" s="165"/>
      <c r="F43" s="165"/>
      <c r="G43" s="165"/>
      <c r="H43" s="165"/>
      <c r="I43" s="165"/>
      <c r="J43" s="165"/>
      <c r="K43" s="165"/>
      <c r="L43" s="165"/>
      <c r="M43" s="165"/>
      <c r="N43" s="165"/>
    </row>
    <row r="44" spans="1:14" x14ac:dyDescent="0.25">
      <c r="A44" s="165"/>
      <c r="B44" s="165"/>
      <c r="C44" s="165"/>
      <c r="D44" s="165"/>
      <c r="E44" s="165"/>
      <c r="F44" s="165"/>
      <c r="G44" s="165"/>
      <c r="H44" s="165"/>
      <c r="I44" s="165"/>
      <c r="J44" s="165"/>
      <c r="K44" s="165"/>
      <c r="L44" s="165"/>
      <c r="M44" s="165"/>
      <c r="N44" s="165"/>
    </row>
    <row r="45" spans="1:14" x14ac:dyDescent="0.25">
      <c r="A45" s="165"/>
      <c r="B45" s="165"/>
      <c r="C45" s="165"/>
      <c r="D45" s="165"/>
      <c r="E45" s="165"/>
      <c r="F45" s="165"/>
      <c r="G45" s="165"/>
      <c r="H45" s="165"/>
      <c r="I45" s="165"/>
      <c r="J45" s="165"/>
      <c r="K45" s="165"/>
      <c r="L45" s="165"/>
      <c r="M45" s="165"/>
      <c r="N45" s="165"/>
    </row>
    <row r="46" spans="1:14" x14ac:dyDescent="0.25">
      <c r="A46" s="165"/>
      <c r="B46" s="165"/>
      <c r="C46" s="165"/>
      <c r="D46" s="165"/>
      <c r="E46" s="165"/>
      <c r="F46" s="165"/>
      <c r="G46" s="165"/>
      <c r="H46" s="165"/>
      <c r="I46" s="165"/>
      <c r="J46" s="165"/>
      <c r="K46" s="165"/>
      <c r="L46" s="165"/>
      <c r="M46" s="165"/>
      <c r="N46" s="165"/>
    </row>
    <row r="47" spans="1:14" x14ac:dyDescent="0.25">
      <c r="A47" s="165"/>
      <c r="B47" s="165"/>
      <c r="C47" s="165"/>
      <c r="D47" s="165"/>
      <c r="E47" s="165"/>
      <c r="F47" s="165"/>
      <c r="G47" s="165"/>
      <c r="H47" s="165"/>
      <c r="I47" s="165"/>
      <c r="J47" s="165"/>
      <c r="K47" s="165"/>
      <c r="L47" s="165"/>
      <c r="M47" s="165"/>
      <c r="N47" s="165"/>
    </row>
    <row r="48" spans="1:14" x14ac:dyDescent="0.25">
      <c r="A48" s="165"/>
      <c r="B48" s="165"/>
      <c r="C48" s="165"/>
      <c r="D48" s="165"/>
      <c r="E48" s="165"/>
      <c r="F48" s="165"/>
      <c r="G48" s="165"/>
      <c r="H48" s="165"/>
      <c r="I48" s="165"/>
      <c r="J48" s="165"/>
      <c r="K48" s="165"/>
      <c r="L48" s="165"/>
      <c r="M48" s="165"/>
      <c r="N48" s="165"/>
    </row>
    <row r="49" spans="1:14" x14ac:dyDescent="0.25">
      <c r="A49" s="165"/>
      <c r="B49" s="165"/>
      <c r="C49" s="165"/>
      <c r="D49" s="165"/>
      <c r="E49" s="165"/>
      <c r="F49" s="165"/>
      <c r="G49" s="165"/>
      <c r="H49" s="165"/>
      <c r="I49" s="165"/>
      <c r="J49" s="165"/>
      <c r="K49" s="165"/>
      <c r="L49" s="165"/>
      <c r="M49" s="165"/>
      <c r="N49" s="165"/>
    </row>
    <row r="50" spans="1:14" x14ac:dyDescent="0.25">
      <c r="A50" s="165"/>
      <c r="B50" s="165"/>
      <c r="C50" s="165"/>
      <c r="D50" s="165"/>
      <c r="E50" s="165"/>
      <c r="F50" s="165"/>
      <c r="G50" s="165"/>
      <c r="H50" s="165"/>
      <c r="I50" s="165"/>
      <c r="J50" s="165"/>
      <c r="K50" s="165"/>
      <c r="L50" s="165"/>
      <c r="M50" s="165"/>
      <c r="N50" s="165"/>
    </row>
  </sheetData>
  <mergeCells count="2">
    <mergeCell ref="A5:N31"/>
    <mergeCell ref="A33:N33"/>
  </mergeCells>
  <pageMargins left="0.7" right="0.7" top="0.75" bottom="0.75" header="0.3" footer="0.3"/>
  <pageSetup scale="7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73187-8F70-4F5E-8133-3044ADD5A4B2}">
  <dimension ref="A1:B5"/>
  <sheetViews>
    <sheetView showGridLines="0" zoomScale="145" zoomScaleNormal="145" workbookViewId="0">
      <selection activeCell="A11" sqref="A11:XFD16"/>
    </sheetView>
  </sheetViews>
  <sheetFormatPr baseColWidth="10" defaultColWidth="8.85546875" defaultRowHeight="13.5" x14ac:dyDescent="0.25"/>
  <cols>
    <col min="1" max="1" width="53.28515625" style="1" bestFit="1" customWidth="1"/>
    <col min="2" max="2" width="8.85546875" style="1"/>
    <col min="3" max="3" width="10.7109375" style="1" customWidth="1"/>
    <col min="4" max="16384" width="8.85546875" style="1"/>
  </cols>
  <sheetData>
    <row r="1" spans="1:2" x14ac:dyDescent="0.25">
      <c r="A1" s="2" t="s">
        <v>51</v>
      </c>
      <c r="B1" s="3"/>
    </row>
    <row r="2" spans="1:2" x14ac:dyDescent="0.25">
      <c r="A2" s="4" t="s">
        <v>52</v>
      </c>
      <c r="B2" s="156" t="str">
        <f>Financiamiento!A2</f>
        <v>OK</v>
      </c>
    </row>
    <row r="3" spans="1:2" x14ac:dyDescent="0.25">
      <c r="A3" s="5" t="s">
        <v>53</v>
      </c>
      <c r="B3" s="157" t="str">
        <f>Financiamiento!A12</f>
        <v>OK</v>
      </c>
    </row>
    <row r="4" spans="1:2" x14ac:dyDescent="0.25">
      <c r="A4" s="5" t="s">
        <v>54</v>
      </c>
      <c r="B4" s="157" t="str">
        <f>IF(ABS('Presupuesto de construccion'!C49+'Flujo de caja mensual'!A45)&lt;0.0001,"OK","ERROR")</f>
        <v>OK</v>
      </c>
    </row>
    <row r="5" spans="1:2" x14ac:dyDescent="0.25">
      <c r="A5" s="6" t="s">
        <v>55</v>
      </c>
      <c r="B5" s="158" t="str">
        <f>IF(ABS(SUMIF('Flujo de caja mensual'!C67:EE67,"&lt;"&amp;0,'Flujo de caja mensual'!C67:EE67)+SUM(Resumen!K2,Resumen!K14))&lt;0.0001,"OK","ERROR")</f>
        <v>OK</v>
      </c>
    </row>
  </sheetData>
  <conditionalFormatting sqref="B2:B5">
    <cfRule type="containsText" dxfId="1" priority="5" operator="containsText" text="ERROR">
      <formula>NOT(ISERROR(SEARCH("ERROR",B2)))</formula>
    </cfRule>
    <cfRule type="containsText" dxfId="0" priority="6" operator="containsText" text="OK">
      <formula>NOT(ISERROR(SEARCH("OK",B2)))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9E4D8-71A0-4854-949E-1E2D766D53EA}">
  <dimension ref="A1:H137"/>
  <sheetViews>
    <sheetView showGridLines="0" tabSelected="1" zoomScale="130" zoomScaleNormal="130" workbookViewId="0">
      <selection activeCell="C20" sqref="C20"/>
    </sheetView>
  </sheetViews>
  <sheetFormatPr baseColWidth="10" defaultColWidth="0" defaultRowHeight="15" zeroHeight="1" x14ac:dyDescent="0.25"/>
  <cols>
    <col min="1" max="1" width="2.85546875" style="192" customWidth="1"/>
    <col min="2" max="2" width="11.42578125" style="192" customWidth="1"/>
    <col min="3" max="3" width="46" style="192" bestFit="1" customWidth="1"/>
    <col min="4" max="4" width="62.7109375" style="192" bestFit="1" customWidth="1"/>
    <col min="5" max="5" width="15.42578125" style="192" customWidth="1"/>
    <col min="6" max="7" width="11.42578125" style="192" customWidth="1"/>
    <col min="8" max="8" width="2.85546875" style="192" customWidth="1"/>
    <col min="9" max="16384" width="11.42578125" style="192" hidden="1"/>
  </cols>
  <sheetData>
    <row r="1" spans="1:8" x14ac:dyDescent="0.25">
      <c r="A1" s="199"/>
      <c r="B1" s="199"/>
      <c r="C1" s="199"/>
      <c r="D1" s="199"/>
      <c r="E1" s="199"/>
      <c r="F1" s="199"/>
      <c r="G1" s="199"/>
      <c r="H1" s="199"/>
    </row>
    <row r="2" spans="1:8" x14ac:dyDescent="0.25">
      <c r="A2" s="199"/>
      <c r="H2" s="199"/>
    </row>
    <row r="3" spans="1:8" ht="43.5" customHeight="1" x14ac:dyDescent="0.25">
      <c r="A3" s="199"/>
      <c r="C3" s="228" t="s">
        <v>218</v>
      </c>
      <c r="D3" s="229"/>
      <c r="E3" s="229"/>
      <c r="F3" s="230"/>
      <c r="H3" s="199"/>
    </row>
    <row r="4" spans="1:8" ht="43.5" customHeight="1" x14ac:dyDescent="0.25">
      <c r="A4" s="199"/>
      <c r="C4" s="231"/>
      <c r="D4" s="232"/>
      <c r="E4" s="232"/>
      <c r="F4" s="233"/>
      <c r="H4" s="199"/>
    </row>
    <row r="5" spans="1:8" x14ac:dyDescent="0.25">
      <c r="A5" s="199"/>
      <c r="H5" s="199"/>
    </row>
    <row r="6" spans="1:8" x14ac:dyDescent="0.25">
      <c r="A6" s="199"/>
      <c r="H6" s="199"/>
    </row>
    <row r="7" spans="1:8" ht="26.25" x14ac:dyDescent="0.4">
      <c r="A7" s="199"/>
      <c r="C7" s="193" t="s">
        <v>217</v>
      </c>
      <c r="H7" s="199"/>
    </row>
    <row r="8" spans="1:8" ht="15" customHeight="1" x14ac:dyDescent="0.25">
      <c r="A8" s="199"/>
      <c r="C8" s="234" t="s">
        <v>219</v>
      </c>
      <c r="D8" s="234"/>
      <c r="H8" s="199"/>
    </row>
    <row r="9" spans="1:8" x14ac:dyDescent="0.25">
      <c r="A9" s="199"/>
      <c r="C9" s="234"/>
      <c r="D9" s="234"/>
      <c r="H9" s="199"/>
    </row>
    <row r="10" spans="1:8" x14ac:dyDescent="0.25">
      <c r="A10" s="199"/>
      <c r="C10" s="234"/>
      <c r="D10" s="234"/>
      <c r="H10" s="199"/>
    </row>
    <row r="11" spans="1:8" x14ac:dyDescent="0.25">
      <c r="A11" s="199"/>
      <c r="C11" s="234"/>
      <c r="D11" s="234"/>
      <c r="H11" s="199"/>
    </row>
    <row r="12" spans="1:8" x14ac:dyDescent="0.25">
      <c r="A12" s="199"/>
      <c r="H12" s="199"/>
    </row>
    <row r="13" spans="1:8" x14ac:dyDescent="0.25">
      <c r="A13" s="199"/>
      <c r="H13" s="199"/>
    </row>
    <row r="14" spans="1:8" ht="26.25" x14ac:dyDescent="0.4">
      <c r="A14" s="199"/>
      <c r="C14" s="193" t="s">
        <v>236</v>
      </c>
      <c r="H14" s="199"/>
    </row>
    <row r="15" spans="1:8" ht="15" customHeight="1" x14ac:dyDescent="0.4">
      <c r="A15" s="199"/>
      <c r="C15" s="193"/>
      <c r="H15" s="199"/>
    </row>
    <row r="16" spans="1:8" ht="15" customHeight="1" x14ac:dyDescent="0.25">
      <c r="A16" s="199"/>
      <c r="C16" s="192" t="s">
        <v>220</v>
      </c>
      <c r="H16" s="199"/>
    </row>
    <row r="17" spans="1:8" ht="15" customHeight="1" x14ac:dyDescent="0.4">
      <c r="A17" s="199"/>
      <c r="C17" s="193"/>
      <c r="H17" s="199"/>
    </row>
    <row r="18" spans="1:8" ht="18.75" x14ac:dyDescent="0.3">
      <c r="A18" s="199"/>
      <c r="C18" s="194" t="s">
        <v>221</v>
      </c>
      <c r="D18" s="194" t="s">
        <v>222</v>
      </c>
      <c r="H18" s="199"/>
    </row>
    <row r="19" spans="1:8" x14ac:dyDescent="0.25">
      <c r="A19" s="199"/>
      <c r="C19" s="195" t="s">
        <v>174</v>
      </c>
      <c r="D19" s="192" t="s">
        <v>228</v>
      </c>
      <c r="H19" s="199"/>
    </row>
    <row r="20" spans="1:8" x14ac:dyDescent="0.25">
      <c r="A20" s="199"/>
      <c r="C20" s="195" t="s">
        <v>167</v>
      </c>
      <c r="D20" s="192" t="s">
        <v>229</v>
      </c>
      <c r="H20" s="199"/>
    </row>
    <row r="21" spans="1:8" x14ac:dyDescent="0.25">
      <c r="A21" s="199"/>
      <c r="C21" s="195" t="s">
        <v>170</v>
      </c>
      <c r="D21" s="192" t="s">
        <v>230</v>
      </c>
      <c r="H21" s="199"/>
    </row>
    <row r="22" spans="1:8" x14ac:dyDescent="0.25">
      <c r="A22" s="199"/>
      <c r="C22" s="195" t="s">
        <v>223</v>
      </c>
      <c r="D22" s="192" t="s">
        <v>231</v>
      </c>
      <c r="H22" s="199"/>
    </row>
    <row r="23" spans="1:8" x14ac:dyDescent="0.25">
      <c r="A23" s="199"/>
      <c r="C23" s="195" t="s">
        <v>224</v>
      </c>
      <c r="D23" s="192" t="s">
        <v>232</v>
      </c>
      <c r="H23" s="199"/>
    </row>
    <row r="24" spans="1:8" x14ac:dyDescent="0.25">
      <c r="A24" s="199"/>
      <c r="C24" s="195" t="s">
        <v>225</v>
      </c>
      <c r="D24" s="192" t="s">
        <v>233</v>
      </c>
      <c r="H24" s="199"/>
    </row>
    <row r="25" spans="1:8" x14ac:dyDescent="0.25">
      <c r="A25" s="199"/>
      <c r="C25" s="195" t="s">
        <v>226</v>
      </c>
      <c r="D25" s="192" t="s">
        <v>234</v>
      </c>
      <c r="H25" s="199"/>
    </row>
    <row r="26" spans="1:8" x14ac:dyDescent="0.25">
      <c r="A26" s="199"/>
      <c r="C26" s="195" t="s">
        <v>227</v>
      </c>
      <c r="D26" s="192" t="s">
        <v>235</v>
      </c>
      <c r="H26" s="199"/>
    </row>
    <row r="27" spans="1:8" x14ac:dyDescent="0.25">
      <c r="A27" s="199"/>
      <c r="H27" s="199"/>
    </row>
    <row r="28" spans="1:8" x14ac:dyDescent="0.25">
      <c r="A28" s="199"/>
      <c r="H28" s="199"/>
    </row>
    <row r="29" spans="1:8" ht="26.25" x14ac:dyDescent="0.4">
      <c r="A29" s="199"/>
      <c r="C29" s="193" t="s">
        <v>237</v>
      </c>
      <c r="H29" s="199"/>
    </row>
    <row r="30" spans="1:8" x14ac:dyDescent="0.25">
      <c r="A30" s="199"/>
      <c r="H30" s="199"/>
    </row>
    <row r="31" spans="1:8" x14ac:dyDescent="0.25">
      <c r="A31" s="199"/>
      <c r="C31" s="192" t="s">
        <v>238</v>
      </c>
      <c r="H31" s="199"/>
    </row>
    <row r="32" spans="1:8" ht="34.5" customHeight="1" x14ac:dyDescent="0.25">
      <c r="A32" s="199"/>
      <c r="C32" s="238" t="s">
        <v>239</v>
      </c>
      <c r="D32" s="235" t="s">
        <v>246</v>
      </c>
      <c r="E32" s="236"/>
      <c r="H32" s="199"/>
    </row>
    <row r="33" spans="1:8" ht="34.5" customHeight="1" x14ac:dyDescent="0.25">
      <c r="A33" s="199"/>
      <c r="C33" s="239"/>
      <c r="D33" s="237"/>
      <c r="E33" s="237"/>
      <c r="H33" s="199"/>
    </row>
    <row r="34" spans="1:8" x14ac:dyDescent="0.25">
      <c r="A34" s="199"/>
      <c r="C34" s="222" t="s">
        <v>240</v>
      </c>
      <c r="D34" s="220" t="s">
        <v>245</v>
      </c>
      <c r="E34" s="220"/>
      <c r="H34" s="199"/>
    </row>
    <row r="35" spans="1:8" x14ac:dyDescent="0.25">
      <c r="A35" s="199"/>
      <c r="C35" s="223"/>
      <c r="D35" s="221"/>
      <c r="E35" s="221"/>
      <c r="H35" s="199"/>
    </row>
    <row r="36" spans="1:8" x14ac:dyDescent="0.25">
      <c r="A36" s="199"/>
      <c r="C36" s="217" t="s">
        <v>241</v>
      </c>
      <c r="D36" s="215" t="s">
        <v>245</v>
      </c>
      <c r="E36" s="215"/>
      <c r="H36" s="199"/>
    </row>
    <row r="37" spans="1:8" x14ac:dyDescent="0.25">
      <c r="A37" s="199"/>
      <c r="C37" s="218"/>
      <c r="D37" s="216"/>
      <c r="E37" s="216"/>
      <c r="H37" s="199"/>
    </row>
    <row r="38" spans="1:8" ht="30" customHeight="1" x14ac:dyDescent="0.25">
      <c r="A38" s="199"/>
      <c r="C38" s="222" t="s">
        <v>242</v>
      </c>
      <c r="D38" s="219" t="s">
        <v>247</v>
      </c>
      <c r="E38" s="220"/>
      <c r="H38" s="199"/>
    </row>
    <row r="39" spans="1:8" ht="30" customHeight="1" x14ac:dyDescent="0.25">
      <c r="A39" s="199"/>
      <c r="C39" s="223"/>
      <c r="D39" s="221"/>
      <c r="E39" s="221"/>
      <c r="H39" s="199"/>
    </row>
    <row r="40" spans="1:8" x14ac:dyDescent="0.25">
      <c r="A40" s="199"/>
      <c r="C40" s="226" t="s">
        <v>243</v>
      </c>
      <c r="D40" s="224" t="s">
        <v>248</v>
      </c>
      <c r="E40" s="215"/>
      <c r="H40" s="199"/>
    </row>
    <row r="41" spans="1:8" x14ac:dyDescent="0.25">
      <c r="A41" s="199"/>
      <c r="C41" s="227"/>
      <c r="D41" s="225"/>
      <c r="E41" s="225"/>
      <c r="H41" s="199"/>
    </row>
    <row r="42" spans="1:8" x14ac:dyDescent="0.25">
      <c r="A42" s="199"/>
      <c r="H42" s="199"/>
    </row>
    <row r="43" spans="1:8" ht="26.25" x14ac:dyDescent="0.4">
      <c r="A43" s="199"/>
      <c r="C43" s="193" t="s">
        <v>244</v>
      </c>
      <c r="H43" s="199"/>
    </row>
    <row r="44" spans="1:8" x14ac:dyDescent="0.25">
      <c r="A44" s="199"/>
      <c r="H44" s="199"/>
    </row>
    <row r="45" spans="1:8" ht="19.5" customHeight="1" x14ac:dyDescent="0.25">
      <c r="A45" s="199"/>
      <c r="C45" s="213" t="s">
        <v>300</v>
      </c>
      <c r="D45" s="212" t="s">
        <v>286</v>
      </c>
      <c r="H45" s="199"/>
    </row>
    <row r="46" spans="1:8" x14ac:dyDescent="0.25">
      <c r="A46" s="199"/>
      <c r="C46" s="213"/>
      <c r="D46" s="212"/>
      <c r="H46" s="199"/>
    </row>
    <row r="47" spans="1:8" x14ac:dyDescent="0.25">
      <c r="A47" s="199"/>
      <c r="C47" s="213"/>
      <c r="D47" s="212"/>
      <c r="H47" s="199"/>
    </row>
    <row r="48" spans="1:8" x14ac:dyDescent="0.25">
      <c r="A48" s="199"/>
      <c r="C48" s="213"/>
      <c r="D48" s="212"/>
      <c r="H48" s="199"/>
    </row>
    <row r="49" spans="1:8" x14ac:dyDescent="0.25">
      <c r="A49" s="199"/>
      <c r="C49" s="213"/>
      <c r="D49" s="212"/>
      <c r="H49" s="199"/>
    </row>
    <row r="50" spans="1:8" x14ac:dyDescent="0.25">
      <c r="A50" s="199"/>
      <c r="C50" s="213"/>
      <c r="D50" s="212"/>
      <c r="H50" s="199"/>
    </row>
    <row r="51" spans="1:8" x14ac:dyDescent="0.25">
      <c r="A51" s="199"/>
      <c r="C51" s="213"/>
      <c r="D51" s="212"/>
      <c r="H51" s="199"/>
    </row>
    <row r="52" spans="1:8" ht="7.5" customHeight="1" x14ac:dyDescent="0.25">
      <c r="A52" s="199"/>
      <c r="C52" s="197"/>
      <c r="D52" s="197"/>
      <c r="H52" s="199"/>
    </row>
    <row r="53" spans="1:8" ht="15" customHeight="1" x14ac:dyDescent="0.25">
      <c r="A53" s="199"/>
      <c r="C53" s="213" t="s">
        <v>250</v>
      </c>
      <c r="D53" s="212" t="s">
        <v>249</v>
      </c>
      <c r="H53" s="199"/>
    </row>
    <row r="54" spans="1:8" ht="15" customHeight="1" x14ac:dyDescent="0.25">
      <c r="A54" s="199"/>
      <c r="C54" s="213"/>
      <c r="D54" s="212"/>
      <c r="H54" s="199"/>
    </row>
    <row r="55" spans="1:8" ht="15" customHeight="1" x14ac:dyDescent="0.25">
      <c r="A55" s="199"/>
      <c r="C55" s="213"/>
      <c r="D55" s="212"/>
      <c r="H55" s="199"/>
    </row>
    <row r="56" spans="1:8" ht="15" customHeight="1" x14ac:dyDescent="0.25">
      <c r="A56" s="199"/>
      <c r="C56" s="213"/>
      <c r="D56" s="212"/>
      <c r="H56" s="199"/>
    </row>
    <row r="57" spans="1:8" ht="7.5" customHeight="1" x14ac:dyDescent="0.25">
      <c r="A57" s="199"/>
      <c r="C57" s="197"/>
      <c r="D57" s="197"/>
      <c r="H57" s="199"/>
    </row>
    <row r="58" spans="1:8" ht="15" customHeight="1" x14ac:dyDescent="0.25">
      <c r="A58" s="199"/>
      <c r="C58" s="213" t="s">
        <v>251</v>
      </c>
      <c r="D58" s="212" t="s">
        <v>252</v>
      </c>
      <c r="H58" s="199"/>
    </row>
    <row r="59" spans="1:8" ht="15" customHeight="1" x14ac:dyDescent="0.25">
      <c r="A59" s="199"/>
      <c r="C59" s="213"/>
      <c r="D59" s="212"/>
      <c r="H59" s="199"/>
    </row>
    <row r="60" spans="1:8" ht="15" customHeight="1" x14ac:dyDescent="0.25">
      <c r="A60" s="199"/>
      <c r="C60" s="213"/>
      <c r="D60" s="212"/>
      <c r="H60" s="199"/>
    </row>
    <row r="61" spans="1:8" ht="15" customHeight="1" x14ac:dyDescent="0.25">
      <c r="A61" s="199"/>
      <c r="C61" s="213"/>
      <c r="D61" s="212"/>
      <c r="H61" s="199"/>
    </row>
    <row r="62" spans="1:8" x14ac:dyDescent="0.25">
      <c r="A62" s="199"/>
      <c r="C62" s="213"/>
      <c r="D62" s="212"/>
      <c r="H62" s="199"/>
    </row>
    <row r="63" spans="1:8" x14ac:dyDescent="0.25">
      <c r="A63" s="199"/>
      <c r="C63" s="213"/>
      <c r="D63" s="212"/>
      <c r="H63" s="199"/>
    </row>
    <row r="64" spans="1:8" ht="7.5" customHeight="1" x14ac:dyDescent="0.25">
      <c r="A64" s="199"/>
      <c r="C64" s="197"/>
      <c r="D64" s="197"/>
      <c r="H64" s="199"/>
    </row>
    <row r="65" spans="1:8" ht="15" customHeight="1" x14ac:dyDescent="0.25">
      <c r="A65" s="199"/>
      <c r="C65" s="213" t="s">
        <v>253</v>
      </c>
      <c r="D65" s="212" t="s">
        <v>254</v>
      </c>
      <c r="H65" s="199"/>
    </row>
    <row r="66" spans="1:8" ht="15" customHeight="1" x14ac:dyDescent="0.25">
      <c r="A66" s="199"/>
      <c r="C66" s="213"/>
      <c r="D66" s="212"/>
      <c r="H66" s="199"/>
    </row>
    <row r="67" spans="1:8" ht="15" customHeight="1" x14ac:dyDescent="0.25">
      <c r="A67" s="199"/>
      <c r="C67" s="213"/>
      <c r="D67" s="212"/>
      <c r="H67" s="199"/>
    </row>
    <row r="68" spans="1:8" ht="15" customHeight="1" x14ac:dyDescent="0.25">
      <c r="A68" s="199"/>
      <c r="C68" s="213"/>
      <c r="D68" s="212"/>
      <c r="H68" s="199"/>
    </row>
    <row r="69" spans="1:8" ht="7.5" customHeight="1" x14ac:dyDescent="0.25">
      <c r="A69" s="199"/>
      <c r="C69" s="197"/>
      <c r="D69" s="197"/>
      <c r="H69" s="199"/>
    </row>
    <row r="70" spans="1:8" x14ac:dyDescent="0.25">
      <c r="A70" s="199"/>
      <c r="C70" s="213" t="s">
        <v>255</v>
      </c>
      <c r="D70" s="212" t="s">
        <v>256</v>
      </c>
      <c r="H70" s="199"/>
    </row>
    <row r="71" spans="1:8" x14ac:dyDescent="0.25">
      <c r="A71" s="199"/>
      <c r="C71" s="213"/>
      <c r="D71" s="212"/>
      <c r="H71" s="199"/>
    </row>
    <row r="72" spans="1:8" x14ac:dyDescent="0.25">
      <c r="A72" s="199"/>
      <c r="C72" s="213"/>
      <c r="D72" s="212"/>
      <c r="H72" s="199"/>
    </row>
    <row r="73" spans="1:8" x14ac:dyDescent="0.25">
      <c r="A73" s="199"/>
      <c r="C73" s="213"/>
      <c r="D73" s="212"/>
      <c r="H73" s="199"/>
    </row>
    <row r="74" spans="1:8" ht="7.5" customHeight="1" x14ac:dyDescent="0.25">
      <c r="A74" s="199"/>
      <c r="C74" s="197"/>
      <c r="D74" s="197"/>
      <c r="H74" s="199"/>
    </row>
    <row r="75" spans="1:8" x14ac:dyDescent="0.25">
      <c r="A75" s="199"/>
      <c r="C75" s="213" t="s">
        <v>257</v>
      </c>
      <c r="D75" s="212" t="s">
        <v>258</v>
      </c>
      <c r="H75" s="199"/>
    </row>
    <row r="76" spans="1:8" x14ac:dyDescent="0.25">
      <c r="A76" s="199"/>
      <c r="C76" s="213"/>
      <c r="D76" s="212"/>
      <c r="H76" s="199"/>
    </row>
    <row r="77" spans="1:8" x14ac:dyDescent="0.25">
      <c r="A77" s="199"/>
      <c r="C77" s="213"/>
      <c r="D77" s="212"/>
      <c r="H77" s="199"/>
    </row>
    <row r="78" spans="1:8" x14ac:dyDescent="0.25">
      <c r="A78" s="199"/>
      <c r="C78" s="213"/>
      <c r="D78" s="212"/>
      <c r="H78" s="199"/>
    </row>
    <row r="79" spans="1:8" ht="18" customHeight="1" x14ac:dyDescent="0.25">
      <c r="A79" s="199"/>
      <c r="C79" s="213"/>
      <c r="D79" s="212"/>
      <c r="H79" s="199"/>
    </row>
    <row r="80" spans="1:8" ht="7.5" customHeight="1" x14ac:dyDescent="0.25">
      <c r="A80" s="199"/>
      <c r="C80" s="197"/>
      <c r="D80" s="197"/>
      <c r="H80" s="199"/>
    </row>
    <row r="81" spans="1:8" x14ac:dyDescent="0.25">
      <c r="A81" s="199"/>
      <c r="C81" s="213" t="s">
        <v>259</v>
      </c>
      <c r="D81" s="214" t="s">
        <v>260</v>
      </c>
      <c r="H81" s="199"/>
    </row>
    <row r="82" spans="1:8" x14ac:dyDescent="0.25">
      <c r="A82" s="199"/>
      <c r="C82" s="213"/>
      <c r="D82" s="214"/>
      <c r="H82" s="199"/>
    </row>
    <row r="83" spans="1:8" x14ac:dyDescent="0.25">
      <c r="A83" s="199"/>
      <c r="C83" s="213"/>
      <c r="D83" s="214"/>
      <c r="H83" s="199"/>
    </row>
    <row r="84" spans="1:8" x14ac:dyDescent="0.25">
      <c r="A84" s="199"/>
      <c r="C84" s="213"/>
      <c r="D84" s="214"/>
      <c r="H84" s="199"/>
    </row>
    <row r="85" spans="1:8" x14ac:dyDescent="0.25">
      <c r="A85" s="199"/>
      <c r="C85" s="213"/>
      <c r="D85" s="214"/>
      <c r="H85" s="199"/>
    </row>
    <row r="86" spans="1:8" ht="7.5" customHeight="1" x14ac:dyDescent="0.25">
      <c r="A86" s="199"/>
      <c r="C86" s="197"/>
      <c r="D86" s="197"/>
      <c r="H86" s="199"/>
    </row>
    <row r="87" spans="1:8" x14ac:dyDescent="0.25">
      <c r="A87" s="199"/>
      <c r="H87" s="199"/>
    </row>
    <row r="88" spans="1:8" x14ac:dyDescent="0.25">
      <c r="A88" s="199"/>
      <c r="H88" s="199"/>
    </row>
    <row r="89" spans="1:8" x14ac:dyDescent="0.25">
      <c r="A89" s="199"/>
      <c r="H89" s="199"/>
    </row>
    <row r="90" spans="1:8" ht="26.25" x14ac:dyDescent="0.4">
      <c r="A90" s="199"/>
      <c r="C90" s="193" t="s">
        <v>261</v>
      </c>
      <c r="H90" s="199"/>
    </row>
    <row r="91" spans="1:8" x14ac:dyDescent="0.25">
      <c r="A91" s="199"/>
      <c r="H91" s="199"/>
    </row>
    <row r="92" spans="1:8" ht="15" customHeight="1" x14ac:dyDescent="0.25">
      <c r="A92" s="199"/>
      <c r="C92" s="213" t="s">
        <v>263</v>
      </c>
      <c r="D92" s="214" t="s">
        <v>262</v>
      </c>
      <c r="H92" s="199"/>
    </row>
    <row r="93" spans="1:8" x14ac:dyDescent="0.25">
      <c r="A93" s="199"/>
      <c r="C93" s="213"/>
      <c r="D93" s="214"/>
      <c r="H93" s="199"/>
    </row>
    <row r="94" spans="1:8" ht="19.5" customHeight="1" x14ac:dyDescent="0.25">
      <c r="A94" s="199"/>
      <c r="C94" s="213"/>
      <c r="D94" s="214"/>
      <c r="H94" s="199"/>
    </row>
    <row r="95" spans="1:8" ht="7.5" customHeight="1" x14ac:dyDescent="0.25">
      <c r="A95" s="199"/>
      <c r="C95" s="197"/>
      <c r="D95" s="197"/>
      <c r="H95" s="199"/>
    </row>
    <row r="96" spans="1:8" x14ac:dyDescent="0.25">
      <c r="A96" s="199"/>
      <c r="C96" s="213" t="s">
        <v>264</v>
      </c>
      <c r="D96" s="214" t="s">
        <v>265</v>
      </c>
      <c r="H96" s="199"/>
    </row>
    <row r="97" spans="1:8" x14ac:dyDescent="0.25">
      <c r="A97" s="199"/>
      <c r="C97" s="213"/>
      <c r="D97" s="214"/>
      <c r="H97" s="199"/>
    </row>
    <row r="98" spans="1:8" x14ac:dyDescent="0.25">
      <c r="A98" s="199"/>
      <c r="C98" s="213"/>
      <c r="D98" s="214"/>
      <c r="H98" s="199"/>
    </row>
    <row r="99" spans="1:8" x14ac:dyDescent="0.25">
      <c r="A99" s="199"/>
      <c r="C99" s="213"/>
      <c r="D99" s="214"/>
      <c r="H99" s="199"/>
    </row>
    <row r="100" spans="1:8" ht="7.5" customHeight="1" x14ac:dyDescent="0.25">
      <c r="A100" s="199"/>
      <c r="C100" s="197"/>
      <c r="D100" s="197"/>
      <c r="H100" s="199"/>
    </row>
    <row r="101" spans="1:8" ht="15" customHeight="1" x14ac:dyDescent="0.25">
      <c r="A101" s="199"/>
      <c r="C101" s="213" t="s">
        <v>266</v>
      </c>
      <c r="D101" s="212" t="s">
        <v>267</v>
      </c>
      <c r="H101" s="199"/>
    </row>
    <row r="102" spans="1:8" x14ac:dyDescent="0.25">
      <c r="A102" s="199"/>
      <c r="C102" s="213"/>
      <c r="D102" s="212"/>
      <c r="H102" s="199"/>
    </row>
    <row r="103" spans="1:8" ht="7.5" customHeight="1" x14ac:dyDescent="0.25">
      <c r="A103" s="199"/>
      <c r="C103" s="197"/>
      <c r="D103" s="197"/>
      <c r="H103" s="199"/>
    </row>
    <row r="104" spans="1:8" ht="15" customHeight="1" x14ac:dyDescent="0.25">
      <c r="A104" s="199"/>
      <c r="C104" s="213" t="s">
        <v>268</v>
      </c>
      <c r="D104" s="212" t="s">
        <v>269</v>
      </c>
      <c r="H104" s="199"/>
    </row>
    <row r="105" spans="1:8" x14ac:dyDescent="0.25">
      <c r="A105" s="199"/>
      <c r="C105" s="213"/>
      <c r="D105" s="212"/>
      <c r="H105" s="199"/>
    </row>
    <row r="106" spans="1:8" x14ac:dyDescent="0.25">
      <c r="A106" s="199"/>
      <c r="C106" s="213"/>
      <c r="D106" s="212"/>
      <c r="H106" s="199"/>
    </row>
    <row r="107" spans="1:8" ht="7.5" customHeight="1" x14ac:dyDescent="0.25">
      <c r="A107" s="199"/>
      <c r="C107" s="197"/>
      <c r="D107" s="197"/>
      <c r="H107" s="199"/>
    </row>
    <row r="108" spans="1:8" x14ac:dyDescent="0.25">
      <c r="A108" s="199"/>
      <c r="H108" s="199"/>
    </row>
    <row r="109" spans="1:8" x14ac:dyDescent="0.25">
      <c r="A109" s="199"/>
      <c r="H109" s="199"/>
    </row>
    <row r="110" spans="1:8" x14ac:dyDescent="0.25">
      <c r="A110" s="199"/>
      <c r="H110" s="199"/>
    </row>
    <row r="111" spans="1:8" ht="26.25" x14ac:dyDescent="0.4">
      <c r="A111" s="199"/>
      <c r="C111" s="193" t="s">
        <v>270</v>
      </c>
      <c r="H111" s="199"/>
    </row>
    <row r="112" spans="1:8" x14ac:dyDescent="0.25">
      <c r="A112" s="199"/>
      <c r="H112" s="199"/>
    </row>
    <row r="113" spans="1:8" x14ac:dyDescent="0.25">
      <c r="A113" s="199"/>
      <c r="C113" s="192" t="s">
        <v>271</v>
      </c>
      <c r="H113" s="199"/>
    </row>
    <row r="114" spans="1:8" x14ac:dyDescent="0.25">
      <c r="A114" s="199"/>
      <c r="C114" s="198" t="s">
        <v>272</v>
      </c>
      <c r="H114" s="199"/>
    </row>
    <row r="115" spans="1:8" x14ac:dyDescent="0.25">
      <c r="A115" s="199"/>
      <c r="C115" s="196" t="s">
        <v>273</v>
      </c>
      <c r="H115" s="199"/>
    </row>
    <row r="116" spans="1:8" x14ac:dyDescent="0.25">
      <c r="A116" s="199"/>
      <c r="C116" s="196" t="s">
        <v>274</v>
      </c>
      <c r="H116" s="199"/>
    </row>
    <row r="117" spans="1:8" x14ac:dyDescent="0.25">
      <c r="A117" s="199"/>
      <c r="C117" s="196" t="s">
        <v>275</v>
      </c>
      <c r="H117" s="199"/>
    </row>
    <row r="118" spans="1:8" x14ac:dyDescent="0.25">
      <c r="A118" s="199"/>
      <c r="C118" s="196" t="s">
        <v>276</v>
      </c>
      <c r="H118" s="199"/>
    </row>
    <row r="119" spans="1:8" x14ac:dyDescent="0.25">
      <c r="A119" s="199"/>
      <c r="C119" s="196" t="s">
        <v>277</v>
      </c>
      <c r="H119" s="199"/>
    </row>
    <row r="120" spans="1:8" x14ac:dyDescent="0.25">
      <c r="A120" s="199"/>
      <c r="C120" s="196"/>
      <c r="H120" s="199"/>
    </row>
    <row r="121" spans="1:8" x14ac:dyDescent="0.25">
      <c r="A121" s="199"/>
      <c r="H121" s="199"/>
    </row>
    <row r="122" spans="1:8" ht="26.25" x14ac:dyDescent="0.4">
      <c r="A122" s="199"/>
      <c r="C122" s="193" t="s">
        <v>278</v>
      </c>
      <c r="H122" s="199"/>
    </row>
    <row r="123" spans="1:8" x14ac:dyDescent="0.25">
      <c r="A123" s="199"/>
      <c r="C123" s="196" t="s">
        <v>279</v>
      </c>
      <c r="H123" s="199"/>
    </row>
    <row r="124" spans="1:8" x14ac:dyDescent="0.25">
      <c r="A124" s="199"/>
      <c r="C124" s="196" t="s">
        <v>280</v>
      </c>
      <c r="H124" s="199"/>
    </row>
    <row r="125" spans="1:8" x14ac:dyDescent="0.25">
      <c r="A125" s="199"/>
      <c r="C125" s="196" t="s">
        <v>281</v>
      </c>
      <c r="H125" s="199"/>
    </row>
    <row r="126" spans="1:8" x14ac:dyDescent="0.25">
      <c r="A126" s="199"/>
      <c r="C126" s="196" t="s">
        <v>282</v>
      </c>
      <c r="H126" s="199"/>
    </row>
    <row r="127" spans="1:8" x14ac:dyDescent="0.25">
      <c r="A127" s="199"/>
      <c r="C127" s="196" t="s">
        <v>283</v>
      </c>
      <c r="H127" s="199"/>
    </row>
    <row r="128" spans="1:8" x14ac:dyDescent="0.25">
      <c r="A128" s="199"/>
      <c r="C128" s="196"/>
      <c r="H128" s="199"/>
    </row>
    <row r="129" spans="1:8" x14ac:dyDescent="0.25">
      <c r="A129" s="199"/>
      <c r="H129" s="199"/>
    </row>
    <row r="130" spans="1:8" ht="26.25" x14ac:dyDescent="0.4">
      <c r="A130" s="199"/>
      <c r="C130" s="193" t="s">
        <v>284</v>
      </c>
      <c r="H130" s="199"/>
    </row>
    <row r="131" spans="1:8" x14ac:dyDescent="0.25">
      <c r="A131" s="199"/>
      <c r="C131" s="212" t="s">
        <v>285</v>
      </c>
      <c r="D131" s="212"/>
      <c r="E131" s="212"/>
      <c r="H131" s="199"/>
    </row>
    <row r="132" spans="1:8" x14ac:dyDescent="0.25">
      <c r="A132" s="199"/>
      <c r="C132" s="212"/>
      <c r="D132" s="212"/>
      <c r="E132" s="212"/>
      <c r="H132" s="199"/>
    </row>
    <row r="133" spans="1:8" x14ac:dyDescent="0.25">
      <c r="A133" s="199"/>
      <c r="C133" s="212"/>
      <c r="D133" s="212"/>
      <c r="E133" s="212"/>
      <c r="H133" s="199"/>
    </row>
    <row r="134" spans="1:8" x14ac:dyDescent="0.25">
      <c r="A134" s="199"/>
      <c r="H134" s="199"/>
    </row>
    <row r="135" spans="1:8" x14ac:dyDescent="0.25">
      <c r="A135" s="199"/>
      <c r="H135" s="199"/>
    </row>
    <row r="136" spans="1:8" x14ac:dyDescent="0.25">
      <c r="A136" s="199"/>
      <c r="H136" s="199"/>
    </row>
    <row r="137" spans="1:8" x14ac:dyDescent="0.25">
      <c r="A137" s="199"/>
      <c r="B137" s="199"/>
      <c r="C137" s="199"/>
      <c r="D137" s="199"/>
      <c r="E137" s="199"/>
      <c r="F137" s="199"/>
      <c r="G137" s="199"/>
      <c r="H137" s="199"/>
    </row>
  </sheetData>
  <mergeCells count="35">
    <mergeCell ref="C3:F4"/>
    <mergeCell ref="C8:D11"/>
    <mergeCell ref="D32:E33"/>
    <mergeCell ref="C32:C33"/>
    <mergeCell ref="C34:C35"/>
    <mergeCell ref="D34:E35"/>
    <mergeCell ref="D45:D51"/>
    <mergeCell ref="C45:C51"/>
    <mergeCell ref="D53:D56"/>
    <mergeCell ref="C53:C56"/>
    <mergeCell ref="D36:E37"/>
    <mergeCell ref="C36:C37"/>
    <mergeCell ref="D38:E39"/>
    <mergeCell ref="C38:C39"/>
    <mergeCell ref="D40:E41"/>
    <mergeCell ref="C40:C41"/>
    <mergeCell ref="D58:D63"/>
    <mergeCell ref="C58:C63"/>
    <mergeCell ref="C65:C68"/>
    <mergeCell ref="D65:D68"/>
    <mergeCell ref="C70:C73"/>
    <mergeCell ref="D70:D73"/>
    <mergeCell ref="C75:C79"/>
    <mergeCell ref="D75:D79"/>
    <mergeCell ref="C81:C85"/>
    <mergeCell ref="D81:D85"/>
    <mergeCell ref="C92:C94"/>
    <mergeCell ref="D92:D94"/>
    <mergeCell ref="C131:E133"/>
    <mergeCell ref="C96:C99"/>
    <mergeCell ref="D96:D99"/>
    <mergeCell ref="C101:C102"/>
    <mergeCell ref="C104:C106"/>
    <mergeCell ref="D101:D102"/>
    <mergeCell ref="D104:D10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BA53B-3022-4165-838E-1713E1D394F6}">
  <dimension ref="A1:L45"/>
  <sheetViews>
    <sheetView showGridLines="0" topLeftCell="F25" zoomScaleNormal="100" workbookViewId="0">
      <selection activeCell="H25" sqref="H25"/>
    </sheetView>
  </sheetViews>
  <sheetFormatPr baseColWidth="10" defaultColWidth="8.85546875" defaultRowHeight="13.5" x14ac:dyDescent="0.25"/>
  <cols>
    <col min="1" max="1" width="22.85546875" style="1" bestFit="1" customWidth="1"/>
    <col min="2" max="2" width="17.85546875" style="1" bestFit="1" customWidth="1"/>
    <col min="3" max="3" width="15" style="1" bestFit="1" customWidth="1"/>
    <col min="4" max="4" width="40.7109375" style="1" bestFit="1" customWidth="1"/>
    <col min="5" max="5" width="17.85546875" style="1" bestFit="1" customWidth="1"/>
    <col min="6" max="6" width="17.140625" style="1" bestFit="1" customWidth="1"/>
    <col min="7" max="7" width="43.5703125" style="1" bestFit="1" customWidth="1"/>
    <col min="8" max="8" width="23.28515625" style="1" customWidth="1"/>
    <col min="9" max="9" width="8.85546875" style="1"/>
    <col min="10" max="10" width="28.7109375" style="1" customWidth="1"/>
    <col min="11" max="11" width="19.85546875" style="1" bestFit="1" customWidth="1"/>
    <col min="12" max="16384" width="8.85546875" style="1"/>
  </cols>
  <sheetData>
    <row r="1" spans="1:12" x14ac:dyDescent="0.25">
      <c r="A1" s="2" t="s">
        <v>130</v>
      </c>
      <c r="B1" s="3"/>
      <c r="D1" s="2" t="s">
        <v>112</v>
      </c>
      <c r="E1" s="2"/>
      <c r="G1" s="2" t="s">
        <v>174</v>
      </c>
      <c r="H1" s="3"/>
      <c r="J1" s="2" t="s">
        <v>157</v>
      </c>
      <c r="K1" s="3"/>
    </row>
    <row r="2" spans="1:12" x14ac:dyDescent="0.25">
      <c r="A2" s="4" t="s">
        <v>126</v>
      </c>
      <c r="B2" s="7">
        <v>2006</v>
      </c>
      <c r="D2" s="4" t="s">
        <v>125</v>
      </c>
      <c r="E2" s="24">
        <f>E3*B21</f>
        <v>74250000000</v>
      </c>
      <c r="G2" s="4" t="str">
        <f>+A21</f>
        <v>Precio de adquisicion</v>
      </c>
      <c r="H2" s="24">
        <f>B21</f>
        <v>135000000000</v>
      </c>
      <c r="J2" s="4" t="s">
        <v>122</v>
      </c>
      <c r="K2" s="24">
        <f>K11-K3</f>
        <v>61504500000</v>
      </c>
      <c r="L2" s="166"/>
    </row>
    <row r="3" spans="1:12" x14ac:dyDescent="0.25">
      <c r="A3" s="5" t="s">
        <v>103</v>
      </c>
      <c r="B3" s="8">
        <f>+Ingresos!A23</f>
        <v>350</v>
      </c>
      <c r="D3" s="5" t="s">
        <v>2</v>
      </c>
      <c r="E3" s="171">
        <v>0.55000000000000004</v>
      </c>
      <c r="G3" s="5" t="s">
        <v>1</v>
      </c>
      <c r="H3" s="30">
        <f>B25</f>
        <v>7.601234718018772E-2</v>
      </c>
      <c r="J3" s="5" t="s">
        <v>123</v>
      </c>
      <c r="K3" s="33">
        <f>E2</f>
        <v>74250000000</v>
      </c>
      <c r="L3" s="166"/>
    </row>
    <row r="4" spans="1:12" x14ac:dyDescent="0.25">
      <c r="A4" s="5" t="s">
        <v>104</v>
      </c>
      <c r="B4" s="9">
        <v>3</v>
      </c>
      <c r="D4" s="5" t="s">
        <v>3</v>
      </c>
      <c r="E4" s="25">
        <f>'Flujo de caja anual'!D42/(PMT(Resumen!E6/12,Resumen!E9,-Resumen!E2,0,0)*12)</f>
        <v>1.2093604287544018</v>
      </c>
      <c r="G4" s="5" t="str">
        <f>+A22</f>
        <v>Precio adquisicion/unidad</v>
      </c>
      <c r="H4" s="31">
        <f>B22</f>
        <v>385714285.71428573</v>
      </c>
      <c r="J4" s="14" t="s">
        <v>124</v>
      </c>
      <c r="K4" s="35">
        <f>SUM(K2:K3)</f>
        <v>135754500000</v>
      </c>
    </row>
    <row r="5" spans="1:12" x14ac:dyDescent="0.25">
      <c r="A5" s="5" t="s">
        <v>105</v>
      </c>
      <c r="B5" s="8">
        <f>Ingresos!C23*Ingresos!A23</f>
        <v>21000</v>
      </c>
      <c r="D5" s="5" t="s">
        <v>4</v>
      </c>
      <c r="E5" s="172">
        <f>'Flujo de caja anual'!D42/Resumen!E2</f>
        <v>0.1382042676003413</v>
      </c>
      <c r="G5" s="5" t="s">
        <v>151</v>
      </c>
      <c r="H5" s="31">
        <f>H2/B5</f>
        <v>6428571.4285714282</v>
      </c>
    </row>
    <row r="6" spans="1:12" x14ac:dyDescent="0.25">
      <c r="A6" s="5" t="s">
        <v>106</v>
      </c>
      <c r="B6" s="8">
        <f>+B5/B3</f>
        <v>60</v>
      </c>
      <c r="D6" s="5" t="s">
        <v>171</v>
      </c>
      <c r="E6" s="173">
        <v>0.11</v>
      </c>
      <c r="F6" s="1" t="s">
        <v>295</v>
      </c>
      <c r="G6" s="5" t="s">
        <v>152</v>
      </c>
      <c r="H6" s="31">
        <f>B21+B23+H10+K10</f>
        <v>142768175000</v>
      </c>
      <c r="J6" s="2" t="s">
        <v>158</v>
      </c>
      <c r="K6" s="3"/>
    </row>
    <row r="7" spans="1:12" x14ac:dyDescent="0.25">
      <c r="A7" s="5" t="s">
        <v>128</v>
      </c>
      <c r="B7" s="11">
        <v>25</v>
      </c>
      <c r="D7" s="5" t="s">
        <v>216</v>
      </c>
      <c r="E7" s="185">
        <v>18</v>
      </c>
      <c r="G7" s="6" t="s">
        <v>153</v>
      </c>
      <c r="H7" s="32">
        <f>H6/B3</f>
        <v>407909071.4285714</v>
      </c>
      <c r="J7" s="4" t="str">
        <f>+A21</f>
        <v>Precio de adquisicion</v>
      </c>
      <c r="K7" s="24">
        <f>B21</f>
        <v>135000000000</v>
      </c>
    </row>
    <row r="8" spans="1:12" x14ac:dyDescent="0.25">
      <c r="A8" s="5" t="s">
        <v>129</v>
      </c>
      <c r="B8" s="12">
        <f>+B3/B7</f>
        <v>14</v>
      </c>
      <c r="D8" s="5" t="s">
        <v>215</v>
      </c>
      <c r="E8" s="173">
        <v>0.01</v>
      </c>
      <c r="J8" s="5" t="str">
        <f>+A23</f>
        <v>Costos de adquision</v>
      </c>
      <c r="K8" s="33">
        <f>B23</f>
        <v>12000000</v>
      </c>
    </row>
    <row r="9" spans="1:12" x14ac:dyDescent="0.25">
      <c r="A9" s="5" t="s">
        <v>0</v>
      </c>
      <c r="B9" s="10"/>
      <c r="D9" s="5" t="s">
        <v>172</v>
      </c>
      <c r="E9" s="185">
        <v>360</v>
      </c>
      <c r="G9" s="2" t="s">
        <v>121</v>
      </c>
      <c r="H9" s="3"/>
      <c r="J9" s="5" t="s">
        <v>294</v>
      </c>
      <c r="K9" s="33">
        <f>B24</f>
        <v>0</v>
      </c>
    </row>
    <row r="10" spans="1:12" x14ac:dyDescent="0.25">
      <c r="A10" s="6" t="s">
        <v>107</v>
      </c>
      <c r="B10" s="13" t="s">
        <v>59</v>
      </c>
      <c r="D10" s="6" t="s">
        <v>173</v>
      </c>
      <c r="E10" s="186">
        <v>60</v>
      </c>
      <c r="G10" s="4" t="s">
        <v>114</v>
      </c>
      <c r="H10" s="24">
        <f>'Presupuesto de construccion'!C49</f>
        <v>7013675000</v>
      </c>
      <c r="J10" s="5" t="s">
        <v>293</v>
      </c>
      <c r="K10" s="33">
        <f>E8*E2</f>
        <v>742500000</v>
      </c>
    </row>
    <row r="11" spans="1:12" x14ac:dyDescent="0.25">
      <c r="G11" s="5" t="s">
        <v>115</v>
      </c>
      <c r="H11" s="33">
        <f>H10/B3</f>
        <v>20039071.428571429</v>
      </c>
      <c r="J11" s="14" t="s">
        <v>7</v>
      </c>
      <c r="K11" s="35">
        <f>SUM(K7:K10)</f>
        <v>135754500000</v>
      </c>
    </row>
    <row r="12" spans="1:12" x14ac:dyDescent="0.25">
      <c r="A12" s="2" t="s">
        <v>102</v>
      </c>
      <c r="B12" s="3"/>
      <c r="D12" s="2" t="s">
        <v>113</v>
      </c>
      <c r="E12" s="2"/>
      <c r="G12" s="5" t="s">
        <v>116</v>
      </c>
      <c r="H12" s="31">
        <f>'Presupuesto de construccion'!C21*(1+'Presupuesto de construccion'!B45)</f>
        <v>1482800000</v>
      </c>
    </row>
    <row r="13" spans="1:12" x14ac:dyDescent="0.25">
      <c r="A13" s="4" t="s">
        <v>100</v>
      </c>
      <c r="B13" s="7">
        <v>0</v>
      </c>
      <c r="D13" s="4" t="s">
        <v>164</v>
      </c>
      <c r="E13" s="174">
        <f>E10</f>
        <v>60</v>
      </c>
      <c r="G13" s="5" t="s">
        <v>117</v>
      </c>
      <c r="H13" s="31">
        <f>H12/B3</f>
        <v>4236571.4285714282</v>
      </c>
      <c r="J13" s="2" t="s">
        <v>156</v>
      </c>
      <c r="K13" s="3"/>
    </row>
    <row r="14" spans="1:12" x14ac:dyDescent="0.25">
      <c r="A14" s="5" t="s">
        <v>133</v>
      </c>
      <c r="B14" s="9">
        <v>350</v>
      </c>
      <c r="D14" s="5" t="s">
        <v>125</v>
      </c>
      <c r="E14" s="27">
        <f>SUMIFS('Flujo de caja mensual'!D43:EE43,'Flujo de caja mensual'!D1:EE1,"&gt;"&amp;Resumen!E13,'Flujo de caja mensual'!D1:EE1,"&lt;="&amp;Resumen!E13+12)/Resumen!E15*Resumen!E16</f>
        <v>113487791579.24863</v>
      </c>
      <c r="G14" s="5" t="s">
        <v>118</v>
      </c>
      <c r="H14" s="31">
        <f>'Presupuesto de construccion'!C41*(1+'Presupuesto de construccion'!B45)</f>
        <v>5530875000</v>
      </c>
      <c r="J14" s="16" t="s">
        <v>155</v>
      </c>
      <c r="K14" s="36">
        <f>ABS(SUMIF('Flujo de caja mensual'!D67:EE67,"&lt;"&amp;0,'Flujo de caja mensual'!D67:EE67))</f>
        <v>5675169825.6192827</v>
      </c>
    </row>
    <row r="15" spans="1:12" x14ac:dyDescent="0.25">
      <c r="A15" s="5" t="s">
        <v>101</v>
      </c>
      <c r="B15" s="9">
        <v>350</v>
      </c>
      <c r="D15" s="5" t="s">
        <v>165</v>
      </c>
      <c r="E15" s="173">
        <v>7.0000000000000007E-2</v>
      </c>
      <c r="G15" s="5" t="s">
        <v>119</v>
      </c>
      <c r="H15" s="31">
        <f>H14/B3</f>
        <v>15802500</v>
      </c>
    </row>
    <row r="16" spans="1:12" x14ac:dyDescent="0.25">
      <c r="A16" s="14" t="s">
        <v>15</v>
      </c>
      <c r="B16" s="15">
        <f>SUM(B13:B15)</f>
        <v>700</v>
      </c>
      <c r="D16" s="5" t="s">
        <v>2</v>
      </c>
      <c r="E16" s="171">
        <v>0.55000000000000004</v>
      </c>
      <c r="G16" s="6" t="s">
        <v>120</v>
      </c>
      <c r="H16" s="34">
        <f>Ingresos!M23*Ingresos!A23*12/Resumen!H10</f>
        <v>0.17098777317169678</v>
      </c>
      <c r="J16" s="2" t="s">
        <v>159</v>
      </c>
      <c r="K16" s="3"/>
    </row>
    <row r="17" spans="1:12" x14ac:dyDescent="0.25">
      <c r="A17" s="16" t="s">
        <v>127</v>
      </c>
      <c r="B17" s="17">
        <f>B15/B3</f>
        <v>1</v>
      </c>
      <c r="D17" s="5" t="s">
        <v>3</v>
      </c>
      <c r="E17" s="25">
        <f>SUMIFS('Flujo de caja mensual'!D43:EE43,'Flujo de caja mensual'!D1:EE1,"&gt;"&amp;Resumen!E13,'Flujo de caja mensual'!D1:EE1,"&lt;="&amp;Resumen!E13+12)/(PMT(E19/12,E22,-E14,0,0)*12)</f>
        <v>1.2085693027848901</v>
      </c>
      <c r="J17" s="4" t="s">
        <v>160</v>
      </c>
      <c r="K17" s="37">
        <v>0.01</v>
      </c>
    </row>
    <row r="18" spans="1:12" x14ac:dyDescent="0.25">
      <c r="A18" s="16" t="s">
        <v>134</v>
      </c>
      <c r="B18" s="17">
        <f>B15/B3</f>
        <v>1</v>
      </c>
      <c r="D18" s="5" t="s">
        <v>4</v>
      </c>
      <c r="E18" s="172">
        <f>SUMIFS('Flujo de caja mensual'!D43:EE43,'Flujo de caja mensual'!D1:EE1,"&gt;"&amp;Resumen!E13,'Flujo de caja mensual'!D1:EE1,"&lt;="&amp;Resumen!E13+12)/E14</f>
        <v>0.12727272727272729</v>
      </c>
      <c r="G18" s="2" t="s">
        <v>131</v>
      </c>
      <c r="H18" s="3"/>
      <c r="J18" s="5" t="s">
        <v>214</v>
      </c>
      <c r="K18" s="26">
        <v>7.0000000000000007E-2</v>
      </c>
    </row>
    <row r="19" spans="1:12" x14ac:dyDescent="0.25">
      <c r="D19" s="5" t="s">
        <v>287</v>
      </c>
      <c r="E19" s="173">
        <v>0.1</v>
      </c>
      <c r="G19" s="4" t="s">
        <v>154</v>
      </c>
      <c r="H19" s="30">
        <f>K18</f>
        <v>7.0000000000000007E-2</v>
      </c>
      <c r="J19" s="6" t="s">
        <v>161</v>
      </c>
      <c r="K19" s="13">
        <v>120</v>
      </c>
    </row>
    <row r="20" spans="1:12" x14ac:dyDescent="0.25">
      <c r="A20" s="2" t="s">
        <v>111</v>
      </c>
      <c r="B20" s="3"/>
      <c r="D20" s="5" t="s">
        <v>288</v>
      </c>
      <c r="E20" s="185">
        <v>0</v>
      </c>
      <c r="G20" s="5" t="s">
        <v>6</v>
      </c>
      <c r="H20" s="30">
        <f>(K18-B25)/K19*12</f>
        <v>-6.0123471801877125E-4</v>
      </c>
    </row>
    <row r="21" spans="1:12" x14ac:dyDescent="0.25">
      <c r="A21" s="4" t="s">
        <v>108</v>
      </c>
      <c r="B21" s="18">
        <v>135000000000</v>
      </c>
      <c r="D21" s="5" t="s">
        <v>215</v>
      </c>
      <c r="E21" s="173">
        <v>2E-3</v>
      </c>
      <c r="G21" s="5" t="s">
        <v>289</v>
      </c>
      <c r="H21" s="31">
        <f>'Flujo de caja mensual'!A64</f>
        <v>242856105047.60718</v>
      </c>
      <c r="J21" s="38" t="s">
        <v>162</v>
      </c>
      <c r="K21" s="39"/>
    </row>
    <row r="22" spans="1:12" x14ac:dyDescent="0.25">
      <c r="A22" s="5" t="s">
        <v>109</v>
      </c>
      <c r="B22" s="19">
        <f>B21/B3</f>
        <v>385714285.71428573</v>
      </c>
      <c r="C22" s="167"/>
      <c r="D22" s="6" t="s">
        <v>5</v>
      </c>
      <c r="E22" s="186">
        <v>360</v>
      </c>
      <c r="G22" s="5" t="s">
        <v>290</v>
      </c>
      <c r="H22" s="31">
        <f>H21/B3</f>
        <v>693874585.85030627</v>
      </c>
      <c r="J22" s="4" t="s">
        <v>175</v>
      </c>
      <c r="K22" s="40">
        <f>XIRR('Flujo de caja mensual'!C67:EE67,'Flujo de caja mensual'!C3:EE3,)</f>
        <v>0.16069037318229676</v>
      </c>
    </row>
    <row r="23" spans="1:12" x14ac:dyDescent="0.25">
      <c r="A23" s="5" t="s">
        <v>110</v>
      </c>
      <c r="B23" s="20">
        <v>12000000</v>
      </c>
      <c r="C23" s="167"/>
      <c r="D23" s="28"/>
      <c r="E23" s="29"/>
      <c r="G23" s="5" t="s">
        <v>195</v>
      </c>
      <c r="H23" s="31">
        <f>-'Flujo de caja mensual'!A65</f>
        <v>2428561050.4760718</v>
      </c>
      <c r="J23" s="5" t="s">
        <v>8</v>
      </c>
      <c r="K23" s="41">
        <f>SUMIF('Flujo de caja mensual'!C67:EE67,"&gt;"&amp;0,'Flujo de caja mensual'!C67:EE67)/ABS(SUMIF('Flujo de caja mensual'!C67:EE67,"&lt;"&amp;0,'Flujo de caja mensual'!C67:EE67))</f>
        <v>3.1021679181569688</v>
      </c>
    </row>
    <row r="24" spans="1:12" x14ac:dyDescent="0.25">
      <c r="A24" s="189"/>
      <c r="B24" s="20"/>
      <c r="G24" s="5" t="s">
        <v>291</v>
      </c>
      <c r="H24" s="30" t="e">
        <f>RATE(K19/12,0,-B21,H21,0,)</f>
        <v>#NUM!</v>
      </c>
      <c r="J24" s="6" t="s">
        <v>9</v>
      </c>
      <c r="K24" s="42">
        <f>AVERAGEIF('Flujo de caja anual'!D1:M1,"&lt;="&amp;Resumen!K19/12,'Flujo de caja anual'!D68:M68)</f>
        <v>4.689081351020135E-2</v>
      </c>
    </row>
    <row r="25" spans="1:12" x14ac:dyDescent="0.25">
      <c r="A25" s="189" t="s">
        <v>180</v>
      </c>
      <c r="B25" s="21">
        <f>'Flujo de caja anual'!D42/Resumen!B21</f>
        <v>7.601234718018772E-2</v>
      </c>
      <c r="G25" s="5" t="s">
        <v>292</v>
      </c>
      <c r="H25" s="30">
        <f>K22</f>
        <v>0.16069037318229676</v>
      </c>
    </row>
    <row r="26" spans="1:12" x14ac:dyDescent="0.25">
      <c r="A26" s="188" t="s">
        <v>179</v>
      </c>
      <c r="B26" s="22">
        <v>44227</v>
      </c>
      <c r="G26" s="5" t="s">
        <v>176</v>
      </c>
      <c r="H26" s="25">
        <f>K23</f>
        <v>3.1021679181569688</v>
      </c>
    </row>
    <row r="27" spans="1:12" x14ac:dyDescent="0.25">
      <c r="G27" s="6" t="s">
        <v>177</v>
      </c>
      <c r="H27" s="34">
        <f>K24</f>
        <v>4.689081351020135E-2</v>
      </c>
    </row>
    <row r="31" spans="1:12" x14ac:dyDescent="0.25">
      <c r="G31" s="1" t="s">
        <v>298</v>
      </c>
      <c r="H31" s="203" t="s">
        <v>299</v>
      </c>
    </row>
    <row r="32" spans="1:12" x14ac:dyDescent="0.25">
      <c r="G32" s="202">
        <f>$K$22</f>
        <v>0.16069037318229676</v>
      </c>
      <c r="H32" s="203">
        <v>0.06</v>
      </c>
      <c r="I32" s="203">
        <v>7.0000000000000007E-2</v>
      </c>
      <c r="J32" s="203">
        <v>0.08</v>
      </c>
      <c r="K32" s="203">
        <v>0.09</v>
      </c>
      <c r="L32" s="203">
        <v>0.1</v>
      </c>
    </row>
    <row r="33" spans="6:12" x14ac:dyDescent="0.25">
      <c r="F33" s="203" t="s">
        <v>297</v>
      </c>
      <c r="G33" s="203">
        <v>0.11</v>
      </c>
      <c r="H33" s="204">
        <f t="dataTable" ref="H33:L37" dt2D="1" dtr="1" r1="K18" r2="E19" ca="1"/>
        <v>0.17709153294563296</v>
      </c>
      <c r="I33" s="204">
        <v>0.15605130791664126</v>
      </c>
      <c r="J33" s="204">
        <v>0.13707291483879092</v>
      </c>
      <c r="K33" s="204">
        <v>0.11950019001960754</v>
      </c>
      <c r="L33" s="204">
        <v>0.10285574793815613</v>
      </c>
    </row>
    <row r="34" spans="6:12" x14ac:dyDescent="0.25">
      <c r="G34" s="203">
        <v>0.12</v>
      </c>
      <c r="H34" s="204">
        <v>0.1729664981365204</v>
      </c>
      <c r="I34" s="204">
        <v>0.1512775957584381</v>
      </c>
      <c r="J34" s="204">
        <v>0.13159129023551941</v>
      </c>
      <c r="K34" s="204">
        <v>0.11323015093803407</v>
      </c>
      <c r="L34" s="204">
        <v>9.5688453316688543E-2</v>
      </c>
    </row>
    <row r="35" spans="6:12" x14ac:dyDescent="0.25">
      <c r="G35" s="203">
        <v>0.13</v>
      </c>
      <c r="H35" s="204">
        <v>0.16874287724494935</v>
      </c>
      <c r="I35" s="204">
        <v>0.14637083411216742</v>
      </c>
      <c r="J35" s="204">
        <v>0.12593036293983459</v>
      </c>
      <c r="K35" s="204">
        <v>0.10671765208244324</v>
      </c>
      <c r="L35" s="204">
        <v>8.8190105557441709E-2</v>
      </c>
    </row>
    <row r="36" spans="6:12" x14ac:dyDescent="0.25">
      <c r="G36" s="203">
        <v>0.14000000000000001</v>
      </c>
      <c r="H36" s="204">
        <v>0.16442291140556337</v>
      </c>
      <c r="I36" s="204">
        <v>0.14133151173591615</v>
      </c>
      <c r="J36" s="204">
        <v>0.12008730769157411</v>
      </c>
      <c r="K36" s="204">
        <v>9.9953585863113398E-2</v>
      </c>
      <c r="L36" s="204">
        <v>8.0339995026588451E-2</v>
      </c>
    </row>
    <row r="37" spans="6:12" x14ac:dyDescent="0.25">
      <c r="G37" s="203">
        <v>0.15</v>
      </c>
      <c r="H37" s="205">
        <v>0.16000801920890817</v>
      </c>
      <c r="I37" s="205">
        <v>0.13615908026695253</v>
      </c>
      <c r="J37" s="205">
        <v>0.11405779719352724</v>
      </c>
      <c r="K37" s="205">
        <v>9.292648136615754E-2</v>
      </c>
      <c r="L37" s="205">
        <v>7.2112902998924255E-2</v>
      </c>
    </row>
    <row r="39" spans="6:12" customFormat="1" ht="15" x14ac:dyDescent="0.25">
      <c r="H39" s="203" t="s">
        <v>2</v>
      </c>
    </row>
    <row r="40" spans="6:12" x14ac:dyDescent="0.25">
      <c r="G40" s="202">
        <f>$K$22</f>
        <v>0.16069037318229676</v>
      </c>
      <c r="H40" s="203">
        <v>0.5</v>
      </c>
      <c r="I40" s="203">
        <v>0.55000000000000004</v>
      </c>
      <c r="J40" s="203">
        <v>0.65</v>
      </c>
      <c r="K40" s="203">
        <v>0.7</v>
      </c>
      <c r="L40" s="203">
        <v>0.65</v>
      </c>
    </row>
    <row r="41" spans="6:12" x14ac:dyDescent="0.25">
      <c r="F41" s="203" t="s">
        <v>297</v>
      </c>
      <c r="G41" s="203">
        <v>0.11</v>
      </c>
      <c r="H41" s="204">
        <f t="dataTable" ref="H41:L45" dt2D="1" dtr="1" r1="E16" r2="E19"/>
        <v>0.1545785486698151</v>
      </c>
      <c r="I41" s="204">
        <v>0.15605130791664126</v>
      </c>
      <c r="J41" s="204">
        <v>0.15932078957557685</v>
      </c>
      <c r="K41" s="204">
        <v>0.16113837361335759</v>
      </c>
      <c r="L41" s="204">
        <v>0.15932078957557685</v>
      </c>
    </row>
    <row r="42" spans="6:12" x14ac:dyDescent="0.25">
      <c r="G42" s="203">
        <v>0.12</v>
      </c>
      <c r="H42" s="204">
        <v>0.15037669539451601</v>
      </c>
      <c r="I42" s="204">
        <v>0.1512775957584381</v>
      </c>
      <c r="J42" s="204">
        <v>0.15329279303550722</v>
      </c>
      <c r="K42" s="204">
        <v>0.15442309975624088</v>
      </c>
      <c r="L42" s="204">
        <v>0.15329279303550722</v>
      </c>
    </row>
    <row r="43" spans="6:12" x14ac:dyDescent="0.25">
      <c r="G43" s="203">
        <v>0.13</v>
      </c>
      <c r="H43" s="204">
        <v>0.14607345461845397</v>
      </c>
      <c r="I43" s="204">
        <v>0.14637083411216742</v>
      </c>
      <c r="J43" s="204">
        <v>0.1470413744449616</v>
      </c>
      <c r="K43" s="204">
        <v>0.14742106795310975</v>
      </c>
      <c r="L43" s="204">
        <v>0.1470413744449616</v>
      </c>
    </row>
    <row r="44" spans="6:12" x14ac:dyDescent="0.25">
      <c r="G44" s="203">
        <v>0.14000000000000001</v>
      </c>
      <c r="H44" s="204">
        <v>0.14167067408561709</v>
      </c>
      <c r="I44" s="204">
        <v>0.14133151173591615</v>
      </c>
      <c r="J44" s="204">
        <v>0.14056026339530944</v>
      </c>
      <c r="K44" s="204">
        <v>0.14011904597282407</v>
      </c>
      <c r="L44" s="204">
        <v>0.14056026339530944</v>
      </c>
    </row>
    <row r="45" spans="6:12" x14ac:dyDescent="0.25">
      <c r="G45" s="203">
        <v>0.15</v>
      </c>
      <c r="H45" s="205">
        <v>0.13716933131217954</v>
      </c>
      <c r="I45" s="205">
        <v>0.13615908026695253</v>
      </c>
      <c r="J45" s="205">
        <v>0.13384121060371401</v>
      </c>
      <c r="K45" s="205">
        <v>0.13250051140785216</v>
      </c>
      <c r="L45" s="205">
        <v>0.13384121060371401</v>
      </c>
    </row>
  </sheetData>
  <conditionalFormatting sqref="H33:L37 G32">
    <cfRule type="colorScale" priority="2">
      <colorScale>
        <cfvo type="min"/>
        <cfvo type="percentile" val="50"/>
        <cfvo type="max"/>
        <color rgb="FFF8696B"/>
        <color rgb="FFFFEB84"/>
        <color rgb="FF63BE7B"/>
      </colorScale>
    </cfRule>
  </conditionalFormatting>
  <conditionalFormatting sqref="H33:L37">
    <cfRule type="colorScale" priority="4">
      <colorScale>
        <cfvo type="min"/>
        <cfvo type="percentile" val="50"/>
        <cfvo type="max"/>
        <color rgb="FFF8696B"/>
        <color rgb="FFFFEB84"/>
        <color rgb="FF63BE7B"/>
      </colorScale>
    </cfRule>
  </conditionalFormatting>
  <conditionalFormatting sqref="H41:L45 G40">
    <cfRule type="colorScale" priority="1">
      <colorScale>
        <cfvo type="min"/>
        <cfvo type="percentile" val="50"/>
        <cfvo type="max"/>
        <color rgb="FFF8696B"/>
        <color rgb="FFFFEB84"/>
        <color rgb="FF63BE7B"/>
      </colorScale>
    </cfRule>
  </conditionalFormatting>
  <conditionalFormatting sqref="H41:L45">
    <cfRule type="colorScale" priority="3">
      <colorScale>
        <cfvo type="min"/>
        <cfvo type="percentile" val="50"/>
        <cfvo type="max"/>
        <color rgb="FFF8696B"/>
        <color rgb="FFFFEB84"/>
        <color rgb="FF63BE7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AF58C-AFEA-400F-BBA4-315BD033CAA5}">
  <dimension ref="A1:FH23"/>
  <sheetViews>
    <sheetView showGridLines="0" zoomScale="70" zoomScaleNormal="70" workbookViewId="0">
      <selection activeCell="A2" sqref="A2"/>
    </sheetView>
  </sheetViews>
  <sheetFormatPr baseColWidth="10" defaultColWidth="8.85546875" defaultRowHeight="13.5" x14ac:dyDescent="0.25"/>
  <cols>
    <col min="1" max="1" width="12" style="1" bestFit="1" customWidth="1"/>
    <col min="2" max="3" width="8.85546875" style="1"/>
    <col min="4" max="5" width="12.7109375" style="1" bestFit="1" customWidth="1"/>
    <col min="6" max="6" width="10.140625" style="1" bestFit="1" customWidth="1"/>
    <col min="7" max="7" width="12" style="1" bestFit="1" customWidth="1"/>
    <col min="8" max="9" width="8.85546875" style="1"/>
    <col min="10" max="11" width="12.7109375" style="1" bestFit="1" customWidth="1"/>
    <col min="12" max="12" width="8.85546875" style="1"/>
    <col min="13" max="13" width="20.5703125" style="1" bestFit="1" customWidth="1"/>
    <col min="14" max="14" width="8.85546875" style="1"/>
    <col min="15" max="15" width="22.28515625" style="1" bestFit="1" customWidth="1"/>
    <col min="16" max="16" width="15.28515625" style="1" bestFit="1" customWidth="1"/>
    <col min="17" max="17" width="8.85546875" style="1"/>
    <col min="18" max="18" width="30.140625" style="1" bestFit="1" customWidth="1"/>
    <col min="19" max="30" width="8.85546875" style="1"/>
    <col min="31" max="31" width="30.28515625" style="1" bestFit="1" customWidth="1"/>
    <col min="32" max="163" width="17.28515625" style="1" bestFit="1" customWidth="1"/>
    <col min="164" max="16384" width="8.85546875" style="1"/>
  </cols>
  <sheetData>
    <row r="1" spans="1:164" x14ac:dyDescent="0.25">
      <c r="A1" s="2" t="s">
        <v>132</v>
      </c>
      <c r="B1" s="43"/>
      <c r="C1" s="43"/>
      <c r="D1" s="43"/>
      <c r="E1" s="3"/>
      <c r="G1" s="2" t="s">
        <v>61</v>
      </c>
      <c r="H1" s="43"/>
      <c r="I1" s="43"/>
      <c r="J1" s="43"/>
      <c r="K1" s="3"/>
      <c r="M1" s="3" t="s">
        <v>13</v>
      </c>
      <c r="O1" s="2" t="s">
        <v>83</v>
      </c>
      <c r="P1" s="3"/>
      <c r="R1" s="69"/>
      <c r="S1" s="175">
        <v>1</v>
      </c>
      <c r="T1" s="175">
        <f>S1+1</f>
        <v>2</v>
      </c>
      <c r="U1" s="175">
        <f t="shared" ref="U1:AC1" si="0">T1+1</f>
        <v>3</v>
      </c>
      <c r="V1" s="175">
        <f t="shared" si="0"/>
        <v>4</v>
      </c>
      <c r="W1" s="175">
        <f t="shared" si="0"/>
        <v>5</v>
      </c>
      <c r="X1" s="175">
        <f t="shared" si="0"/>
        <v>6</v>
      </c>
      <c r="Y1" s="175">
        <f t="shared" si="0"/>
        <v>7</v>
      </c>
      <c r="Z1" s="175">
        <f t="shared" si="0"/>
        <v>8</v>
      </c>
      <c r="AA1" s="175">
        <f t="shared" si="0"/>
        <v>9</v>
      </c>
      <c r="AB1" s="175">
        <f t="shared" si="0"/>
        <v>10</v>
      </c>
      <c r="AC1" s="175">
        <f t="shared" si="0"/>
        <v>11</v>
      </c>
      <c r="AE1" s="69"/>
      <c r="AF1" s="176">
        <v>1</v>
      </c>
      <c r="AG1" s="176">
        <f>AF1+1</f>
        <v>2</v>
      </c>
      <c r="AH1" s="176">
        <f t="shared" ref="AH1:CS1" si="1">AG1+1</f>
        <v>3</v>
      </c>
      <c r="AI1" s="176">
        <f t="shared" si="1"/>
        <v>4</v>
      </c>
      <c r="AJ1" s="176">
        <f t="shared" si="1"/>
        <v>5</v>
      </c>
      <c r="AK1" s="176">
        <f t="shared" si="1"/>
        <v>6</v>
      </c>
      <c r="AL1" s="176">
        <f t="shared" si="1"/>
        <v>7</v>
      </c>
      <c r="AM1" s="176">
        <f t="shared" si="1"/>
        <v>8</v>
      </c>
      <c r="AN1" s="176">
        <f t="shared" si="1"/>
        <v>9</v>
      </c>
      <c r="AO1" s="176">
        <f t="shared" si="1"/>
        <v>10</v>
      </c>
      <c r="AP1" s="176">
        <f t="shared" si="1"/>
        <v>11</v>
      </c>
      <c r="AQ1" s="176">
        <f t="shared" si="1"/>
        <v>12</v>
      </c>
      <c r="AR1" s="176">
        <f t="shared" si="1"/>
        <v>13</v>
      </c>
      <c r="AS1" s="176">
        <f t="shared" si="1"/>
        <v>14</v>
      </c>
      <c r="AT1" s="176">
        <f t="shared" si="1"/>
        <v>15</v>
      </c>
      <c r="AU1" s="176">
        <f t="shared" si="1"/>
        <v>16</v>
      </c>
      <c r="AV1" s="176">
        <f t="shared" si="1"/>
        <v>17</v>
      </c>
      <c r="AW1" s="176">
        <f t="shared" si="1"/>
        <v>18</v>
      </c>
      <c r="AX1" s="176">
        <f t="shared" si="1"/>
        <v>19</v>
      </c>
      <c r="AY1" s="176">
        <f t="shared" si="1"/>
        <v>20</v>
      </c>
      <c r="AZ1" s="176">
        <f t="shared" si="1"/>
        <v>21</v>
      </c>
      <c r="BA1" s="176">
        <f t="shared" si="1"/>
        <v>22</v>
      </c>
      <c r="BB1" s="176">
        <f t="shared" si="1"/>
        <v>23</v>
      </c>
      <c r="BC1" s="176">
        <f t="shared" si="1"/>
        <v>24</v>
      </c>
      <c r="BD1" s="176">
        <f t="shared" si="1"/>
        <v>25</v>
      </c>
      <c r="BE1" s="176">
        <f t="shared" si="1"/>
        <v>26</v>
      </c>
      <c r="BF1" s="176">
        <f t="shared" si="1"/>
        <v>27</v>
      </c>
      <c r="BG1" s="176">
        <f t="shared" si="1"/>
        <v>28</v>
      </c>
      <c r="BH1" s="176">
        <f t="shared" si="1"/>
        <v>29</v>
      </c>
      <c r="BI1" s="176">
        <f t="shared" si="1"/>
        <v>30</v>
      </c>
      <c r="BJ1" s="176">
        <f t="shared" si="1"/>
        <v>31</v>
      </c>
      <c r="BK1" s="176">
        <f t="shared" si="1"/>
        <v>32</v>
      </c>
      <c r="BL1" s="176">
        <f t="shared" si="1"/>
        <v>33</v>
      </c>
      <c r="BM1" s="176">
        <f t="shared" si="1"/>
        <v>34</v>
      </c>
      <c r="BN1" s="176">
        <f t="shared" si="1"/>
        <v>35</v>
      </c>
      <c r="BO1" s="176">
        <f t="shared" si="1"/>
        <v>36</v>
      </c>
      <c r="BP1" s="176">
        <f t="shared" si="1"/>
        <v>37</v>
      </c>
      <c r="BQ1" s="176">
        <f t="shared" si="1"/>
        <v>38</v>
      </c>
      <c r="BR1" s="176">
        <f t="shared" si="1"/>
        <v>39</v>
      </c>
      <c r="BS1" s="176">
        <f t="shared" si="1"/>
        <v>40</v>
      </c>
      <c r="BT1" s="176">
        <f t="shared" si="1"/>
        <v>41</v>
      </c>
      <c r="BU1" s="176">
        <f t="shared" si="1"/>
        <v>42</v>
      </c>
      <c r="BV1" s="176">
        <f t="shared" si="1"/>
        <v>43</v>
      </c>
      <c r="BW1" s="176">
        <f t="shared" si="1"/>
        <v>44</v>
      </c>
      <c r="BX1" s="176">
        <f t="shared" si="1"/>
        <v>45</v>
      </c>
      <c r="BY1" s="176">
        <f t="shared" si="1"/>
        <v>46</v>
      </c>
      <c r="BZ1" s="176">
        <f t="shared" si="1"/>
        <v>47</v>
      </c>
      <c r="CA1" s="176">
        <f t="shared" si="1"/>
        <v>48</v>
      </c>
      <c r="CB1" s="176">
        <f t="shared" si="1"/>
        <v>49</v>
      </c>
      <c r="CC1" s="176">
        <f t="shared" si="1"/>
        <v>50</v>
      </c>
      <c r="CD1" s="176">
        <f t="shared" si="1"/>
        <v>51</v>
      </c>
      <c r="CE1" s="176">
        <f t="shared" si="1"/>
        <v>52</v>
      </c>
      <c r="CF1" s="176">
        <f t="shared" si="1"/>
        <v>53</v>
      </c>
      <c r="CG1" s="176">
        <f t="shared" si="1"/>
        <v>54</v>
      </c>
      <c r="CH1" s="176">
        <f t="shared" si="1"/>
        <v>55</v>
      </c>
      <c r="CI1" s="176">
        <f t="shared" si="1"/>
        <v>56</v>
      </c>
      <c r="CJ1" s="176">
        <f t="shared" si="1"/>
        <v>57</v>
      </c>
      <c r="CK1" s="176">
        <f t="shared" si="1"/>
        <v>58</v>
      </c>
      <c r="CL1" s="176">
        <f t="shared" si="1"/>
        <v>59</v>
      </c>
      <c r="CM1" s="176">
        <f t="shared" si="1"/>
        <v>60</v>
      </c>
      <c r="CN1" s="176">
        <f t="shared" si="1"/>
        <v>61</v>
      </c>
      <c r="CO1" s="176">
        <f t="shared" si="1"/>
        <v>62</v>
      </c>
      <c r="CP1" s="176">
        <f t="shared" si="1"/>
        <v>63</v>
      </c>
      <c r="CQ1" s="176">
        <f t="shared" si="1"/>
        <v>64</v>
      </c>
      <c r="CR1" s="176">
        <f t="shared" si="1"/>
        <v>65</v>
      </c>
      <c r="CS1" s="176">
        <f t="shared" si="1"/>
        <v>66</v>
      </c>
      <c r="CT1" s="176">
        <f t="shared" ref="CT1:FE1" si="2">CS1+1</f>
        <v>67</v>
      </c>
      <c r="CU1" s="176">
        <f t="shared" si="2"/>
        <v>68</v>
      </c>
      <c r="CV1" s="176">
        <f t="shared" si="2"/>
        <v>69</v>
      </c>
      <c r="CW1" s="176">
        <f t="shared" si="2"/>
        <v>70</v>
      </c>
      <c r="CX1" s="176">
        <f t="shared" si="2"/>
        <v>71</v>
      </c>
      <c r="CY1" s="176">
        <f t="shared" si="2"/>
        <v>72</v>
      </c>
      <c r="CZ1" s="176">
        <f t="shared" si="2"/>
        <v>73</v>
      </c>
      <c r="DA1" s="176">
        <f t="shared" si="2"/>
        <v>74</v>
      </c>
      <c r="DB1" s="176">
        <f t="shared" si="2"/>
        <v>75</v>
      </c>
      <c r="DC1" s="176">
        <f t="shared" si="2"/>
        <v>76</v>
      </c>
      <c r="DD1" s="176">
        <f t="shared" si="2"/>
        <v>77</v>
      </c>
      <c r="DE1" s="176">
        <f t="shared" si="2"/>
        <v>78</v>
      </c>
      <c r="DF1" s="176">
        <f t="shared" si="2"/>
        <v>79</v>
      </c>
      <c r="DG1" s="176">
        <f t="shared" si="2"/>
        <v>80</v>
      </c>
      <c r="DH1" s="176">
        <f t="shared" si="2"/>
        <v>81</v>
      </c>
      <c r="DI1" s="176">
        <f t="shared" si="2"/>
        <v>82</v>
      </c>
      <c r="DJ1" s="176">
        <f t="shared" si="2"/>
        <v>83</v>
      </c>
      <c r="DK1" s="176">
        <f t="shared" si="2"/>
        <v>84</v>
      </c>
      <c r="DL1" s="176">
        <f t="shared" si="2"/>
        <v>85</v>
      </c>
      <c r="DM1" s="176">
        <f t="shared" si="2"/>
        <v>86</v>
      </c>
      <c r="DN1" s="176">
        <f t="shared" si="2"/>
        <v>87</v>
      </c>
      <c r="DO1" s="176">
        <f t="shared" si="2"/>
        <v>88</v>
      </c>
      <c r="DP1" s="176">
        <f t="shared" si="2"/>
        <v>89</v>
      </c>
      <c r="DQ1" s="176">
        <f t="shared" si="2"/>
        <v>90</v>
      </c>
      <c r="DR1" s="176">
        <f t="shared" si="2"/>
        <v>91</v>
      </c>
      <c r="DS1" s="176">
        <f t="shared" si="2"/>
        <v>92</v>
      </c>
      <c r="DT1" s="176">
        <f t="shared" si="2"/>
        <v>93</v>
      </c>
      <c r="DU1" s="176">
        <f t="shared" si="2"/>
        <v>94</v>
      </c>
      <c r="DV1" s="176">
        <f t="shared" si="2"/>
        <v>95</v>
      </c>
      <c r="DW1" s="176">
        <f t="shared" si="2"/>
        <v>96</v>
      </c>
      <c r="DX1" s="176">
        <f t="shared" si="2"/>
        <v>97</v>
      </c>
      <c r="DY1" s="176">
        <f t="shared" si="2"/>
        <v>98</v>
      </c>
      <c r="DZ1" s="176">
        <f t="shared" si="2"/>
        <v>99</v>
      </c>
      <c r="EA1" s="176">
        <f t="shared" si="2"/>
        <v>100</v>
      </c>
      <c r="EB1" s="176">
        <f t="shared" si="2"/>
        <v>101</v>
      </c>
      <c r="EC1" s="176">
        <f t="shared" si="2"/>
        <v>102</v>
      </c>
      <c r="ED1" s="176">
        <f t="shared" si="2"/>
        <v>103</v>
      </c>
      <c r="EE1" s="176">
        <f t="shared" si="2"/>
        <v>104</v>
      </c>
      <c r="EF1" s="176">
        <f t="shared" si="2"/>
        <v>105</v>
      </c>
      <c r="EG1" s="176">
        <f t="shared" si="2"/>
        <v>106</v>
      </c>
      <c r="EH1" s="176">
        <f t="shared" si="2"/>
        <v>107</v>
      </c>
      <c r="EI1" s="176">
        <f t="shared" si="2"/>
        <v>108</v>
      </c>
      <c r="EJ1" s="176">
        <f t="shared" si="2"/>
        <v>109</v>
      </c>
      <c r="EK1" s="176">
        <f t="shared" si="2"/>
        <v>110</v>
      </c>
      <c r="EL1" s="176">
        <f t="shared" si="2"/>
        <v>111</v>
      </c>
      <c r="EM1" s="176">
        <f t="shared" si="2"/>
        <v>112</v>
      </c>
      <c r="EN1" s="176">
        <f t="shared" si="2"/>
        <v>113</v>
      </c>
      <c r="EO1" s="176">
        <f t="shared" si="2"/>
        <v>114</v>
      </c>
      <c r="EP1" s="176">
        <f t="shared" si="2"/>
        <v>115</v>
      </c>
      <c r="EQ1" s="176">
        <f t="shared" si="2"/>
        <v>116</v>
      </c>
      <c r="ER1" s="176">
        <f t="shared" si="2"/>
        <v>117</v>
      </c>
      <c r="ES1" s="176">
        <f t="shared" si="2"/>
        <v>118</v>
      </c>
      <c r="ET1" s="176">
        <f t="shared" si="2"/>
        <v>119</v>
      </c>
      <c r="EU1" s="176">
        <f t="shared" si="2"/>
        <v>120</v>
      </c>
      <c r="EV1" s="176">
        <f t="shared" si="2"/>
        <v>121</v>
      </c>
      <c r="EW1" s="176">
        <f t="shared" si="2"/>
        <v>122</v>
      </c>
      <c r="EX1" s="176">
        <f t="shared" si="2"/>
        <v>123</v>
      </c>
      <c r="EY1" s="176">
        <f t="shared" si="2"/>
        <v>124</v>
      </c>
      <c r="EZ1" s="176">
        <f t="shared" si="2"/>
        <v>125</v>
      </c>
      <c r="FA1" s="176">
        <f t="shared" si="2"/>
        <v>126</v>
      </c>
      <c r="FB1" s="176">
        <f t="shared" si="2"/>
        <v>127</v>
      </c>
      <c r="FC1" s="176">
        <f t="shared" si="2"/>
        <v>128</v>
      </c>
      <c r="FD1" s="176">
        <f t="shared" si="2"/>
        <v>129</v>
      </c>
      <c r="FE1" s="176">
        <f t="shared" si="2"/>
        <v>130</v>
      </c>
      <c r="FF1" s="176">
        <f>FE1+1</f>
        <v>131</v>
      </c>
      <c r="FG1" s="176">
        <f>FF1+1</f>
        <v>132</v>
      </c>
      <c r="FH1" s="79"/>
    </row>
    <row r="2" spans="1:164" x14ac:dyDescent="0.25">
      <c r="A2" s="44" t="s">
        <v>67</v>
      </c>
      <c r="B2" s="45" t="s">
        <v>66</v>
      </c>
      <c r="C2" s="45" t="s">
        <v>57</v>
      </c>
      <c r="D2" s="45" t="s">
        <v>72</v>
      </c>
      <c r="E2" s="46" t="s">
        <v>58</v>
      </c>
      <c r="G2" s="44" t="s">
        <v>67</v>
      </c>
      <c r="H2" s="45" t="s">
        <v>66</v>
      </c>
      <c r="I2" s="45" t="s">
        <v>57</v>
      </c>
      <c r="J2" s="45" t="s">
        <v>72</v>
      </c>
      <c r="K2" s="46" t="s">
        <v>10</v>
      </c>
      <c r="M2" s="46" t="s">
        <v>14</v>
      </c>
      <c r="O2" s="4" t="s">
        <v>68</v>
      </c>
      <c r="P2" s="66">
        <f>12000*8*(20%)</f>
        <v>19200</v>
      </c>
      <c r="R2" s="4" t="s">
        <v>62</v>
      </c>
      <c r="S2" s="73">
        <v>0.1</v>
      </c>
      <c r="T2" s="73">
        <v>5.5E-2</v>
      </c>
      <c r="U2" s="73">
        <v>0.05</v>
      </c>
      <c r="V2" s="73">
        <v>0.05</v>
      </c>
      <c r="W2" s="73">
        <v>0.05</v>
      </c>
      <c r="X2" s="73">
        <v>0.05</v>
      </c>
      <c r="Y2" s="73">
        <v>0.05</v>
      </c>
      <c r="Z2" s="73">
        <v>0.05</v>
      </c>
      <c r="AA2" s="73">
        <v>0.05</v>
      </c>
      <c r="AB2" s="73">
        <v>0.05</v>
      </c>
      <c r="AC2" s="74">
        <v>0.05</v>
      </c>
      <c r="AE2" s="5" t="s">
        <v>132</v>
      </c>
      <c r="AF2" s="78">
        <f>A23*D23</f>
        <v>999377224.99999988</v>
      </c>
      <c r="AG2" s="78">
        <f>AF2*(1+HLOOKUP(ROUNDUP(AF$1/12,0),$S$8:$AC$9,2,0))^(1/12)</f>
        <v>1003448811.5212089</v>
      </c>
      <c r="AH2" s="78">
        <f t="shared" ref="AH2:CS3" si="3">AG2*(1+HLOOKUP(ROUNDUP(AG$1/12,0),$S$8:$AC$9,2,0))^(1/12)</f>
        <v>1007536986.1899011</v>
      </c>
      <c r="AI2" s="78">
        <f t="shared" si="3"/>
        <v>1011641816.5882428</v>
      </c>
      <c r="AJ2" s="78">
        <f t="shared" si="3"/>
        <v>1015763370.5737381</v>
      </c>
      <c r="AK2" s="78">
        <f t="shared" si="3"/>
        <v>1019901716.2803514</v>
      </c>
      <c r="AL2" s="78">
        <f t="shared" si="3"/>
        <v>1024056922.119633</v>
      </c>
      <c r="AM2" s="78">
        <f t="shared" si="3"/>
        <v>1028229056.7818503</v>
      </c>
      <c r="AN2" s="78">
        <f t="shared" si="3"/>
        <v>1032418189.2371236</v>
      </c>
      <c r="AO2" s="78">
        <f t="shared" si="3"/>
        <v>1036624388.7365657</v>
      </c>
      <c r="AP2" s="78">
        <f t="shared" si="3"/>
        <v>1040847724.8134273</v>
      </c>
      <c r="AQ2" s="78">
        <f t="shared" si="3"/>
        <v>1045088267.284246</v>
      </c>
      <c r="AR2" s="78">
        <f t="shared" si="3"/>
        <v>1049346086.2500006</v>
      </c>
      <c r="AS2" s="80">
        <f t="shared" si="3"/>
        <v>1052781372.2778519</v>
      </c>
      <c r="AT2" s="80">
        <f t="shared" si="3"/>
        <v>1056227904.5382359</v>
      </c>
      <c r="AU2" s="80">
        <f t="shared" si="3"/>
        <v>1059685719.8483913</v>
      </c>
      <c r="AV2" s="80">
        <f t="shared" si="3"/>
        <v>1063154855.1460871</v>
      </c>
      <c r="AW2" s="80">
        <f t="shared" si="3"/>
        <v>1066635347.4900167</v>
      </c>
      <c r="AX2" s="80">
        <f t="shared" si="3"/>
        <v>1070127234.0601944</v>
      </c>
      <c r="AY2" s="80">
        <f t="shared" si="3"/>
        <v>1073630552.1583518</v>
      </c>
      <c r="AZ2" s="80">
        <f t="shared" si="3"/>
        <v>1077145339.2083368</v>
      </c>
      <c r="BA2" s="80">
        <f t="shared" si="3"/>
        <v>1080671632.7565134</v>
      </c>
      <c r="BB2" s="80">
        <f t="shared" si="3"/>
        <v>1084209470.4721622</v>
      </c>
      <c r="BC2" s="80">
        <f t="shared" si="3"/>
        <v>1087758890.1478839</v>
      </c>
      <c r="BD2" s="80">
        <f t="shared" si="3"/>
        <v>1091319929.7000015</v>
      </c>
      <c r="BE2" s="80">
        <f t="shared" si="3"/>
        <v>1094452998.6882801</v>
      </c>
      <c r="BF2" s="80">
        <f t="shared" si="3"/>
        <v>1097595062.4003038</v>
      </c>
      <c r="BG2" s="80">
        <f t="shared" si="3"/>
        <v>1100746146.6590137</v>
      </c>
      <c r="BH2" s="80">
        <f t="shared" si="3"/>
        <v>1103906277.3614857</v>
      </c>
      <c r="BI2" s="80">
        <f t="shared" si="3"/>
        <v>1107075480.4791434</v>
      </c>
      <c r="BJ2" s="80">
        <f t="shared" si="3"/>
        <v>1110253782.0579722</v>
      </c>
      <c r="BK2" s="80">
        <f t="shared" si="3"/>
        <v>1113441208.2187324</v>
      </c>
      <c r="BL2" s="80">
        <f t="shared" si="3"/>
        <v>1116637785.1571746</v>
      </c>
      <c r="BM2" s="80">
        <f t="shared" si="3"/>
        <v>1119843539.1442549</v>
      </c>
      <c r="BN2" s="80">
        <f t="shared" si="3"/>
        <v>1123058496.5263505</v>
      </c>
      <c r="BO2" s="80">
        <f t="shared" si="3"/>
        <v>1126282683.725476</v>
      </c>
      <c r="BP2" s="80">
        <f t="shared" si="3"/>
        <v>1129516127.2395017</v>
      </c>
      <c r="BQ2" s="80">
        <f t="shared" si="3"/>
        <v>1132758853.64237</v>
      </c>
      <c r="BR2" s="80">
        <f t="shared" si="3"/>
        <v>1136010889.5843146</v>
      </c>
      <c r="BS2" s="80">
        <f t="shared" si="3"/>
        <v>1139272261.7920792</v>
      </c>
      <c r="BT2" s="80">
        <f t="shared" si="3"/>
        <v>1142542997.0691376</v>
      </c>
      <c r="BU2" s="80">
        <f t="shared" si="3"/>
        <v>1145823122.2959135</v>
      </c>
      <c r="BV2" s="80">
        <f t="shared" si="3"/>
        <v>1149112664.4300013</v>
      </c>
      <c r="BW2" s="80">
        <f t="shared" si="3"/>
        <v>1152411650.5063882</v>
      </c>
      <c r="BX2" s="80">
        <f t="shared" si="3"/>
        <v>1155720107.637676</v>
      </c>
      <c r="BY2" s="80">
        <f t="shared" si="3"/>
        <v>1159038063.0143042</v>
      </c>
      <c r="BZ2" s="80">
        <f t="shared" si="3"/>
        <v>1162365543.904773</v>
      </c>
      <c r="CA2" s="80">
        <f t="shared" si="3"/>
        <v>1165702577.6558681</v>
      </c>
      <c r="CB2" s="80">
        <f t="shared" si="3"/>
        <v>1169049191.6928847</v>
      </c>
      <c r="CC2" s="80">
        <f t="shared" si="3"/>
        <v>1172405413.5198534</v>
      </c>
      <c r="CD2" s="80">
        <f t="shared" si="3"/>
        <v>1175771270.7197661</v>
      </c>
      <c r="CE2" s="80">
        <f t="shared" si="3"/>
        <v>1179146790.9548028</v>
      </c>
      <c r="CF2" s="80">
        <f t="shared" si="3"/>
        <v>1182532001.9665582</v>
      </c>
      <c r="CG2" s="80">
        <f t="shared" si="3"/>
        <v>1185926931.5762711</v>
      </c>
      <c r="CH2" s="80">
        <f t="shared" si="3"/>
        <v>1189331607.6850519</v>
      </c>
      <c r="CI2" s="80">
        <f t="shared" si="3"/>
        <v>1192746058.2741122</v>
      </c>
      <c r="CJ2" s="80">
        <f t="shared" si="3"/>
        <v>1196170311.4049952</v>
      </c>
      <c r="CK2" s="80">
        <f t="shared" si="3"/>
        <v>1199604395.2198052</v>
      </c>
      <c r="CL2" s="80">
        <f t="shared" si="3"/>
        <v>1203048337.9414406</v>
      </c>
      <c r="CM2" s="80">
        <f t="shared" si="3"/>
        <v>1206502167.8738239</v>
      </c>
      <c r="CN2" s="80">
        <f t="shared" si="3"/>
        <v>1209965913.4021361</v>
      </c>
      <c r="CO2" s="80">
        <f t="shared" si="3"/>
        <v>1213439602.9930487</v>
      </c>
      <c r="CP2" s="80">
        <f t="shared" si="3"/>
        <v>1216923265.1949582</v>
      </c>
      <c r="CQ2" s="80">
        <f t="shared" si="3"/>
        <v>1220416928.638221</v>
      </c>
      <c r="CR2" s="80">
        <f t="shared" si="3"/>
        <v>1223920622.035388</v>
      </c>
      <c r="CS2" s="80">
        <f t="shared" si="3"/>
        <v>1227434374.1814408</v>
      </c>
      <c r="CT2" s="80">
        <f t="shared" ref="CT2:FE3" si="4">CS2*(1+HLOOKUP(ROUNDUP(CS$1/12,0),$S$8:$AC$9,2,0))^(1/12)</f>
        <v>1230958213.9540291</v>
      </c>
      <c r="CU2" s="80">
        <f t="shared" si="4"/>
        <v>1234492170.3137066</v>
      </c>
      <c r="CV2" s="80">
        <f t="shared" si="4"/>
        <v>1238036272.3041704</v>
      </c>
      <c r="CW2" s="80">
        <f t="shared" si="4"/>
        <v>1241590549.0524988</v>
      </c>
      <c r="CX2" s="80">
        <f t="shared" si="4"/>
        <v>1245155029.7693913</v>
      </c>
      <c r="CY2" s="80">
        <f t="shared" si="4"/>
        <v>1248729743.749408</v>
      </c>
      <c r="CZ2" s="80">
        <f t="shared" si="4"/>
        <v>1252314720.3712111</v>
      </c>
      <c r="DA2" s="80">
        <f t="shared" si="4"/>
        <v>1255909989.0978055</v>
      </c>
      <c r="DB2" s="80">
        <f t="shared" si="4"/>
        <v>1259515579.4767818</v>
      </c>
      <c r="DC2" s="80">
        <f t="shared" si="4"/>
        <v>1263131521.1405587</v>
      </c>
      <c r="DD2" s="80">
        <f t="shared" si="4"/>
        <v>1266757843.8066266</v>
      </c>
      <c r="DE2" s="80">
        <f t="shared" si="4"/>
        <v>1270394577.2777913</v>
      </c>
      <c r="DF2" s="80">
        <f t="shared" si="4"/>
        <v>1274041751.44242</v>
      </c>
      <c r="DG2" s="80">
        <f t="shared" si="4"/>
        <v>1277699396.2746861</v>
      </c>
      <c r="DH2" s="80">
        <f t="shared" si="4"/>
        <v>1281367541.834816</v>
      </c>
      <c r="DI2" s="80">
        <f t="shared" si="4"/>
        <v>1285046218.269336</v>
      </c>
      <c r="DJ2" s="80">
        <f t="shared" si="4"/>
        <v>1288735455.8113196</v>
      </c>
      <c r="DK2" s="80">
        <f t="shared" si="4"/>
        <v>1292435284.780637</v>
      </c>
      <c r="DL2" s="80">
        <f t="shared" si="4"/>
        <v>1296145735.5842032</v>
      </c>
      <c r="DM2" s="80">
        <f t="shared" si="4"/>
        <v>1299866838.7162285</v>
      </c>
      <c r="DN2" s="80">
        <f t="shared" si="4"/>
        <v>1303598624.7584691</v>
      </c>
      <c r="DO2" s="80">
        <f t="shared" si="4"/>
        <v>1307341124.3804784</v>
      </c>
      <c r="DP2" s="80">
        <f t="shared" si="4"/>
        <v>1311094368.3398585</v>
      </c>
      <c r="DQ2" s="80">
        <f t="shared" si="4"/>
        <v>1314858387.4825141</v>
      </c>
      <c r="DR2" s="80">
        <f t="shared" si="4"/>
        <v>1318633212.7429049</v>
      </c>
      <c r="DS2" s="80">
        <f t="shared" si="4"/>
        <v>1322418875.1443005</v>
      </c>
      <c r="DT2" s="80">
        <f t="shared" si="4"/>
        <v>1326215405.7990351</v>
      </c>
      <c r="DU2" s="80">
        <f t="shared" si="4"/>
        <v>1330022835.9087632</v>
      </c>
      <c r="DV2" s="80">
        <f t="shared" si="4"/>
        <v>1333841196.7647164</v>
      </c>
      <c r="DW2" s="80">
        <f t="shared" si="4"/>
        <v>1337670519.7479599</v>
      </c>
      <c r="DX2" s="80">
        <f t="shared" si="4"/>
        <v>1341510836.3296509</v>
      </c>
      <c r="DY2" s="80">
        <f t="shared" si="4"/>
        <v>1345362178.0712972</v>
      </c>
      <c r="DZ2" s="80">
        <f t="shared" si="4"/>
        <v>1349224576.6250162</v>
      </c>
      <c r="EA2" s="80">
        <f t="shared" si="4"/>
        <v>1353098063.7337956</v>
      </c>
      <c r="EB2" s="80">
        <f t="shared" si="4"/>
        <v>1356982671.2317541</v>
      </c>
      <c r="EC2" s="80">
        <f t="shared" si="4"/>
        <v>1360878431.0444026</v>
      </c>
      <c r="ED2" s="80">
        <f t="shared" si="4"/>
        <v>1364785375.1889069</v>
      </c>
      <c r="EE2" s="80">
        <f t="shared" si="4"/>
        <v>1368703535.7743514</v>
      </c>
      <c r="EF2" s="80">
        <f t="shared" si="4"/>
        <v>1372632945.0020015</v>
      </c>
      <c r="EG2" s="80">
        <f t="shared" si="4"/>
        <v>1376573635.1655703</v>
      </c>
      <c r="EH2" s="80">
        <f t="shared" si="4"/>
        <v>1380525638.6514819</v>
      </c>
      <c r="EI2" s="80">
        <f t="shared" si="4"/>
        <v>1384488987.9391389</v>
      </c>
      <c r="EJ2" s="80">
        <f t="shared" si="4"/>
        <v>1388463715.6011891</v>
      </c>
      <c r="EK2" s="80">
        <f t="shared" si="4"/>
        <v>1392449854.303793</v>
      </c>
      <c r="EL2" s="80">
        <f t="shared" si="4"/>
        <v>1396447436.8068922</v>
      </c>
      <c r="EM2" s="80">
        <f t="shared" si="4"/>
        <v>1400456495.964479</v>
      </c>
      <c r="EN2" s="80">
        <f t="shared" si="4"/>
        <v>1404477064.7248659</v>
      </c>
      <c r="EO2" s="80">
        <f t="shared" si="4"/>
        <v>1408509176.1309571</v>
      </c>
      <c r="EP2" s="80">
        <f t="shared" si="4"/>
        <v>1412552863.3205192</v>
      </c>
      <c r="EQ2" s="80">
        <f t="shared" si="4"/>
        <v>1416608159.5264542</v>
      </c>
      <c r="ER2" s="80">
        <f t="shared" si="4"/>
        <v>1420675098.0770721</v>
      </c>
      <c r="ES2" s="80">
        <f t="shared" si="4"/>
        <v>1424753712.3963656</v>
      </c>
      <c r="ET2" s="80">
        <f t="shared" si="4"/>
        <v>1428844036.0042841</v>
      </c>
      <c r="EU2" s="80">
        <f t="shared" si="4"/>
        <v>1432946102.5170093</v>
      </c>
      <c r="EV2" s="80">
        <f t="shared" si="4"/>
        <v>1437059945.6472311</v>
      </c>
      <c r="EW2" s="80">
        <f t="shared" si="4"/>
        <v>1441185599.2044261</v>
      </c>
      <c r="EX2" s="80">
        <f t="shared" si="4"/>
        <v>1445323097.0951338</v>
      </c>
      <c r="EY2" s="80">
        <f t="shared" si="4"/>
        <v>1449472473.323236</v>
      </c>
      <c r="EZ2" s="80">
        <f t="shared" si="4"/>
        <v>1453633761.9902365</v>
      </c>
      <c r="FA2" s="80">
        <f t="shared" si="4"/>
        <v>1457806997.2955408</v>
      </c>
      <c r="FB2" s="80">
        <f t="shared" si="4"/>
        <v>1461992213.5367374</v>
      </c>
      <c r="FC2" s="80">
        <f t="shared" si="4"/>
        <v>1466189445.10988</v>
      </c>
      <c r="FD2" s="80">
        <f t="shared" si="4"/>
        <v>1470398726.5097697</v>
      </c>
      <c r="FE2" s="80">
        <f t="shared" si="4"/>
        <v>1474620092.3302386</v>
      </c>
      <c r="FF2" s="80">
        <f>FE2*(1+HLOOKUP(ROUNDUP(FE$1/12,0),$S$8:$AC$9,2,0))^(1/12)</f>
        <v>1478853577.2644341</v>
      </c>
      <c r="FG2" s="81">
        <f>FF2*(1+HLOOKUP(ROUNDUP(FF$1/12,0),$S$8:$AC$9,2,0))^(1/12)</f>
        <v>1483099216.1051044</v>
      </c>
    </row>
    <row r="3" spans="1:164" x14ac:dyDescent="0.25">
      <c r="A3" s="47">
        <v>350</v>
      </c>
      <c r="B3" s="48" t="s">
        <v>11</v>
      </c>
      <c r="C3" s="53">
        <v>60</v>
      </c>
      <c r="D3" s="54">
        <f>+Resumen!H7*0.7%</f>
        <v>2855363.4999999995</v>
      </c>
      <c r="E3" s="168">
        <f>IFERROR(D3/C3,0)</f>
        <v>47589.391666666656</v>
      </c>
      <c r="G3" s="60">
        <f>A3</f>
        <v>350</v>
      </c>
      <c r="H3" s="61" t="str">
        <f t="shared" ref="H3:H22" si="5">B3</f>
        <v>1BR - 1BA</v>
      </c>
      <c r="I3" s="62">
        <f t="shared" ref="I3:I22" si="6">C3</f>
        <v>60</v>
      </c>
      <c r="J3" s="54">
        <f>+D3*(1+10%)</f>
        <v>3140899.8499999996</v>
      </c>
      <c r="K3" s="168">
        <f>IFERROR(J3/I3,0)</f>
        <v>52348.330833333326</v>
      </c>
      <c r="M3" s="24">
        <f>J3-D3</f>
        <v>285536.35000000009</v>
      </c>
      <c r="O3" s="5" t="s">
        <v>69</v>
      </c>
      <c r="P3" s="67">
        <f>14815920/A23</f>
        <v>42331.199999999997</v>
      </c>
      <c r="R3" s="5" t="s">
        <v>63</v>
      </c>
      <c r="S3" s="73">
        <v>0.01</v>
      </c>
      <c r="T3" s="73">
        <v>7.4999999999999997E-3</v>
      </c>
      <c r="U3" s="73">
        <v>5.0000000000000001E-3</v>
      </c>
      <c r="V3" s="73">
        <v>5.0000000000000001E-3</v>
      </c>
      <c r="W3" s="73">
        <v>5.0000000000000001E-3</v>
      </c>
      <c r="X3" s="73">
        <v>5.0000000000000001E-3</v>
      </c>
      <c r="Y3" s="73">
        <v>5.0000000000000001E-3</v>
      </c>
      <c r="Z3" s="73">
        <v>5.0000000000000001E-3</v>
      </c>
      <c r="AA3" s="73">
        <v>5.0000000000000001E-3</v>
      </c>
      <c r="AB3" s="73">
        <v>5.0000000000000001E-3</v>
      </c>
      <c r="AC3" s="74">
        <v>5.0000000000000001E-3</v>
      </c>
      <c r="AE3" s="5" t="s">
        <v>60</v>
      </c>
      <c r="AF3" s="78">
        <f>G23*J23</f>
        <v>1099314947.4999998</v>
      </c>
      <c r="AG3" s="78">
        <f>AF3*(1+HLOOKUP(ROUNDUP(AF$1/12,0),$S$8:$AC$9,2,0))^(1/12)</f>
        <v>1103793692.6733296</v>
      </c>
      <c r="AH3" s="78">
        <f t="shared" si="3"/>
        <v>1108290684.8088911</v>
      </c>
      <c r="AI3" s="78">
        <f t="shared" si="3"/>
        <v>1112805998.247067</v>
      </c>
      <c r="AJ3" s="78">
        <f t="shared" si="3"/>
        <v>1117339707.6311119</v>
      </c>
      <c r="AK3" s="78">
        <f t="shared" si="3"/>
        <v>1121891887.9083865</v>
      </c>
      <c r="AL3" s="78">
        <f t="shared" si="3"/>
        <v>1126462614.3315961</v>
      </c>
      <c r="AM3" s="78">
        <f t="shared" si="3"/>
        <v>1131051962.4600351</v>
      </c>
      <c r="AN3" s="78">
        <f t="shared" si="3"/>
        <v>1135660008.1608357</v>
      </c>
      <c r="AO3" s="78">
        <f t="shared" si="3"/>
        <v>1140286827.6102221</v>
      </c>
      <c r="AP3" s="82">
        <f t="shared" si="3"/>
        <v>1144932497.2947698</v>
      </c>
      <c r="AQ3" s="80">
        <f t="shared" si="3"/>
        <v>1149597094.0126703</v>
      </c>
      <c r="AR3" s="80">
        <f t="shared" si="3"/>
        <v>1154280694.8750002</v>
      </c>
      <c r="AS3" s="80">
        <f t="shared" si="3"/>
        <v>1158059509.5056367</v>
      </c>
      <c r="AT3" s="80">
        <f t="shared" si="3"/>
        <v>1161850694.992059</v>
      </c>
      <c r="AU3" s="80">
        <f t="shared" si="3"/>
        <v>1165654291.83323</v>
      </c>
      <c r="AV3" s="80">
        <f t="shared" si="3"/>
        <v>1169470340.6606953</v>
      </c>
      <c r="AW3" s="80">
        <f t="shared" si="3"/>
        <v>1173298882.239018</v>
      </c>
      <c r="AX3" s="80">
        <f t="shared" si="3"/>
        <v>1177139957.4662135</v>
      </c>
      <c r="AY3" s="80">
        <f t="shared" si="3"/>
        <v>1180993607.3741865</v>
      </c>
      <c r="AZ3" s="80">
        <f t="shared" si="3"/>
        <v>1184859873.1291699</v>
      </c>
      <c r="BA3" s="80">
        <f t="shared" si="3"/>
        <v>1188738796.0321641</v>
      </c>
      <c r="BB3" s="80">
        <f t="shared" si="3"/>
        <v>1192630417.5193779</v>
      </c>
      <c r="BC3" s="80">
        <f t="shared" si="3"/>
        <v>1196534779.1626716</v>
      </c>
      <c r="BD3" s="80">
        <f t="shared" si="3"/>
        <v>1200451922.670001</v>
      </c>
      <c r="BE3" s="80">
        <f t="shared" si="3"/>
        <v>1203898298.5571074</v>
      </c>
      <c r="BF3" s="80">
        <f t="shared" si="3"/>
        <v>1207354568.6403337</v>
      </c>
      <c r="BG3" s="80">
        <f t="shared" si="3"/>
        <v>1210820761.3249145</v>
      </c>
      <c r="BH3" s="80">
        <f t="shared" si="3"/>
        <v>1214296905.0976336</v>
      </c>
      <c r="BI3" s="80">
        <f t="shared" si="3"/>
        <v>1217783028.5270572</v>
      </c>
      <c r="BJ3" s="80">
        <f t="shared" si="3"/>
        <v>1221279160.2637687</v>
      </c>
      <c r="BK3" s="80">
        <f t="shared" si="3"/>
        <v>1224785329.0406048</v>
      </c>
      <c r="BL3" s="80">
        <f t="shared" si="3"/>
        <v>1228301563.6728914</v>
      </c>
      <c r="BM3" s="80">
        <f t="shared" si="3"/>
        <v>1231827893.0586798</v>
      </c>
      <c r="BN3" s="80">
        <f t="shared" si="3"/>
        <v>1235364346.1789849</v>
      </c>
      <c r="BO3" s="80">
        <f t="shared" si="3"/>
        <v>1238910952.0980232</v>
      </c>
      <c r="BP3" s="80">
        <f t="shared" si="3"/>
        <v>1242467739.9634514</v>
      </c>
      <c r="BQ3" s="80">
        <f t="shared" si="3"/>
        <v>1246034739.0066066</v>
      </c>
      <c r="BR3" s="80">
        <f t="shared" si="3"/>
        <v>1249611978.5427456</v>
      </c>
      <c r="BS3" s="80">
        <f t="shared" si="3"/>
        <v>1253199487.9712868</v>
      </c>
      <c r="BT3" s="80">
        <f t="shared" si="3"/>
        <v>1256797296.776051</v>
      </c>
      <c r="BU3" s="80">
        <f t="shared" si="3"/>
        <v>1260405434.5255044</v>
      </c>
      <c r="BV3" s="80">
        <f t="shared" si="3"/>
        <v>1264023930.8730009</v>
      </c>
      <c r="BW3" s="80">
        <f t="shared" si="3"/>
        <v>1267652815.5570264</v>
      </c>
      <c r="BX3" s="80">
        <f t="shared" si="3"/>
        <v>1271292118.401443</v>
      </c>
      <c r="BY3" s="80">
        <f t="shared" si="3"/>
        <v>1274941869.3157339</v>
      </c>
      <c r="BZ3" s="80">
        <f t="shared" si="3"/>
        <v>1278602098.2952497</v>
      </c>
      <c r="CA3" s="80">
        <f t="shared" si="3"/>
        <v>1282272835.4214542</v>
      </c>
      <c r="CB3" s="80">
        <f t="shared" si="3"/>
        <v>1285954110.8621724</v>
      </c>
      <c r="CC3" s="80">
        <f t="shared" si="3"/>
        <v>1289645954.8718379</v>
      </c>
      <c r="CD3" s="80">
        <f t="shared" si="3"/>
        <v>1293348397.7917418</v>
      </c>
      <c r="CE3" s="80">
        <f t="shared" si="3"/>
        <v>1297061470.050282</v>
      </c>
      <c r="CF3" s="80">
        <f t="shared" si="3"/>
        <v>1300785202.163213</v>
      </c>
      <c r="CG3" s="80">
        <f t="shared" si="3"/>
        <v>1304519624.7338972</v>
      </c>
      <c r="CH3" s="80">
        <f t="shared" si="3"/>
        <v>1308264768.4535561</v>
      </c>
      <c r="CI3" s="80">
        <f t="shared" si="3"/>
        <v>1312020664.1015224</v>
      </c>
      <c r="CJ3" s="80">
        <f t="shared" si="3"/>
        <v>1315787342.5454936</v>
      </c>
      <c r="CK3" s="80">
        <f t="shared" si="3"/>
        <v>1319564834.7417848</v>
      </c>
      <c r="CL3" s="80">
        <f t="shared" si="3"/>
        <v>1323353171.7355835</v>
      </c>
      <c r="CM3" s="80">
        <f t="shared" si="3"/>
        <v>1327152384.6612053</v>
      </c>
      <c r="CN3" s="80">
        <f t="shared" si="3"/>
        <v>1330962504.7423487</v>
      </c>
      <c r="CO3" s="80">
        <f t="shared" si="3"/>
        <v>1334783563.2923524</v>
      </c>
      <c r="CP3" s="80">
        <f t="shared" si="3"/>
        <v>1338615591.714453</v>
      </c>
      <c r="CQ3" s="80">
        <f t="shared" si="3"/>
        <v>1342458621.5020421</v>
      </c>
      <c r="CR3" s="80">
        <f t="shared" si="3"/>
        <v>1346312684.2389257</v>
      </c>
      <c r="CS3" s="80">
        <f t="shared" si="3"/>
        <v>1350177811.5995839</v>
      </c>
      <c r="CT3" s="80">
        <f t="shared" si="4"/>
        <v>1354054035.3494308</v>
      </c>
      <c r="CU3" s="80">
        <f t="shared" si="4"/>
        <v>1357941387.3450761</v>
      </c>
      <c r="CV3" s="80">
        <f t="shared" si="4"/>
        <v>1361839899.5345862</v>
      </c>
      <c r="CW3" s="80">
        <f t="shared" si="4"/>
        <v>1365749603.9577475</v>
      </c>
      <c r="CX3" s="80">
        <f t="shared" si="4"/>
        <v>1369670532.7463291</v>
      </c>
      <c r="CY3" s="80">
        <f t="shared" si="4"/>
        <v>1373602718.1243474</v>
      </c>
      <c r="CZ3" s="80">
        <f t="shared" si="4"/>
        <v>1377546192.4083309</v>
      </c>
      <c r="DA3" s="80">
        <f t="shared" si="4"/>
        <v>1381500988.0075848</v>
      </c>
      <c r="DB3" s="80">
        <f t="shared" si="4"/>
        <v>1385467137.424459</v>
      </c>
      <c r="DC3" s="80">
        <f t="shared" si="4"/>
        <v>1389444673.2546136</v>
      </c>
      <c r="DD3" s="80">
        <f t="shared" si="4"/>
        <v>1393433628.1872883</v>
      </c>
      <c r="DE3" s="80">
        <f t="shared" si="4"/>
        <v>1397434035.0055695</v>
      </c>
      <c r="DF3" s="80">
        <f t="shared" si="4"/>
        <v>1401445926.5866611</v>
      </c>
      <c r="DG3" s="80">
        <f t="shared" si="4"/>
        <v>1405469335.902154</v>
      </c>
      <c r="DH3" s="80">
        <f t="shared" si="4"/>
        <v>1409504296.018297</v>
      </c>
      <c r="DI3" s="80">
        <f t="shared" si="4"/>
        <v>1413550840.0962689</v>
      </c>
      <c r="DJ3" s="80">
        <f t="shared" si="4"/>
        <v>1417609001.392451</v>
      </c>
      <c r="DK3" s="80">
        <f t="shared" si="4"/>
        <v>1421678813.2587001</v>
      </c>
      <c r="DL3" s="80">
        <f t="shared" si="4"/>
        <v>1425760309.1426229</v>
      </c>
      <c r="DM3" s="80">
        <f t="shared" si="4"/>
        <v>1429853522.5878508</v>
      </c>
      <c r="DN3" s="80">
        <f t="shared" si="4"/>
        <v>1433958487.2343154</v>
      </c>
      <c r="DO3" s="80">
        <f t="shared" si="4"/>
        <v>1438075236.8185256</v>
      </c>
      <c r="DP3" s="80">
        <f t="shared" si="4"/>
        <v>1442203805.1738436</v>
      </c>
      <c r="DQ3" s="80">
        <f t="shared" si="4"/>
        <v>1446344226.2307646</v>
      </c>
      <c r="DR3" s="80">
        <f t="shared" si="4"/>
        <v>1450496534.0171945</v>
      </c>
      <c r="DS3" s="80">
        <f t="shared" si="4"/>
        <v>1454660762.6587296</v>
      </c>
      <c r="DT3" s="80">
        <f t="shared" si="4"/>
        <v>1458836946.3789375</v>
      </c>
      <c r="DU3" s="80">
        <f t="shared" si="4"/>
        <v>1463025119.4996386</v>
      </c>
      <c r="DV3" s="80">
        <f t="shared" si="4"/>
        <v>1467225316.4411869</v>
      </c>
      <c r="DW3" s="80">
        <f t="shared" si="4"/>
        <v>1471437571.7227547</v>
      </c>
      <c r="DX3" s="80">
        <f t="shared" si="4"/>
        <v>1475661919.9626148</v>
      </c>
      <c r="DY3" s="80">
        <f t="shared" si="4"/>
        <v>1479898395.8784256</v>
      </c>
      <c r="DZ3" s="80">
        <f t="shared" si="4"/>
        <v>1484147034.2875166</v>
      </c>
      <c r="EA3" s="80">
        <f t="shared" si="4"/>
        <v>1488407870.1071739</v>
      </c>
      <c r="EB3" s="80">
        <f t="shared" si="4"/>
        <v>1492680938.3549283</v>
      </c>
      <c r="EC3" s="80">
        <f t="shared" si="4"/>
        <v>1496966274.1488416</v>
      </c>
      <c r="ED3" s="80">
        <f t="shared" si="4"/>
        <v>1501263912.7077966</v>
      </c>
      <c r="EE3" s="80">
        <f t="shared" si="4"/>
        <v>1505573889.3517854</v>
      </c>
      <c r="EF3" s="80">
        <f t="shared" si="4"/>
        <v>1509896239.5022006</v>
      </c>
      <c r="EG3" s="80">
        <f t="shared" si="4"/>
        <v>1514230998.682126</v>
      </c>
      <c r="EH3" s="80">
        <f t="shared" si="4"/>
        <v>1518578202.5166287</v>
      </c>
      <c r="EI3" s="80">
        <f t="shared" si="4"/>
        <v>1522937886.7330515</v>
      </c>
      <c r="EJ3" s="80">
        <f t="shared" si="4"/>
        <v>1527310087.1613069</v>
      </c>
      <c r="EK3" s="80">
        <f t="shared" si="4"/>
        <v>1531694839.7341712</v>
      </c>
      <c r="EL3" s="80">
        <f t="shared" si="4"/>
        <v>1536092180.4875803</v>
      </c>
      <c r="EM3" s="80">
        <f t="shared" si="4"/>
        <v>1540502145.5609257</v>
      </c>
      <c r="EN3" s="80">
        <f t="shared" si="4"/>
        <v>1544924771.1973515</v>
      </c>
      <c r="EO3" s="80">
        <f t="shared" si="4"/>
        <v>1549360093.7440517</v>
      </c>
      <c r="EP3" s="80">
        <f t="shared" si="4"/>
        <v>1553808149.65257</v>
      </c>
      <c r="EQ3" s="80">
        <f t="shared" si="4"/>
        <v>1558268975.4790983</v>
      </c>
      <c r="ER3" s="80">
        <f t="shared" si="4"/>
        <v>1562742607.884778</v>
      </c>
      <c r="ES3" s="80">
        <f t="shared" si="4"/>
        <v>1567229083.6360009</v>
      </c>
      <c r="ET3" s="80">
        <f t="shared" si="4"/>
        <v>1571728439.6047111</v>
      </c>
      <c r="EU3" s="80">
        <f t="shared" si="4"/>
        <v>1576240712.7687085</v>
      </c>
      <c r="EV3" s="80">
        <f t="shared" si="4"/>
        <v>1580765940.2119527</v>
      </c>
      <c r="EW3" s="80">
        <f t="shared" si="4"/>
        <v>1585304159.1248672</v>
      </c>
      <c r="EX3" s="80">
        <f t="shared" si="4"/>
        <v>1589855406.8046455</v>
      </c>
      <c r="EY3" s="80">
        <f t="shared" si="4"/>
        <v>1594419720.6555581</v>
      </c>
      <c r="EZ3" s="80">
        <f t="shared" si="4"/>
        <v>1598997138.1892586</v>
      </c>
      <c r="FA3" s="80">
        <f t="shared" si="4"/>
        <v>1603587697.0250933</v>
      </c>
      <c r="FB3" s="80">
        <f t="shared" si="4"/>
        <v>1608191434.8904097</v>
      </c>
      <c r="FC3" s="80">
        <f t="shared" si="4"/>
        <v>1612808389.6208665</v>
      </c>
      <c r="FD3" s="80">
        <f t="shared" si="4"/>
        <v>1617438599.1607451</v>
      </c>
      <c r="FE3" s="80">
        <f t="shared" si="4"/>
        <v>1622082101.5632608</v>
      </c>
      <c r="FF3" s="80">
        <f>FE3*(1+HLOOKUP(ROUNDUP(FE$1/12,0),$S$8:$AC$9,2,0))^(1/12)</f>
        <v>1626738934.990876</v>
      </c>
      <c r="FG3" s="81">
        <f>FF3*(1+HLOOKUP(ROUNDUP(FF$1/12,0),$S$8:$AC$9,2,0))^(1/12)</f>
        <v>1631409137.7156134</v>
      </c>
    </row>
    <row r="4" spans="1:164" x14ac:dyDescent="0.25">
      <c r="A4" s="49">
        <v>0</v>
      </c>
      <c r="B4" s="50" t="s">
        <v>12</v>
      </c>
      <c r="C4" s="55">
        <v>0</v>
      </c>
      <c r="D4" s="56">
        <v>0</v>
      </c>
      <c r="E4" s="125">
        <f>IFERROR(D4/C4,0)</f>
        <v>0</v>
      </c>
      <c r="G4" s="63">
        <f t="shared" ref="G4:G22" si="7">A4</f>
        <v>0</v>
      </c>
      <c r="H4" s="64" t="str">
        <f t="shared" si="5"/>
        <v>2BR - 2BA</v>
      </c>
      <c r="I4" s="65">
        <f t="shared" si="6"/>
        <v>0</v>
      </c>
      <c r="J4" s="56">
        <f>+D4</f>
        <v>0</v>
      </c>
      <c r="K4" s="125">
        <f>IFERROR(J4/I4,0)</f>
        <v>0</v>
      </c>
      <c r="M4" s="27">
        <f t="shared" ref="M4:M22" si="8">J4-D4</f>
        <v>0</v>
      </c>
      <c r="O4" s="5"/>
      <c r="P4" s="67"/>
      <c r="R4" s="5" t="s">
        <v>178</v>
      </c>
      <c r="S4" s="73">
        <v>0.01</v>
      </c>
      <c r="T4" s="73">
        <v>5.0000000000000001E-3</v>
      </c>
      <c r="U4" s="73">
        <v>0</v>
      </c>
      <c r="V4" s="73">
        <v>0</v>
      </c>
      <c r="W4" s="73">
        <v>0</v>
      </c>
      <c r="X4" s="73">
        <v>0</v>
      </c>
      <c r="Y4" s="73">
        <v>0</v>
      </c>
      <c r="Z4" s="73">
        <v>0</v>
      </c>
      <c r="AA4" s="73">
        <v>0</v>
      </c>
      <c r="AB4" s="73">
        <v>0</v>
      </c>
      <c r="AC4" s="74">
        <v>0</v>
      </c>
      <c r="AE4" s="5" t="s">
        <v>19</v>
      </c>
      <c r="AF4" s="83">
        <f>IF(AF1&gt;=$P$16,1,IF(AND(AF1&gt;=$P$15,AF1&lt;$P$16),(AF1-$P$15+1)/$P$17,0))</f>
        <v>0</v>
      </c>
      <c r="AG4" s="83">
        <f t="shared" ref="AG4:CR4" si="9">IF(AG1&gt;=$P$16,1,IF(AND(AG1&gt;=$P$15,AG1&lt;$P$16),(AG1-$P$15+1)/$P$17,0))</f>
        <v>0</v>
      </c>
      <c r="AH4" s="83">
        <f t="shared" si="9"/>
        <v>0</v>
      </c>
      <c r="AI4" s="83">
        <f t="shared" si="9"/>
        <v>0</v>
      </c>
      <c r="AJ4" s="83">
        <f t="shared" si="9"/>
        <v>0</v>
      </c>
      <c r="AK4" s="83">
        <f t="shared" si="9"/>
        <v>0</v>
      </c>
      <c r="AL4" s="83">
        <f t="shared" si="9"/>
        <v>0</v>
      </c>
      <c r="AM4" s="83">
        <f t="shared" si="9"/>
        <v>0</v>
      </c>
      <c r="AN4" s="83">
        <f t="shared" si="9"/>
        <v>0</v>
      </c>
      <c r="AO4" s="83">
        <f t="shared" si="9"/>
        <v>0</v>
      </c>
      <c r="AP4" s="84">
        <f t="shared" si="9"/>
        <v>0</v>
      </c>
      <c r="AQ4" s="83">
        <f t="shared" si="9"/>
        <v>0.125</v>
      </c>
      <c r="AR4" s="83">
        <f>IF(AR1&gt;=$P$16,1,IF(AND(AR1&gt;=$P$15,AR1&lt;$P$16),(AR1-$P$15+1)/$P$17,0))</f>
        <v>0.25</v>
      </c>
      <c r="AS4" s="83">
        <f t="shared" si="9"/>
        <v>0.375</v>
      </c>
      <c r="AT4" s="83">
        <f t="shared" si="9"/>
        <v>0.5</v>
      </c>
      <c r="AU4" s="83">
        <f t="shared" si="9"/>
        <v>0.625</v>
      </c>
      <c r="AV4" s="83">
        <f t="shared" si="9"/>
        <v>0.75</v>
      </c>
      <c r="AW4" s="83">
        <f t="shared" si="9"/>
        <v>0.875</v>
      </c>
      <c r="AX4" s="83">
        <f t="shared" si="9"/>
        <v>1</v>
      </c>
      <c r="AY4" s="83">
        <f t="shared" si="9"/>
        <v>1</v>
      </c>
      <c r="AZ4" s="83">
        <f t="shared" si="9"/>
        <v>1</v>
      </c>
      <c r="BA4" s="83">
        <f t="shared" si="9"/>
        <v>1</v>
      </c>
      <c r="BB4" s="83">
        <f t="shared" si="9"/>
        <v>1</v>
      </c>
      <c r="BC4" s="83">
        <f t="shared" si="9"/>
        <v>1</v>
      </c>
      <c r="BD4" s="83">
        <f t="shared" si="9"/>
        <v>1</v>
      </c>
      <c r="BE4" s="83">
        <f t="shared" si="9"/>
        <v>1</v>
      </c>
      <c r="BF4" s="83">
        <f t="shared" si="9"/>
        <v>1</v>
      </c>
      <c r="BG4" s="83">
        <f t="shared" si="9"/>
        <v>1</v>
      </c>
      <c r="BH4" s="83">
        <f t="shared" si="9"/>
        <v>1</v>
      </c>
      <c r="BI4" s="83">
        <f t="shared" si="9"/>
        <v>1</v>
      </c>
      <c r="BJ4" s="83">
        <f t="shared" si="9"/>
        <v>1</v>
      </c>
      <c r="BK4" s="83">
        <f t="shared" si="9"/>
        <v>1</v>
      </c>
      <c r="BL4" s="83">
        <f t="shared" si="9"/>
        <v>1</v>
      </c>
      <c r="BM4" s="83">
        <f t="shared" si="9"/>
        <v>1</v>
      </c>
      <c r="BN4" s="83">
        <f t="shared" si="9"/>
        <v>1</v>
      </c>
      <c r="BO4" s="83">
        <f t="shared" si="9"/>
        <v>1</v>
      </c>
      <c r="BP4" s="83">
        <f t="shared" si="9"/>
        <v>1</v>
      </c>
      <c r="BQ4" s="83">
        <f t="shared" si="9"/>
        <v>1</v>
      </c>
      <c r="BR4" s="83">
        <f t="shared" si="9"/>
        <v>1</v>
      </c>
      <c r="BS4" s="83">
        <f t="shared" si="9"/>
        <v>1</v>
      </c>
      <c r="BT4" s="83">
        <f t="shared" si="9"/>
        <v>1</v>
      </c>
      <c r="BU4" s="83">
        <f t="shared" si="9"/>
        <v>1</v>
      </c>
      <c r="BV4" s="83">
        <f t="shared" si="9"/>
        <v>1</v>
      </c>
      <c r="BW4" s="83">
        <f t="shared" si="9"/>
        <v>1</v>
      </c>
      <c r="BX4" s="83">
        <f t="shared" si="9"/>
        <v>1</v>
      </c>
      <c r="BY4" s="83">
        <f t="shared" si="9"/>
        <v>1</v>
      </c>
      <c r="BZ4" s="83">
        <f t="shared" si="9"/>
        <v>1</v>
      </c>
      <c r="CA4" s="83">
        <f t="shared" si="9"/>
        <v>1</v>
      </c>
      <c r="CB4" s="83">
        <f t="shared" si="9"/>
        <v>1</v>
      </c>
      <c r="CC4" s="83">
        <f t="shared" si="9"/>
        <v>1</v>
      </c>
      <c r="CD4" s="83">
        <f t="shared" si="9"/>
        <v>1</v>
      </c>
      <c r="CE4" s="83">
        <f t="shared" si="9"/>
        <v>1</v>
      </c>
      <c r="CF4" s="83">
        <f t="shared" si="9"/>
        <v>1</v>
      </c>
      <c r="CG4" s="83">
        <f t="shared" si="9"/>
        <v>1</v>
      </c>
      <c r="CH4" s="83">
        <f t="shared" si="9"/>
        <v>1</v>
      </c>
      <c r="CI4" s="83">
        <f t="shared" si="9"/>
        <v>1</v>
      </c>
      <c r="CJ4" s="83">
        <f t="shared" si="9"/>
        <v>1</v>
      </c>
      <c r="CK4" s="83">
        <f t="shared" si="9"/>
        <v>1</v>
      </c>
      <c r="CL4" s="83">
        <f t="shared" si="9"/>
        <v>1</v>
      </c>
      <c r="CM4" s="83">
        <f t="shared" si="9"/>
        <v>1</v>
      </c>
      <c r="CN4" s="83">
        <f t="shared" si="9"/>
        <v>1</v>
      </c>
      <c r="CO4" s="83">
        <f t="shared" si="9"/>
        <v>1</v>
      </c>
      <c r="CP4" s="83">
        <f t="shared" si="9"/>
        <v>1</v>
      </c>
      <c r="CQ4" s="83">
        <f t="shared" si="9"/>
        <v>1</v>
      </c>
      <c r="CR4" s="83">
        <f t="shared" si="9"/>
        <v>1</v>
      </c>
      <c r="CS4" s="83">
        <f t="shared" ref="CS4:FD4" si="10">IF(CS1&gt;=$P$16,1,IF(AND(CS1&gt;=$P$15,CS1&lt;$P$16),(CS1-$P$15+1)/$P$17,0))</f>
        <v>1</v>
      </c>
      <c r="CT4" s="83">
        <f t="shared" si="10"/>
        <v>1</v>
      </c>
      <c r="CU4" s="83">
        <f t="shared" si="10"/>
        <v>1</v>
      </c>
      <c r="CV4" s="83">
        <f t="shared" si="10"/>
        <v>1</v>
      </c>
      <c r="CW4" s="83">
        <f t="shared" si="10"/>
        <v>1</v>
      </c>
      <c r="CX4" s="83">
        <f t="shared" si="10"/>
        <v>1</v>
      </c>
      <c r="CY4" s="83">
        <f t="shared" si="10"/>
        <v>1</v>
      </c>
      <c r="CZ4" s="83">
        <f t="shared" si="10"/>
        <v>1</v>
      </c>
      <c r="DA4" s="83">
        <f t="shared" si="10"/>
        <v>1</v>
      </c>
      <c r="DB4" s="83">
        <f t="shared" si="10"/>
        <v>1</v>
      </c>
      <c r="DC4" s="83">
        <f t="shared" si="10"/>
        <v>1</v>
      </c>
      <c r="DD4" s="83">
        <f t="shared" si="10"/>
        <v>1</v>
      </c>
      <c r="DE4" s="83">
        <f t="shared" si="10"/>
        <v>1</v>
      </c>
      <c r="DF4" s="83">
        <f t="shared" si="10"/>
        <v>1</v>
      </c>
      <c r="DG4" s="83">
        <f t="shared" si="10"/>
        <v>1</v>
      </c>
      <c r="DH4" s="83">
        <f t="shared" si="10"/>
        <v>1</v>
      </c>
      <c r="DI4" s="83">
        <f t="shared" si="10"/>
        <v>1</v>
      </c>
      <c r="DJ4" s="83">
        <f t="shared" si="10"/>
        <v>1</v>
      </c>
      <c r="DK4" s="83">
        <f t="shared" si="10"/>
        <v>1</v>
      </c>
      <c r="DL4" s="83">
        <f t="shared" si="10"/>
        <v>1</v>
      </c>
      <c r="DM4" s="83">
        <f t="shared" si="10"/>
        <v>1</v>
      </c>
      <c r="DN4" s="83">
        <f t="shared" si="10"/>
        <v>1</v>
      </c>
      <c r="DO4" s="83">
        <f t="shared" si="10"/>
        <v>1</v>
      </c>
      <c r="DP4" s="83">
        <f t="shared" si="10"/>
        <v>1</v>
      </c>
      <c r="DQ4" s="83">
        <f t="shared" si="10"/>
        <v>1</v>
      </c>
      <c r="DR4" s="83">
        <f t="shared" si="10"/>
        <v>1</v>
      </c>
      <c r="DS4" s="83">
        <f t="shared" si="10"/>
        <v>1</v>
      </c>
      <c r="DT4" s="83">
        <f t="shared" si="10"/>
        <v>1</v>
      </c>
      <c r="DU4" s="83">
        <f t="shared" si="10"/>
        <v>1</v>
      </c>
      <c r="DV4" s="83">
        <f t="shared" si="10"/>
        <v>1</v>
      </c>
      <c r="DW4" s="83">
        <f t="shared" si="10"/>
        <v>1</v>
      </c>
      <c r="DX4" s="83">
        <f t="shared" si="10"/>
        <v>1</v>
      </c>
      <c r="DY4" s="83">
        <f t="shared" si="10"/>
        <v>1</v>
      </c>
      <c r="DZ4" s="83">
        <f t="shared" si="10"/>
        <v>1</v>
      </c>
      <c r="EA4" s="83">
        <f t="shared" si="10"/>
        <v>1</v>
      </c>
      <c r="EB4" s="83">
        <f t="shared" si="10"/>
        <v>1</v>
      </c>
      <c r="EC4" s="83">
        <f t="shared" si="10"/>
        <v>1</v>
      </c>
      <c r="ED4" s="83">
        <f t="shared" si="10"/>
        <v>1</v>
      </c>
      <c r="EE4" s="83">
        <f t="shared" si="10"/>
        <v>1</v>
      </c>
      <c r="EF4" s="83">
        <f t="shared" si="10"/>
        <v>1</v>
      </c>
      <c r="EG4" s="83">
        <f t="shared" si="10"/>
        <v>1</v>
      </c>
      <c r="EH4" s="83">
        <f t="shared" si="10"/>
        <v>1</v>
      </c>
      <c r="EI4" s="83">
        <f t="shared" si="10"/>
        <v>1</v>
      </c>
      <c r="EJ4" s="83">
        <f t="shared" si="10"/>
        <v>1</v>
      </c>
      <c r="EK4" s="83">
        <f t="shared" si="10"/>
        <v>1</v>
      </c>
      <c r="EL4" s="83">
        <f t="shared" si="10"/>
        <v>1</v>
      </c>
      <c r="EM4" s="83">
        <f t="shared" si="10"/>
        <v>1</v>
      </c>
      <c r="EN4" s="83">
        <f t="shared" si="10"/>
        <v>1</v>
      </c>
      <c r="EO4" s="83">
        <f t="shared" si="10"/>
        <v>1</v>
      </c>
      <c r="EP4" s="83">
        <f t="shared" si="10"/>
        <v>1</v>
      </c>
      <c r="EQ4" s="83">
        <f t="shared" si="10"/>
        <v>1</v>
      </c>
      <c r="ER4" s="83">
        <f t="shared" si="10"/>
        <v>1</v>
      </c>
      <c r="ES4" s="83">
        <f t="shared" si="10"/>
        <v>1</v>
      </c>
      <c r="ET4" s="83">
        <f t="shared" si="10"/>
        <v>1</v>
      </c>
      <c r="EU4" s="83">
        <f t="shared" si="10"/>
        <v>1</v>
      </c>
      <c r="EV4" s="83">
        <f t="shared" si="10"/>
        <v>1</v>
      </c>
      <c r="EW4" s="83">
        <f t="shared" si="10"/>
        <v>1</v>
      </c>
      <c r="EX4" s="83">
        <f t="shared" si="10"/>
        <v>1</v>
      </c>
      <c r="EY4" s="83">
        <f t="shared" si="10"/>
        <v>1</v>
      </c>
      <c r="EZ4" s="83">
        <f t="shared" si="10"/>
        <v>1</v>
      </c>
      <c r="FA4" s="83">
        <f t="shared" si="10"/>
        <v>1</v>
      </c>
      <c r="FB4" s="83">
        <f t="shared" si="10"/>
        <v>1</v>
      </c>
      <c r="FC4" s="83">
        <f t="shared" si="10"/>
        <v>1</v>
      </c>
      <c r="FD4" s="83">
        <f t="shared" si="10"/>
        <v>1</v>
      </c>
      <c r="FE4" s="83">
        <f>IF(FE1&gt;=$P$16,1,IF(AND(FE1&gt;=$P$15,FE1&lt;$P$16),(FE1-$P$15+1)/$P$17,0))</f>
        <v>1</v>
      </c>
      <c r="FF4" s="83">
        <f>IF(FF1&gt;=$P$16,1,IF(AND(FF1&gt;=$P$15,FF1&lt;$P$16),(FF1-$P$15+1)/$P$17,0))</f>
        <v>1</v>
      </c>
      <c r="FG4" s="85">
        <f>IF(FG1&gt;=$P$16,1,IF(AND(FG1&gt;=$P$15,FG1&lt;$P$16),(FG1-$P$15+1)/$P$17,0))</f>
        <v>1</v>
      </c>
    </row>
    <row r="5" spans="1:164" x14ac:dyDescent="0.25">
      <c r="A5" s="49">
        <v>0</v>
      </c>
      <c r="B5" s="50" t="s">
        <v>12</v>
      </c>
      <c r="C5" s="55">
        <v>0</v>
      </c>
      <c r="D5" s="56">
        <v>0</v>
      </c>
      <c r="E5" s="125">
        <f>IFERROR(D5/C5,0)</f>
        <v>0</v>
      </c>
      <c r="G5" s="63">
        <f t="shared" si="7"/>
        <v>0</v>
      </c>
      <c r="H5" s="64" t="str">
        <f t="shared" si="5"/>
        <v>2BR - 2BA</v>
      </c>
      <c r="I5" s="65">
        <f t="shared" si="6"/>
        <v>0</v>
      </c>
      <c r="J5" s="56">
        <f>+D5</f>
        <v>0</v>
      </c>
      <c r="K5" s="125">
        <f>IFERROR(J5/I5,0)</f>
        <v>0</v>
      </c>
      <c r="M5" s="27">
        <f t="shared" si="8"/>
        <v>0</v>
      </c>
      <c r="O5" s="5"/>
      <c r="P5" s="67"/>
      <c r="R5" s="5" t="s">
        <v>64</v>
      </c>
      <c r="S5" s="73">
        <v>1E-3</v>
      </c>
      <c r="T5" s="73">
        <v>1E-3</v>
      </c>
      <c r="U5" s="73">
        <v>1E-3</v>
      </c>
      <c r="V5" s="73">
        <v>1E-3</v>
      </c>
      <c r="W5" s="73">
        <v>1E-3</v>
      </c>
      <c r="X5" s="73">
        <v>1E-3</v>
      </c>
      <c r="Y5" s="73">
        <v>1E-3</v>
      </c>
      <c r="Z5" s="73">
        <v>1E-3</v>
      </c>
      <c r="AA5" s="73">
        <v>1E-3</v>
      </c>
      <c r="AB5" s="73">
        <v>1E-3</v>
      </c>
      <c r="AC5" s="73">
        <v>1E-3</v>
      </c>
      <c r="AE5" s="14" t="s">
        <v>20</v>
      </c>
      <c r="AF5" s="86">
        <f>AF3*AF4+AF2*(1-AF4)</f>
        <v>999377224.99999988</v>
      </c>
      <c r="AG5" s="86">
        <f t="shared" ref="AG5:CR5" si="11">AG3*AG4+AG2*(1-AG4)</f>
        <v>1003448811.5212089</v>
      </c>
      <c r="AH5" s="86">
        <f t="shared" si="11"/>
        <v>1007536986.1899011</v>
      </c>
      <c r="AI5" s="86">
        <f t="shared" si="11"/>
        <v>1011641816.5882428</v>
      </c>
      <c r="AJ5" s="86">
        <f t="shared" si="11"/>
        <v>1015763370.5737381</v>
      </c>
      <c r="AK5" s="86">
        <f t="shared" si="11"/>
        <v>1019901716.2803514</v>
      </c>
      <c r="AL5" s="86">
        <f t="shared" si="11"/>
        <v>1024056922.119633</v>
      </c>
      <c r="AM5" s="86">
        <f t="shared" si="11"/>
        <v>1028229056.7818503</v>
      </c>
      <c r="AN5" s="86">
        <f t="shared" si="11"/>
        <v>1032418189.2371236</v>
      </c>
      <c r="AO5" s="86">
        <f t="shared" si="11"/>
        <v>1036624388.7365657</v>
      </c>
      <c r="AP5" s="86">
        <f t="shared" si="11"/>
        <v>1040847724.8134273</v>
      </c>
      <c r="AQ5" s="87">
        <f t="shared" si="11"/>
        <v>1058151870.625299</v>
      </c>
      <c r="AR5" s="87">
        <f>AR3*AR4+AR2*(1-AR4)</f>
        <v>1075579738.4062505</v>
      </c>
      <c r="AS5" s="87">
        <f t="shared" si="11"/>
        <v>1092260673.7382712</v>
      </c>
      <c r="AT5" s="87">
        <f t="shared" si="11"/>
        <v>1109039299.7651474</v>
      </c>
      <c r="AU5" s="87">
        <f t="shared" si="11"/>
        <v>1125916077.3389153</v>
      </c>
      <c r="AV5" s="87">
        <f t="shared" si="11"/>
        <v>1142891469.2820432</v>
      </c>
      <c r="AW5" s="87">
        <f t="shared" si="11"/>
        <v>1159965940.3953929</v>
      </c>
      <c r="AX5" s="87">
        <f t="shared" si="11"/>
        <v>1177139957.4662135</v>
      </c>
      <c r="AY5" s="87">
        <f t="shared" si="11"/>
        <v>1180993607.3741865</v>
      </c>
      <c r="AZ5" s="87">
        <f t="shared" si="11"/>
        <v>1184859873.1291699</v>
      </c>
      <c r="BA5" s="87">
        <f t="shared" si="11"/>
        <v>1188738796.0321641</v>
      </c>
      <c r="BB5" s="87">
        <f t="shared" si="11"/>
        <v>1192630417.5193779</v>
      </c>
      <c r="BC5" s="87">
        <f t="shared" si="11"/>
        <v>1196534779.1626716</v>
      </c>
      <c r="BD5" s="87">
        <f t="shared" si="11"/>
        <v>1200451922.670001</v>
      </c>
      <c r="BE5" s="87">
        <f t="shared" si="11"/>
        <v>1203898298.5571074</v>
      </c>
      <c r="BF5" s="87">
        <f t="shared" si="11"/>
        <v>1207354568.6403337</v>
      </c>
      <c r="BG5" s="87">
        <f t="shared" si="11"/>
        <v>1210820761.3249145</v>
      </c>
      <c r="BH5" s="87">
        <f t="shared" si="11"/>
        <v>1214296905.0976336</v>
      </c>
      <c r="BI5" s="87">
        <f t="shared" si="11"/>
        <v>1217783028.5270572</v>
      </c>
      <c r="BJ5" s="87">
        <f t="shared" si="11"/>
        <v>1221279160.2637687</v>
      </c>
      <c r="BK5" s="87">
        <f t="shared" si="11"/>
        <v>1224785329.0406048</v>
      </c>
      <c r="BL5" s="87">
        <f t="shared" si="11"/>
        <v>1228301563.6728914</v>
      </c>
      <c r="BM5" s="87">
        <f t="shared" si="11"/>
        <v>1231827893.0586798</v>
      </c>
      <c r="BN5" s="87">
        <f t="shared" si="11"/>
        <v>1235364346.1789849</v>
      </c>
      <c r="BO5" s="87">
        <f t="shared" si="11"/>
        <v>1238910952.0980232</v>
      </c>
      <c r="BP5" s="87">
        <f t="shared" si="11"/>
        <v>1242467739.9634514</v>
      </c>
      <c r="BQ5" s="87">
        <f t="shared" si="11"/>
        <v>1246034739.0066066</v>
      </c>
      <c r="BR5" s="87">
        <f t="shared" si="11"/>
        <v>1249611978.5427456</v>
      </c>
      <c r="BS5" s="87">
        <f>BS3*BS4+BS2*(1-BS4)</f>
        <v>1253199487.9712868</v>
      </c>
      <c r="BT5" s="87">
        <f t="shared" si="11"/>
        <v>1256797296.776051</v>
      </c>
      <c r="BU5" s="87">
        <f t="shared" si="11"/>
        <v>1260405434.5255044</v>
      </c>
      <c r="BV5" s="87">
        <f t="shared" si="11"/>
        <v>1264023930.8730009</v>
      </c>
      <c r="BW5" s="87">
        <f t="shared" si="11"/>
        <v>1267652815.5570264</v>
      </c>
      <c r="BX5" s="87">
        <f t="shared" si="11"/>
        <v>1271292118.401443</v>
      </c>
      <c r="BY5" s="87">
        <f t="shared" si="11"/>
        <v>1274941869.3157339</v>
      </c>
      <c r="BZ5" s="87">
        <f t="shared" si="11"/>
        <v>1278602098.2952497</v>
      </c>
      <c r="CA5" s="87">
        <f t="shared" si="11"/>
        <v>1282272835.4214542</v>
      </c>
      <c r="CB5" s="87">
        <f t="shared" si="11"/>
        <v>1285954110.8621724</v>
      </c>
      <c r="CC5" s="87">
        <f t="shared" si="11"/>
        <v>1289645954.8718379</v>
      </c>
      <c r="CD5" s="87">
        <f t="shared" si="11"/>
        <v>1293348397.7917418</v>
      </c>
      <c r="CE5" s="87">
        <f t="shared" si="11"/>
        <v>1297061470.050282</v>
      </c>
      <c r="CF5" s="87">
        <f t="shared" si="11"/>
        <v>1300785202.163213</v>
      </c>
      <c r="CG5" s="87">
        <f t="shared" si="11"/>
        <v>1304519624.7338972</v>
      </c>
      <c r="CH5" s="87">
        <f t="shared" si="11"/>
        <v>1308264768.4535561</v>
      </c>
      <c r="CI5" s="87">
        <f t="shared" si="11"/>
        <v>1312020664.1015224</v>
      </c>
      <c r="CJ5" s="87">
        <f t="shared" si="11"/>
        <v>1315787342.5454936</v>
      </c>
      <c r="CK5" s="87">
        <f t="shared" si="11"/>
        <v>1319564834.7417848</v>
      </c>
      <c r="CL5" s="87">
        <f t="shared" si="11"/>
        <v>1323353171.7355835</v>
      </c>
      <c r="CM5" s="87">
        <f t="shared" si="11"/>
        <v>1327152384.6612053</v>
      </c>
      <c r="CN5" s="87">
        <f t="shared" si="11"/>
        <v>1330962504.7423487</v>
      </c>
      <c r="CO5" s="87">
        <f t="shared" si="11"/>
        <v>1334783563.2923524</v>
      </c>
      <c r="CP5" s="87">
        <f t="shared" si="11"/>
        <v>1338615591.714453</v>
      </c>
      <c r="CQ5" s="87">
        <f t="shared" si="11"/>
        <v>1342458621.5020421</v>
      </c>
      <c r="CR5" s="87">
        <f t="shared" si="11"/>
        <v>1346312684.2389257</v>
      </c>
      <c r="CS5" s="87">
        <f t="shared" ref="CS5:FD5" si="12">CS3*CS4+CS2*(1-CS4)</f>
        <v>1350177811.5995839</v>
      </c>
      <c r="CT5" s="87">
        <f t="shared" si="12"/>
        <v>1354054035.3494308</v>
      </c>
      <c r="CU5" s="87">
        <f t="shared" si="12"/>
        <v>1357941387.3450761</v>
      </c>
      <c r="CV5" s="87">
        <f t="shared" si="12"/>
        <v>1361839899.5345862</v>
      </c>
      <c r="CW5" s="87">
        <f t="shared" si="12"/>
        <v>1365749603.9577475</v>
      </c>
      <c r="CX5" s="87">
        <f t="shared" si="12"/>
        <v>1369670532.7463291</v>
      </c>
      <c r="CY5" s="87">
        <f t="shared" si="12"/>
        <v>1373602718.1243474</v>
      </c>
      <c r="CZ5" s="87">
        <f t="shared" si="12"/>
        <v>1377546192.4083309</v>
      </c>
      <c r="DA5" s="87">
        <f t="shared" si="12"/>
        <v>1381500988.0075848</v>
      </c>
      <c r="DB5" s="87">
        <f t="shared" si="12"/>
        <v>1385467137.424459</v>
      </c>
      <c r="DC5" s="87">
        <f t="shared" si="12"/>
        <v>1389444673.2546136</v>
      </c>
      <c r="DD5" s="87">
        <f t="shared" si="12"/>
        <v>1393433628.1872883</v>
      </c>
      <c r="DE5" s="87">
        <f t="shared" si="12"/>
        <v>1397434035.0055695</v>
      </c>
      <c r="DF5" s="87">
        <f t="shared" si="12"/>
        <v>1401445926.5866611</v>
      </c>
      <c r="DG5" s="87">
        <f t="shared" si="12"/>
        <v>1405469335.902154</v>
      </c>
      <c r="DH5" s="87">
        <f t="shared" si="12"/>
        <v>1409504296.018297</v>
      </c>
      <c r="DI5" s="87">
        <f t="shared" si="12"/>
        <v>1413550840.0962689</v>
      </c>
      <c r="DJ5" s="87">
        <f t="shared" si="12"/>
        <v>1417609001.392451</v>
      </c>
      <c r="DK5" s="87">
        <f t="shared" si="12"/>
        <v>1421678813.2587001</v>
      </c>
      <c r="DL5" s="87">
        <f t="shared" si="12"/>
        <v>1425760309.1426229</v>
      </c>
      <c r="DM5" s="87">
        <f t="shared" si="12"/>
        <v>1429853522.5878508</v>
      </c>
      <c r="DN5" s="87">
        <f t="shared" si="12"/>
        <v>1433958487.2343154</v>
      </c>
      <c r="DO5" s="87">
        <f t="shared" si="12"/>
        <v>1438075236.8185256</v>
      </c>
      <c r="DP5" s="87">
        <f t="shared" si="12"/>
        <v>1442203805.1738436</v>
      </c>
      <c r="DQ5" s="87">
        <f t="shared" si="12"/>
        <v>1446344226.2307646</v>
      </c>
      <c r="DR5" s="87">
        <f t="shared" si="12"/>
        <v>1450496534.0171945</v>
      </c>
      <c r="DS5" s="87">
        <f t="shared" si="12"/>
        <v>1454660762.6587296</v>
      </c>
      <c r="DT5" s="87">
        <f t="shared" si="12"/>
        <v>1458836946.3789375</v>
      </c>
      <c r="DU5" s="87">
        <f t="shared" si="12"/>
        <v>1463025119.4996386</v>
      </c>
      <c r="DV5" s="87">
        <f t="shared" si="12"/>
        <v>1467225316.4411869</v>
      </c>
      <c r="DW5" s="87">
        <f t="shared" si="12"/>
        <v>1471437571.7227547</v>
      </c>
      <c r="DX5" s="87">
        <f t="shared" si="12"/>
        <v>1475661919.9626148</v>
      </c>
      <c r="DY5" s="87">
        <f t="shared" si="12"/>
        <v>1479898395.8784256</v>
      </c>
      <c r="DZ5" s="87">
        <f t="shared" si="12"/>
        <v>1484147034.2875166</v>
      </c>
      <c r="EA5" s="87">
        <f t="shared" si="12"/>
        <v>1488407870.1071739</v>
      </c>
      <c r="EB5" s="87">
        <f t="shared" si="12"/>
        <v>1492680938.3549283</v>
      </c>
      <c r="EC5" s="87">
        <f t="shared" si="12"/>
        <v>1496966274.1488416</v>
      </c>
      <c r="ED5" s="87">
        <f t="shared" si="12"/>
        <v>1501263912.7077966</v>
      </c>
      <c r="EE5" s="87">
        <f t="shared" si="12"/>
        <v>1505573889.3517854</v>
      </c>
      <c r="EF5" s="87">
        <f t="shared" si="12"/>
        <v>1509896239.5022006</v>
      </c>
      <c r="EG5" s="87">
        <f t="shared" si="12"/>
        <v>1514230998.682126</v>
      </c>
      <c r="EH5" s="87">
        <f t="shared" si="12"/>
        <v>1518578202.5166287</v>
      </c>
      <c r="EI5" s="87">
        <f t="shared" si="12"/>
        <v>1522937886.7330515</v>
      </c>
      <c r="EJ5" s="87">
        <f t="shared" si="12"/>
        <v>1527310087.1613069</v>
      </c>
      <c r="EK5" s="87">
        <f t="shared" si="12"/>
        <v>1531694839.7341712</v>
      </c>
      <c r="EL5" s="87">
        <f t="shared" si="12"/>
        <v>1536092180.4875803</v>
      </c>
      <c r="EM5" s="87">
        <f t="shared" si="12"/>
        <v>1540502145.5609257</v>
      </c>
      <c r="EN5" s="87">
        <f t="shared" si="12"/>
        <v>1544924771.1973515</v>
      </c>
      <c r="EO5" s="87">
        <f t="shared" si="12"/>
        <v>1549360093.7440517</v>
      </c>
      <c r="EP5" s="87">
        <f t="shared" si="12"/>
        <v>1553808149.65257</v>
      </c>
      <c r="EQ5" s="87">
        <f t="shared" si="12"/>
        <v>1558268975.4790983</v>
      </c>
      <c r="ER5" s="87">
        <f t="shared" si="12"/>
        <v>1562742607.884778</v>
      </c>
      <c r="ES5" s="87">
        <f t="shared" si="12"/>
        <v>1567229083.6360009</v>
      </c>
      <c r="ET5" s="87">
        <f t="shared" si="12"/>
        <v>1571728439.6047111</v>
      </c>
      <c r="EU5" s="87">
        <f t="shared" si="12"/>
        <v>1576240712.7687085</v>
      </c>
      <c r="EV5" s="87">
        <f t="shared" si="12"/>
        <v>1580765940.2119527</v>
      </c>
      <c r="EW5" s="87">
        <f t="shared" si="12"/>
        <v>1585304159.1248672</v>
      </c>
      <c r="EX5" s="87">
        <f t="shared" si="12"/>
        <v>1589855406.8046455</v>
      </c>
      <c r="EY5" s="87">
        <f t="shared" si="12"/>
        <v>1594419720.6555581</v>
      </c>
      <c r="EZ5" s="87">
        <f t="shared" si="12"/>
        <v>1598997138.1892586</v>
      </c>
      <c r="FA5" s="87">
        <f t="shared" si="12"/>
        <v>1603587697.0250933</v>
      </c>
      <c r="FB5" s="87">
        <f t="shared" si="12"/>
        <v>1608191434.8904097</v>
      </c>
      <c r="FC5" s="87">
        <f t="shared" si="12"/>
        <v>1612808389.6208665</v>
      </c>
      <c r="FD5" s="87">
        <f t="shared" si="12"/>
        <v>1617438599.1607451</v>
      </c>
      <c r="FE5" s="87">
        <f>FE3*FE4+FE2*(1-FE4)</f>
        <v>1622082101.5632608</v>
      </c>
      <c r="FF5" s="87">
        <f>FF3*FF4+FF2*(1-FF4)</f>
        <v>1626738934.990876</v>
      </c>
      <c r="FG5" s="88">
        <f>FG3*FG4+FG2*(1-FG4)</f>
        <v>1631409137.7156134</v>
      </c>
    </row>
    <row r="6" spans="1:164" x14ac:dyDescent="0.25">
      <c r="A6" s="49">
        <v>0</v>
      </c>
      <c r="B6" s="50" t="s">
        <v>12</v>
      </c>
      <c r="C6" s="55">
        <v>0</v>
      </c>
      <c r="D6" s="56">
        <v>0</v>
      </c>
      <c r="E6" s="125">
        <f t="shared" ref="E6:E23" si="13">IFERROR(D6/C6,0)</f>
        <v>0</v>
      </c>
      <c r="G6" s="63">
        <f t="shared" si="7"/>
        <v>0</v>
      </c>
      <c r="H6" s="64" t="str">
        <f t="shared" si="5"/>
        <v>2BR - 2BA</v>
      </c>
      <c r="I6" s="65">
        <f t="shared" si="6"/>
        <v>0</v>
      </c>
      <c r="J6" s="56">
        <v>0</v>
      </c>
      <c r="K6" s="125">
        <f t="shared" ref="K6:K23" si="14">IFERROR(J6/I6,0)</f>
        <v>0</v>
      </c>
      <c r="M6" s="27">
        <f t="shared" si="8"/>
        <v>0</v>
      </c>
      <c r="O6" s="5" t="s">
        <v>70</v>
      </c>
      <c r="P6" s="67">
        <f>150000*90%</f>
        <v>135000</v>
      </c>
      <c r="R6" s="14" t="s">
        <v>18</v>
      </c>
      <c r="S6" s="71">
        <f>SUM(S2:S5)</f>
        <v>0.121</v>
      </c>
      <c r="T6" s="71">
        <f t="shared" ref="T6:AC6" si="15">SUM(T2:T5)</f>
        <v>6.8500000000000005E-2</v>
      </c>
      <c r="U6" s="71">
        <f t="shared" si="15"/>
        <v>5.6000000000000001E-2</v>
      </c>
      <c r="V6" s="71">
        <f t="shared" si="15"/>
        <v>5.6000000000000001E-2</v>
      </c>
      <c r="W6" s="71">
        <f t="shared" si="15"/>
        <v>5.6000000000000001E-2</v>
      </c>
      <c r="X6" s="71">
        <f t="shared" si="15"/>
        <v>5.6000000000000001E-2</v>
      </c>
      <c r="Y6" s="71">
        <f t="shared" si="15"/>
        <v>5.6000000000000001E-2</v>
      </c>
      <c r="Z6" s="71">
        <f t="shared" si="15"/>
        <v>5.6000000000000001E-2</v>
      </c>
      <c r="AA6" s="71">
        <f t="shared" si="15"/>
        <v>5.6000000000000001E-2</v>
      </c>
      <c r="AB6" s="71">
        <f t="shared" si="15"/>
        <v>5.6000000000000001E-2</v>
      </c>
      <c r="AC6" s="72">
        <f t="shared" si="15"/>
        <v>5.6000000000000001E-2</v>
      </c>
    </row>
    <row r="7" spans="1:164" x14ac:dyDescent="0.25">
      <c r="A7" s="49">
        <v>0</v>
      </c>
      <c r="B7" s="50" t="s">
        <v>12</v>
      </c>
      <c r="C7" s="55">
        <v>0</v>
      </c>
      <c r="D7" s="56">
        <v>0</v>
      </c>
      <c r="E7" s="125">
        <f t="shared" si="13"/>
        <v>0</v>
      </c>
      <c r="G7" s="63">
        <f t="shared" si="7"/>
        <v>0</v>
      </c>
      <c r="H7" s="64" t="str">
        <f t="shared" si="5"/>
        <v>2BR - 2BA</v>
      </c>
      <c r="I7" s="65">
        <f t="shared" si="6"/>
        <v>0</v>
      </c>
      <c r="J7" s="56">
        <v>0</v>
      </c>
      <c r="K7" s="125">
        <f t="shared" si="14"/>
        <v>0</v>
      </c>
      <c r="M7" s="27">
        <f t="shared" si="8"/>
        <v>0</v>
      </c>
      <c r="O7" s="5" t="s">
        <v>71</v>
      </c>
      <c r="P7" s="67">
        <f>360000*70%</f>
        <v>251999.99999999997</v>
      </c>
      <c r="AG7" s="70"/>
      <c r="AR7" s="70"/>
    </row>
    <row r="8" spans="1:164" x14ac:dyDescent="0.25">
      <c r="A8" s="49">
        <v>0</v>
      </c>
      <c r="B8" s="50" t="s">
        <v>12</v>
      </c>
      <c r="C8" s="55">
        <v>0</v>
      </c>
      <c r="D8" s="56">
        <v>0</v>
      </c>
      <c r="E8" s="125">
        <f t="shared" si="13"/>
        <v>0</v>
      </c>
      <c r="G8" s="63">
        <f t="shared" si="7"/>
        <v>0</v>
      </c>
      <c r="H8" s="64" t="str">
        <f t="shared" si="5"/>
        <v>2BR - 2BA</v>
      </c>
      <c r="I8" s="65">
        <f t="shared" si="6"/>
        <v>0</v>
      </c>
      <c r="J8" s="56">
        <v>0</v>
      </c>
      <c r="K8" s="125">
        <f t="shared" si="14"/>
        <v>0</v>
      </c>
      <c r="M8" s="27">
        <f t="shared" si="8"/>
        <v>0</v>
      </c>
      <c r="O8" s="5"/>
      <c r="P8" s="67"/>
      <c r="R8" s="69"/>
      <c r="S8" s="175">
        <v>1</v>
      </c>
      <c r="T8" s="175">
        <f>S8+1</f>
        <v>2</v>
      </c>
      <c r="U8" s="175">
        <f t="shared" ref="U8:AC8" si="16">T8+1</f>
        <v>3</v>
      </c>
      <c r="V8" s="175">
        <f t="shared" si="16"/>
        <v>4</v>
      </c>
      <c r="W8" s="175">
        <f t="shared" si="16"/>
        <v>5</v>
      </c>
      <c r="X8" s="175">
        <f t="shared" si="16"/>
        <v>6</v>
      </c>
      <c r="Y8" s="175">
        <f t="shared" si="16"/>
        <v>7</v>
      </c>
      <c r="Z8" s="175">
        <f t="shared" si="16"/>
        <v>8</v>
      </c>
      <c r="AA8" s="175">
        <f t="shared" si="16"/>
        <v>9</v>
      </c>
      <c r="AB8" s="175">
        <f t="shared" si="16"/>
        <v>10</v>
      </c>
      <c r="AC8" s="175">
        <f t="shared" si="16"/>
        <v>11</v>
      </c>
    </row>
    <row r="9" spans="1:164" x14ac:dyDescent="0.25">
      <c r="A9" s="49">
        <v>0</v>
      </c>
      <c r="B9" s="50" t="s">
        <v>12</v>
      </c>
      <c r="C9" s="55">
        <v>0</v>
      </c>
      <c r="D9" s="56">
        <v>0</v>
      </c>
      <c r="E9" s="125">
        <f t="shared" si="13"/>
        <v>0</v>
      </c>
      <c r="G9" s="63">
        <f t="shared" si="7"/>
        <v>0</v>
      </c>
      <c r="H9" s="64" t="str">
        <f t="shared" si="5"/>
        <v>2BR - 2BA</v>
      </c>
      <c r="I9" s="65">
        <f t="shared" si="6"/>
        <v>0</v>
      </c>
      <c r="J9" s="56">
        <v>0</v>
      </c>
      <c r="K9" s="125">
        <f t="shared" si="14"/>
        <v>0</v>
      </c>
      <c r="M9" s="27">
        <f t="shared" si="8"/>
        <v>0</v>
      </c>
      <c r="O9" s="5" t="s">
        <v>84</v>
      </c>
      <c r="P9" s="67">
        <f>21918509/Ingresos!A23</f>
        <v>62624.311428571425</v>
      </c>
      <c r="R9" s="4" t="s">
        <v>163</v>
      </c>
      <c r="S9" s="75">
        <v>0.05</v>
      </c>
      <c r="T9" s="75">
        <v>0.04</v>
      </c>
      <c r="U9" s="75">
        <v>3.5000000000000003E-2</v>
      </c>
      <c r="V9" s="75">
        <v>3.5000000000000003E-2</v>
      </c>
      <c r="W9" s="75">
        <v>3.5000000000000003E-2</v>
      </c>
      <c r="X9" s="75">
        <v>3.5000000000000003E-2</v>
      </c>
      <c r="Y9" s="75">
        <v>3.5000000000000003E-2</v>
      </c>
      <c r="Z9" s="75">
        <v>3.5000000000000003E-2</v>
      </c>
      <c r="AA9" s="75">
        <v>3.5000000000000003E-2</v>
      </c>
      <c r="AB9" s="75">
        <v>3.5000000000000003E-2</v>
      </c>
      <c r="AC9" s="75">
        <v>3.5000000000000003E-2</v>
      </c>
    </row>
    <row r="10" spans="1:164" x14ac:dyDescent="0.25">
      <c r="A10" s="49">
        <v>0</v>
      </c>
      <c r="B10" s="50" t="s">
        <v>12</v>
      </c>
      <c r="C10" s="55">
        <v>0</v>
      </c>
      <c r="D10" s="56">
        <v>0</v>
      </c>
      <c r="E10" s="125">
        <f t="shared" si="13"/>
        <v>0</v>
      </c>
      <c r="G10" s="63">
        <f t="shared" si="7"/>
        <v>0</v>
      </c>
      <c r="H10" s="64" t="str">
        <f t="shared" si="5"/>
        <v>2BR - 2BA</v>
      </c>
      <c r="I10" s="65">
        <f t="shared" si="6"/>
        <v>0</v>
      </c>
      <c r="J10" s="56">
        <v>0</v>
      </c>
      <c r="K10" s="125">
        <f t="shared" si="14"/>
        <v>0</v>
      </c>
      <c r="M10" s="27">
        <f t="shared" si="8"/>
        <v>0</v>
      </c>
      <c r="O10" s="5" t="s">
        <v>85</v>
      </c>
      <c r="P10" s="67">
        <f>+D3*5%</f>
        <v>142768.17499999999</v>
      </c>
      <c r="R10" s="6" t="s">
        <v>65</v>
      </c>
      <c r="S10" s="76">
        <v>0.03</v>
      </c>
      <c r="T10" s="76">
        <v>0.03</v>
      </c>
      <c r="U10" s="76">
        <v>0.03</v>
      </c>
      <c r="V10" s="76">
        <v>0.03</v>
      </c>
      <c r="W10" s="76">
        <v>0.03</v>
      </c>
      <c r="X10" s="76">
        <v>0.03</v>
      </c>
      <c r="Y10" s="76">
        <v>0.03</v>
      </c>
      <c r="Z10" s="76">
        <v>0.03</v>
      </c>
      <c r="AA10" s="76">
        <v>0.03</v>
      </c>
      <c r="AB10" s="76">
        <v>0.03</v>
      </c>
      <c r="AC10" s="77">
        <v>0.03</v>
      </c>
    </row>
    <row r="11" spans="1:164" x14ac:dyDescent="0.25">
      <c r="A11" s="49">
        <v>0</v>
      </c>
      <c r="B11" s="50" t="s">
        <v>12</v>
      </c>
      <c r="C11" s="55">
        <v>0</v>
      </c>
      <c r="D11" s="56">
        <v>0</v>
      </c>
      <c r="E11" s="125">
        <f t="shared" si="13"/>
        <v>0</v>
      </c>
      <c r="G11" s="63">
        <f t="shared" si="7"/>
        <v>0</v>
      </c>
      <c r="H11" s="64" t="str">
        <f t="shared" si="5"/>
        <v>2BR - 2BA</v>
      </c>
      <c r="I11" s="65">
        <f t="shared" si="6"/>
        <v>0</v>
      </c>
      <c r="J11" s="56">
        <v>0</v>
      </c>
      <c r="K11" s="125">
        <f t="shared" si="14"/>
        <v>0</v>
      </c>
      <c r="M11" s="27">
        <f t="shared" si="8"/>
        <v>0</v>
      </c>
      <c r="O11" s="5"/>
      <c r="P11" s="67"/>
    </row>
    <row r="12" spans="1:164" x14ac:dyDescent="0.25">
      <c r="A12" s="49">
        <v>0</v>
      </c>
      <c r="B12" s="50" t="s">
        <v>12</v>
      </c>
      <c r="C12" s="55">
        <v>0</v>
      </c>
      <c r="D12" s="56">
        <v>0</v>
      </c>
      <c r="E12" s="125">
        <f t="shared" si="13"/>
        <v>0</v>
      </c>
      <c r="G12" s="63">
        <f t="shared" si="7"/>
        <v>0</v>
      </c>
      <c r="H12" s="64" t="str">
        <f t="shared" si="5"/>
        <v>2BR - 2BA</v>
      </c>
      <c r="I12" s="65">
        <f t="shared" si="6"/>
        <v>0</v>
      </c>
      <c r="J12" s="56">
        <v>0</v>
      </c>
      <c r="K12" s="125">
        <f t="shared" si="14"/>
        <v>0</v>
      </c>
      <c r="M12" s="27">
        <f t="shared" si="8"/>
        <v>0</v>
      </c>
      <c r="O12" s="14" t="s">
        <v>15</v>
      </c>
      <c r="P12" s="35">
        <f>SUM(P2:P11)</f>
        <v>653923.68642857135</v>
      </c>
    </row>
    <row r="13" spans="1:164" x14ac:dyDescent="0.25">
      <c r="A13" s="49">
        <v>0</v>
      </c>
      <c r="B13" s="50" t="s">
        <v>12</v>
      </c>
      <c r="C13" s="55">
        <v>0</v>
      </c>
      <c r="D13" s="56">
        <v>0</v>
      </c>
      <c r="E13" s="125">
        <f t="shared" si="13"/>
        <v>0</v>
      </c>
      <c r="G13" s="63">
        <f t="shared" si="7"/>
        <v>0</v>
      </c>
      <c r="H13" s="64" t="str">
        <f t="shared" si="5"/>
        <v>2BR - 2BA</v>
      </c>
      <c r="I13" s="65">
        <f t="shared" si="6"/>
        <v>0</v>
      </c>
      <c r="J13" s="56">
        <v>0</v>
      </c>
      <c r="K13" s="125">
        <f t="shared" si="14"/>
        <v>0</v>
      </c>
      <c r="M13" s="27">
        <f t="shared" si="8"/>
        <v>0</v>
      </c>
    </row>
    <row r="14" spans="1:164" x14ac:dyDescent="0.25">
      <c r="A14" s="49">
        <v>0</v>
      </c>
      <c r="B14" s="50" t="s">
        <v>12</v>
      </c>
      <c r="C14" s="55">
        <v>0</v>
      </c>
      <c r="D14" s="56">
        <v>0</v>
      </c>
      <c r="E14" s="125">
        <f t="shared" si="13"/>
        <v>0</v>
      </c>
      <c r="G14" s="63">
        <f t="shared" si="7"/>
        <v>0</v>
      </c>
      <c r="H14" s="64" t="str">
        <f t="shared" si="5"/>
        <v>2BR - 2BA</v>
      </c>
      <c r="I14" s="65">
        <f t="shared" si="6"/>
        <v>0</v>
      </c>
      <c r="J14" s="56">
        <v>0</v>
      </c>
      <c r="K14" s="125">
        <f t="shared" si="14"/>
        <v>0</v>
      </c>
      <c r="M14" s="27">
        <f t="shared" si="8"/>
        <v>0</v>
      </c>
      <c r="O14" s="2" t="s">
        <v>16</v>
      </c>
      <c r="P14" s="3"/>
    </row>
    <row r="15" spans="1:164" x14ac:dyDescent="0.25">
      <c r="A15" s="49">
        <v>0</v>
      </c>
      <c r="B15" s="50" t="s">
        <v>12</v>
      </c>
      <c r="C15" s="55">
        <v>0</v>
      </c>
      <c r="D15" s="56">
        <v>0</v>
      </c>
      <c r="E15" s="125">
        <f t="shared" si="13"/>
        <v>0</v>
      </c>
      <c r="G15" s="63">
        <f t="shared" si="7"/>
        <v>0</v>
      </c>
      <c r="H15" s="64" t="str">
        <f t="shared" si="5"/>
        <v>2BR - 2BA</v>
      </c>
      <c r="I15" s="65">
        <f t="shared" si="6"/>
        <v>0</v>
      </c>
      <c r="J15" s="56">
        <v>0</v>
      </c>
      <c r="K15" s="125">
        <f t="shared" si="14"/>
        <v>0</v>
      </c>
      <c r="M15" s="27">
        <f t="shared" si="8"/>
        <v>0</v>
      </c>
      <c r="O15" s="4" t="s">
        <v>140</v>
      </c>
      <c r="P15" s="190">
        <v>12</v>
      </c>
    </row>
    <row r="16" spans="1:164" x14ac:dyDescent="0.25">
      <c r="A16" s="49">
        <v>0</v>
      </c>
      <c r="B16" s="50" t="s">
        <v>12</v>
      </c>
      <c r="C16" s="55">
        <v>0</v>
      </c>
      <c r="D16" s="56">
        <v>0</v>
      </c>
      <c r="E16" s="125">
        <f t="shared" si="13"/>
        <v>0</v>
      </c>
      <c r="G16" s="63">
        <f t="shared" si="7"/>
        <v>0</v>
      </c>
      <c r="H16" s="64" t="str">
        <f t="shared" si="5"/>
        <v>2BR - 2BA</v>
      </c>
      <c r="I16" s="65">
        <f t="shared" si="6"/>
        <v>0</v>
      </c>
      <c r="J16" s="56">
        <v>0</v>
      </c>
      <c r="K16" s="125">
        <f t="shared" si="14"/>
        <v>0</v>
      </c>
      <c r="M16" s="27">
        <f t="shared" si="8"/>
        <v>0</v>
      </c>
      <c r="O16" s="5" t="s">
        <v>141</v>
      </c>
      <c r="P16" s="191">
        <v>19</v>
      </c>
    </row>
    <row r="17" spans="1:16" x14ac:dyDescent="0.25">
      <c r="A17" s="49">
        <v>0</v>
      </c>
      <c r="B17" s="50" t="s">
        <v>12</v>
      </c>
      <c r="C17" s="55">
        <v>0</v>
      </c>
      <c r="D17" s="56">
        <v>0</v>
      </c>
      <c r="E17" s="125">
        <f t="shared" si="13"/>
        <v>0</v>
      </c>
      <c r="G17" s="63">
        <f t="shared" si="7"/>
        <v>0</v>
      </c>
      <c r="H17" s="64" t="str">
        <f t="shared" si="5"/>
        <v>2BR - 2BA</v>
      </c>
      <c r="I17" s="65">
        <f t="shared" si="6"/>
        <v>0</v>
      </c>
      <c r="J17" s="56">
        <v>0</v>
      </c>
      <c r="K17" s="125">
        <f t="shared" si="14"/>
        <v>0</v>
      </c>
      <c r="M17" s="27">
        <f t="shared" si="8"/>
        <v>0</v>
      </c>
      <c r="O17" s="6" t="s">
        <v>213</v>
      </c>
      <c r="P17" s="68">
        <f>P16-P15+1</f>
        <v>8</v>
      </c>
    </row>
    <row r="18" spans="1:16" x14ac:dyDescent="0.25">
      <c r="A18" s="49">
        <v>0</v>
      </c>
      <c r="B18" s="50" t="s">
        <v>12</v>
      </c>
      <c r="C18" s="55">
        <v>0</v>
      </c>
      <c r="D18" s="56">
        <v>0</v>
      </c>
      <c r="E18" s="125">
        <f t="shared" si="13"/>
        <v>0</v>
      </c>
      <c r="G18" s="63">
        <f t="shared" si="7"/>
        <v>0</v>
      </c>
      <c r="H18" s="64" t="str">
        <f t="shared" si="5"/>
        <v>2BR - 2BA</v>
      </c>
      <c r="I18" s="65">
        <f t="shared" si="6"/>
        <v>0</v>
      </c>
      <c r="J18" s="56">
        <v>0</v>
      </c>
      <c r="K18" s="125">
        <f t="shared" si="14"/>
        <v>0</v>
      </c>
      <c r="M18" s="27">
        <f t="shared" si="8"/>
        <v>0</v>
      </c>
    </row>
    <row r="19" spans="1:16" x14ac:dyDescent="0.25">
      <c r="A19" s="49">
        <v>0</v>
      </c>
      <c r="B19" s="50" t="s">
        <v>12</v>
      </c>
      <c r="C19" s="55">
        <v>0</v>
      </c>
      <c r="D19" s="56">
        <v>0</v>
      </c>
      <c r="E19" s="125">
        <f t="shared" si="13"/>
        <v>0</v>
      </c>
      <c r="G19" s="63">
        <f t="shared" si="7"/>
        <v>0</v>
      </c>
      <c r="H19" s="64" t="str">
        <f t="shared" si="5"/>
        <v>2BR - 2BA</v>
      </c>
      <c r="I19" s="65">
        <f t="shared" si="6"/>
        <v>0</v>
      </c>
      <c r="J19" s="56">
        <v>0</v>
      </c>
      <c r="K19" s="125">
        <f t="shared" si="14"/>
        <v>0</v>
      </c>
      <c r="M19" s="27">
        <f t="shared" si="8"/>
        <v>0</v>
      </c>
    </row>
    <row r="20" spans="1:16" x14ac:dyDescent="0.25">
      <c r="A20" s="49">
        <v>0</v>
      </c>
      <c r="B20" s="50" t="s">
        <v>12</v>
      </c>
      <c r="C20" s="55">
        <v>0</v>
      </c>
      <c r="D20" s="56">
        <v>0</v>
      </c>
      <c r="E20" s="125">
        <f t="shared" si="13"/>
        <v>0</v>
      </c>
      <c r="G20" s="63">
        <f t="shared" si="7"/>
        <v>0</v>
      </c>
      <c r="H20" s="64" t="str">
        <f t="shared" si="5"/>
        <v>2BR - 2BA</v>
      </c>
      <c r="I20" s="65">
        <f t="shared" si="6"/>
        <v>0</v>
      </c>
      <c r="J20" s="56">
        <v>0</v>
      </c>
      <c r="K20" s="125">
        <f t="shared" si="14"/>
        <v>0</v>
      </c>
      <c r="M20" s="27">
        <f t="shared" si="8"/>
        <v>0</v>
      </c>
    </row>
    <row r="21" spans="1:16" x14ac:dyDescent="0.25">
      <c r="A21" s="49">
        <v>0</v>
      </c>
      <c r="B21" s="50" t="s">
        <v>12</v>
      </c>
      <c r="C21" s="55">
        <v>0</v>
      </c>
      <c r="D21" s="56">
        <v>0</v>
      </c>
      <c r="E21" s="125">
        <f t="shared" si="13"/>
        <v>0</v>
      </c>
      <c r="G21" s="63">
        <f t="shared" si="7"/>
        <v>0</v>
      </c>
      <c r="H21" s="64" t="str">
        <f t="shared" si="5"/>
        <v>2BR - 2BA</v>
      </c>
      <c r="I21" s="65">
        <f t="shared" si="6"/>
        <v>0</v>
      </c>
      <c r="J21" s="56">
        <v>0</v>
      </c>
      <c r="K21" s="125">
        <f t="shared" si="14"/>
        <v>0</v>
      </c>
      <c r="M21" s="27">
        <f t="shared" si="8"/>
        <v>0</v>
      </c>
    </row>
    <row r="22" spans="1:16" x14ac:dyDescent="0.25">
      <c r="A22" s="49">
        <v>0</v>
      </c>
      <c r="B22" s="50" t="s">
        <v>12</v>
      </c>
      <c r="C22" s="55">
        <v>0</v>
      </c>
      <c r="D22" s="56">
        <v>0</v>
      </c>
      <c r="E22" s="125">
        <f t="shared" si="13"/>
        <v>0</v>
      </c>
      <c r="G22" s="63">
        <f t="shared" si="7"/>
        <v>0</v>
      </c>
      <c r="H22" s="64" t="str">
        <f t="shared" si="5"/>
        <v>2BR - 2BA</v>
      </c>
      <c r="I22" s="65">
        <f t="shared" si="6"/>
        <v>0</v>
      </c>
      <c r="J22" s="56">
        <v>0</v>
      </c>
      <c r="K22" s="125">
        <f t="shared" si="14"/>
        <v>0</v>
      </c>
      <c r="M22" s="27">
        <f t="shared" si="8"/>
        <v>0</v>
      </c>
    </row>
    <row r="23" spans="1:16" x14ac:dyDescent="0.25">
      <c r="A23" s="51">
        <f>SUM(A3:A22)</f>
        <v>350</v>
      </c>
      <c r="B23" s="52"/>
      <c r="C23" s="57">
        <f>SUMPRODUCT(C3:C22,$A$3:$A$22)/$A$23</f>
        <v>60</v>
      </c>
      <c r="D23" s="58">
        <f>SUMPRODUCT(D3:D22,$A$3:$A$22)/$A$23</f>
        <v>2855363.4999999995</v>
      </c>
      <c r="E23" s="59">
        <f t="shared" si="13"/>
        <v>47589.391666666656</v>
      </c>
      <c r="G23" s="51">
        <f>SUM(G3:G22)</f>
        <v>350</v>
      </c>
      <c r="H23" s="52"/>
      <c r="I23" s="57">
        <f>SUMPRODUCT(I3:I22,$G$3:$G$22)/$G$23</f>
        <v>60</v>
      </c>
      <c r="J23" s="58">
        <f>SUMPRODUCT(J3:J22,$G$3:$G$22)/$G$23</f>
        <v>3140899.8499999992</v>
      </c>
      <c r="K23" s="59">
        <f t="shared" si="14"/>
        <v>52348.330833333319</v>
      </c>
      <c r="M23" s="95">
        <f>SUMPRODUCT(M3:M22,$G$3:$G$22)/$G$23</f>
        <v>285536.35000000009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5B2D3-2386-4236-856C-A2287E9AEE7E}">
  <dimension ref="A1:T21"/>
  <sheetViews>
    <sheetView showGridLines="0" zoomScaleNormal="100" workbookViewId="0">
      <selection activeCell="B5" sqref="B5"/>
    </sheetView>
  </sheetViews>
  <sheetFormatPr baseColWidth="10" defaultColWidth="8.85546875" defaultRowHeight="13.5" x14ac:dyDescent="0.25"/>
  <cols>
    <col min="1" max="1" width="25.85546875" style="1" bestFit="1" customWidth="1"/>
    <col min="2" max="2" width="27.28515625" style="1" customWidth="1"/>
    <col min="3" max="3" width="13.42578125" style="1" bestFit="1" customWidth="1"/>
    <col min="4" max="4" width="8.85546875" style="1"/>
    <col min="5" max="5" width="33.5703125" style="1" bestFit="1" customWidth="1"/>
    <col min="6" max="6" width="18" style="1" bestFit="1" customWidth="1"/>
    <col min="7" max="7" width="13.42578125" style="1" bestFit="1" customWidth="1"/>
    <col min="8" max="8" width="8.85546875" style="1"/>
    <col min="9" max="9" width="20.28515625" style="1" bestFit="1" customWidth="1"/>
    <col min="10" max="20" width="17.28515625" style="1" bestFit="1" customWidth="1"/>
    <col min="21" max="16384" width="8.85546875" style="1"/>
  </cols>
  <sheetData>
    <row r="1" spans="1:20" x14ac:dyDescent="0.25">
      <c r="A1" s="2" t="s">
        <v>73</v>
      </c>
      <c r="B1" s="43"/>
      <c r="C1" s="3"/>
      <c r="E1" s="2" t="s">
        <v>80</v>
      </c>
      <c r="F1" s="43"/>
      <c r="G1" s="3"/>
      <c r="J1" s="2" t="s">
        <v>26</v>
      </c>
      <c r="K1" s="43"/>
      <c r="L1" s="43"/>
      <c r="M1" s="43"/>
      <c r="N1" s="43"/>
      <c r="O1" s="43"/>
      <c r="P1" s="43"/>
      <c r="Q1" s="43"/>
      <c r="R1" s="43"/>
      <c r="S1" s="43"/>
      <c r="T1" s="3"/>
    </row>
    <row r="2" spans="1:20" x14ac:dyDescent="0.25">
      <c r="A2" s="89" t="s">
        <v>21</v>
      </c>
      <c r="B2" s="90" t="s">
        <v>15</v>
      </c>
      <c r="C2" s="91" t="s">
        <v>135</v>
      </c>
      <c r="E2" s="89" t="s">
        <v>21</v>
      </c>
      <c r="F2" s="90" t="s">
        <v>15</v>
      </c>
      <c r="G2" s="91" t="s">
        <v>135</v>
      </c>
      <c r="J2" s="177">
        <v>1</v>
      </c>
      <c r="K2" s="177">
        <f>J2+1</f>
        <v>2</v>
      </c>
      <c r="L2" s="177">
        <f t="shared" ref="L2:T2" si="0">K2+1</f>
        <v>3</v>
      </c>
      <c r="M2" s="177">
        <f t="shared" si="0"/>
        <v>4</v>
      </c>
      <c r="N2" s="177">
        <f t="shared" si="0"/>
        <v>5</v>
      </c>
      <c r="O2" s="177">
        <f t="shared" si="0"/>
        <v>6</v>
      </c>
      <c r="P2" s="177">
        <f t="shared" si="0"/>
        <v>7</v>
      </c>
      <c r="Q2" s="177">
        <f t="shared" si="0"/>
        <v>8</v>
      </c>
      <c r="R2" s="177">
        <f t="shared" si="0"/>
        <v>9</v>
      </c>
      <c r="S2" s="177">
        <f t="shared" si="0"/>
        <v>10</v>
      </c>
      <c r="T2" s="177">
        <f t="shared" si="0"/>
        <v>11</v>
      </c>
    </row>
    <row r="3" spans="1:20" x14ac:dyDescent="0.25">
      <c r="A3" s="4" t="s">
        <v>74</v>
      </c>
      <c r="B3" s="18">
        <v>93438363</v>
      </c>
      <c r="C3" s="92">
        <f>B3/Ingresos!$A$23</f>
        <v>266966.75142857141</v>
      </c>
      <c r="E3" s="4" t="s">
        <v>74</v>
      </c>
      <c r="F3" s="18">
        <v>93438363</v>
      </c>
      <c r="G3" s="92">
        <f>F3/Ingresos!$A$23</f>
        <v>266966.75142857141</v>
      </c>
      <c r="J3" s="187">
        <v>0.04</v>
      </c>
      <c r="K3" s="187">
        <v>0.04</v>
      </c>
      <c r="L3" s="187">
        <v>0.03</v>
      </c>
      <c r="M3" s="187">
        <v>0.03</v>
      </c>
      <c r="N3" s="187">
        <v>0.03</v>
      </c>
      <c r="O3" s="187">
        <v>0.03</v>
      </c>
      <c r="P3" s="187">
        <v>0.03</v>
      </c>
      <c r="Q3" s="187">
        <v>0.03</v>
      </c>
      <c r="R3" s="187">
        <v>0.03</v>
      </c>
      <c r="S3" s="187">
        <v>0.03</v>
      </c>
      <c r="T3" s="187">
        <v>0.03</v>
      </c>
    </row>
    <row r="4" spans="1:20" x14ac:dyDescent="0.25">
      <c r="A4" s="5" t="s">
        <v>75</v>
      </c>
      <c r="B4" s="93">
        <v>332655381</v>
      </c>
      <c r="C4" s="94">
        <f>B4/Ingresos!$A$23</f>
        <v>950443.94571428571</v>
      </c>
      <c r="E4" s="5" t="s">
        <v>75</v>
      </c>
      <c r="F4" s="93">
        <v>362655381</v>
      </c>
      <c r="G4" s="94">
        <f>F4/Ingresos!$A$23</f>
        <v>1036158.2314285714</v>
      </c>
    </row>
    <row r="5" spans="1:20" x14ac:dyDescent="0.25">
      <c r="A5" s="5" t="s">
        <v>22</v>
      </c>
      <c r="B5" s="93">
        <f>+Ingresos!AF2*6.5%</f>
        <v>64959519.624999993</v>
      </c>
      <c r="C5" s="94">
        <f>B5/Ingresos!$A$23</f>
        <v>185598.62749999997</v>
      </c>
      <c r="E5" s="5" t="s">
        <v>22</v>
      </c>
      <c r="F5" s="93">
        <f>+Ingresos!AJ2*10%</f>
        <v>101576337.05737382</v>
      </c>
      <c r="G5" s="94">
        <f>F5/Ingresos!$A$23</f>
        <v>290218.10587821092</v>
      </c>
      <c r="J5" s="2" t="s">
        <v>27</v>
      </c>
      <c r="K5" s="43"/>
      <c r="L5" s="43"/>
      <c r="M5" s="43"/>
      <c r="N5" s="43"/>
      <c r="O5" s="43"/>
      <c r="P5" s="43"/>
      <c r="Q5" s="43"/>
      <c r="R5" s="43"/>
      <c r="S5" s="43"/>
      <c r="T5" s="3"/>
    </row>
    <row r="6" spans="1:20" x14ac:dyDescent="0.25">
      <c r="A6" s="5" t="s">
        <v>76</v>
      </c>
      <c r="B6" s="93">
        <v>150897780</v>
      </c>
      <c r="C6" s="94">
        <f>B6/Ingresos!$A$23</f>
        <v>431136.51428571431</v>
      </c>
      <c r="E6" s="5" t="s">
        <v>76</v>
      </c>
      <c r="F6" s="93">
        <v>150897780</v>
      </c>
      <c r="G6" s="94">
        <f>F6/Ingresos!$A$23</f>
        <v>431136.51428571431</v>
      </c>
      <c r="J6" s="177">
        <v>1</v>
      </c>
      <c r="K6" s="177">
        <f>J6+1</f>
        <v>2</v>
      </c>
      <c r="L6" s="177">
        <f t="shared" ref="L6:T6" si="1">K6+1</f>
        <v>3</v>
      </c>
      <c r="M6" s="177">
        <f t="shared" si="1"/>
        <v>4</v>
      </c>
      <c r="N6" s="177">
        <f t="shared" si="1"/>
        <v>5</v>
      </c>
      <c r="O6" s="177">
        <f t="shared" si="1"/>
        <v>6</v>
      </c>
      <c r="P6" s="177">
        <f t="shared" si="1"/>
        <v>7</v>
      </c>
      <c r="Q6" s="177">
        <f t="shared" si="1"/>
        <v>8</v>
      </c>
      <c r="R6" s="177">
        <f t="shared" si="1"/>
        <v>9</v>
      </c>
      <c r="S6" s="177">
        <f t="shared" si="1"/>
        <v>10</v>
      </c>
      <c r="T6" s="177">
        <f t="shared" si="1"/>
        <v>11</v>
      </c>
    </row>
    <row r="7" spans="1:20" x14ac:dyDescent="0.25">
      <c r="A7" s="5" t="s">
        <v>97</v>
      </c>
      <c r="B7" s="93">
        <f>+(Ingresos!G3*Ingresos!J3)*5%</f>
        <v>54965747.374999993</v>
      </c>
      <c r="C7" s="94">
        <f>B7/Ingresos!$A$23</f>
        <v>157044.99249999999</v>
      </c>
      <c r="E7" s="5" t="s">
        <v>97</v>
      </c>
      <c r="F7" s="93">
        <f>+(Ingresos!K3*Ingresos!N3)*5%</f>
        <v>0</v>
      </c>
      <c r="G7" s="94">
        <f>F7/Ingresos!$A$23</f>
        <v>0</v>
      </c>
      <c r="I7" s="28" t="s">
        <v>28</v>
      </c>
      <c r="J7" s="99">
        <f>IF(B18="Yes",Resumen!B21*Gastos!B19,Gastos!B20*(1+Gastos!J3))</f>
        <v>140400000000</v>
      </c>
      <c r="K7" s="99">
        <f>J7*(1+K3)</f>
        <v>146016000000</v>
      </c>
      <c r="L7" s="99">
        <f t="shared" ref="L7:T7" si="2">K7*(1+L3)</f>
        <v>150396480000</v>
      </c>
      <c r="M7" s="99">
        <f t="shared" si="2"/>
        <v>154908374400</v>
      </c>
      <c r="N7" s="99">
        <f t="shared" si="2"/>
        <v>159555625632</v>
      </c>
      <c r="O7" s="99">
        <f t="shared" si="2"/>
        <v>164342294400.95999</v>
      </c>
      <c r="P7" s="99">
        <f t="shared" si="2"/>
        <v>169272563232.9888</v>
      </c>
      <c r="Q7" s="99">
        <f t="shared" si="2"/>
        <v>174350740129.97845</v>
      </c>
      <c r="R7" s="99">
        <f t="shared" si="2"/>
        <v>179581262333.87781</v>
      </c>
      <c r="S7" s="99">
        <f t="shared" si="2"/>
        <v>184968700203.89413</v>
      </c>
      <c r="T7" s="99">
        <f t="shared" si="2"/>
        <v>190517761210.01096</v>
      </c>
    </row>
    <row r="8" spans="1:20" x14ac:dyDescent="0.25">
      <c r="A8" s="5" t="s">
        <v>23</v>
      </c>
      <c r="B8" s="93">
        <f>+B3*25%</f>
        <v>23359590.75</v>
      </c>
      <c r="C8" s="94">
        <f>B8/Ingresos!$A$23</f>
        <v>66741.687857142853</v>
      </c>
      <c r="E8" s="5" t="s">
        <v>23</v>
      </c>
      <c r="F8" s="93">
        <f>+F3*50%</f>
        <v>46719181.5</v>
      </c>
      <c r="G8" s="94">
        <f>F8/Ingresos!$A$23</f>
        <v>133483.37571428571</v>
      </c>
      <c r="I8" s="28" t="s">
        <v>24</v>
      </c>
      <c r="J8" s="99">
        <f>J7*$B$17</f>
        <v>1684800000</v>
      </c>
      <c r="K8" s="99">
        <f t="shared" ref="K8:T8" si="3">K7*$B$17</f>
        <v>1752192000</v>
      </c>
      <c r="L8" s="99">
        <f t="shared" si="3"/>
        <v>1804757760</v>
      </c>
      <c r="M8" s="99">
        <f t="shared" si="3"/>
        <v>1858900492.8</v>
      </c>
      <c r="N8" s="99">
        <f t="shared" si="3"/>
        <v>1914667507.5840001</v>
      </c>
      <c r="O8" s="99">
        <f t="shared" si="3"/>
        <v>1972107532.8115199</v>
      </c>
      <c r="P8" s="99">
        <f t="shared" si="3"/>
        <v>2031270758.7958655</v>
      </c>
      <c r="Q8" s="99">
        <f t="shared" si="3"/>
        <v>2092208881.5597415</v>
      </c>
      <c r="R8" s="99">
        <f t="shared" si="3"/>
        <v>2154975148.0065336</v>
      </c>
      <c r="S8" s="99">
        <f t="shared" si="3"/>
        <v>2219624402.4467297</v>
      </c>
      <c r="T8" s="99">
        <f t="shared" si="3"/>
        <v>2286213134.5201316</v>
      </c>
    </row>
    <row r="9" spans="1:20" ht="15" x14ac:dyDescent="0.25">
      <c r="A9" s="5"/>
      <c r="B9" s="93"/>
      <c r="C9" s="94"/>
      <c r="E9" s="5"/>
      <c r="F9" s="93"/>
      <c r="G9" s="93"/>
      <c r="I9"/>
      <c r="J9"/>
      <c r="K9"/>
      <c r="L9"/>
      <c r="M9"/>
      <c r="N9"/>
      <c r="O9"/>
      <c r="P9"/>
      <c r="Q9"/>
      <c r="R9"/>
      <c r="S9"/>
      <c r="T9"/>
    </row>
    <row r="10" spans="1:20" x14ac:dyDescent="0.25">
      <c r="A10" s="5" t="s">
        <v>77</v>
      </c>
      <c r="B10" s="93">
        <v>222003419</v>
      </c>
      <c r="C10" s="94">
        <f>B10/Ingresos!$A$23</f>
        <v>634295.48285714281</v>
      </c>
      <c r="E10" s="5" t="s">
        <v>77</v>
      </c>
      <c r="F10" s="93">
        <v>222003419</v>
      </c>
      <c r="G10" s="94">
        <f>F10/Ingresos!$A$23</f>
        <v>634295.48285714281</v>
      </c>
      <c r="I10" s="100" t="s">
        <v>29</v>
      </c>
      <c r="J10" s="35">
        <f>+J8</f>
        <v>1684800000</v>
      </c>
      <c r="K10" s="35">
        <f t="shared" ref="K10:T10" si="4">+K8</f>
        <v>1752192000</v>
      </c>
      <c r="L10" s="35">
        <f t="shared" si="4"/>
        <v>1804757760</v>
      </c>
      <c r="M10" s="35">
        <f t="shared" si="4"/>
        <v>1858900492.8</v>
      </c>
      <c r="N10" s="35">
        <f t="shared" si="4"/>
        <v>1914667507.5840001</v>
      </c>
      <c r="O10" s="35">
        <f t="shared" si="4"/>
        <v>1972107532.8115199</v>
      </c>
      <c r="P10" s="35">
        <f t="shared" si="4"/>
        <v>2031270758.7958655</v>
      </c>
      <c r="Q10" s="35">
        <f t="shared" si="4"/>
        <v>2092208881.5597415</v>
      </c>
      <c r="R10" s="35">
        <f t="shared" si="4"/>
        <v>2154975148.0065336</v>
      </c>
      <c r="S10" s="35">
        <f t="shared" si="4"/>
        <v>2219624402.4467297</v>
      </c>
      <c r="T10" s="35">
        <f t="shared" si="4"/>
        <v>2286213134.5201316</v>
      </c>
    </row>
    <row r="11" spans="1:20" x14ac:dyDescent="0.25">
      <c r="A11" s="5" t="s">
        <v>98</v>
      </c>
      <c r="B11" s="169"/>
      <c r="C11" s="170">
        <f>+F19/Ingresos!A23</f>
        <v>1.1428571428571428E-4</v>
      </c>
      <c r="E11" s="5" t="s">
        <v>98</v>
      </c>
      <c r="F11" s="169"/>
      <c r="G11" s="23">
        <f>+F19/Ingresos!A23</f>
        <v>1.1428571428571428E-4</v>
      </c>
    </row>
    <row r="12" spans="1:20" x14ac:dyDescent="0.25">
      <c r="A12" s="5" t="s">
        <v>78</v>
      </c>
      <c r="B12" s="93">
        <f>+J10</f>
        <v>1684800000</v>
      </c>
      <c r="C12" s="94">
        <f>B12/Ingresos!$A$23</f>
        <v>4813714.2857142854</v>
      </c>
      <c r="E12" s="5" t="s">
        <v>78</v>
      </c>
      <c r="F12" s="93">
        <f>+J10</f>
        <v>1684800000</v>
      </c>
      <c r="G12" s="94">
        <f>F12/Ingresos!$A$23</f>
        <v>4813714.2857142854</v>
      </c>
    </row>
    <row r="13" spans="1:20" x14ac:dyDescent="0.25">
      <c r="A13" s="5" t="s">
        <v>79</v>
      </c>
      <c r="B13" s="93">
        <f>79445424*(1+10%)</f>
        <v>87389966.400000006</v>
      </c>
      <c r="C13" s="94">
        <f>B13/Ingresos!$A$23</f>
        <v>249685.6182857143</v>
      </c>
      <c r="E13" s="5" t="s">
        <v>79</v>
      </c>
      <c r="F13" s="93">
        <f>79445424*(1+10%)</f>
        <v>87389966.400000006</v>
      </c>
      <c r="G13" s="94">
        <f>F13/Ingresos!$A$23</f>
        <v>249685.6182857143</v>
      </c>
    </row>
    <row r="14" spans="1:20" x14ac:dyDescent="0.25">
      <c r="A14" s="14" t="s">
        <v>15</v>
      </c>
      <c r="B14" s="95">
        <f>SUM(B3:B13)</f>
        <v>2714469767.1500001</v>
      </c>
      <c r="C14" s="95">
        <f>B14/Ingresos!$A$23</f>
        <v>7755627.9061428579</v>
      </c>
      <c r="E14" s="14" t="s">
        <v>15</v>
      </c>
      <c r="F14" s="95">
        <f>SUM(F3:F13)</f>
        <v>2749480427.9573741</v>
      </c>
      <c r="G14" s="95">
        <f>F14/Ingresos!$A$23</f>
        <v>7855658.3655924974</v>
      </c>
    </row>
    <row r="15" spans="1:20" x14ac:dyDescent="0.25">
      <c r="C15" s="167"/>
    </row>
    <row r="16" spans="1:20" x14ac:dyDescent="0.25">
      <c r="A16" s="2" t="s">
        <v>81</v>
      </c>
      <c r="B16" s="3"/>
      <c r="E16" s="2" t="s">
        <v>136</v>
      </c>
      <c r="F16" s="3"/>
    </row>
    <row r="17" spans="1:6" x14ac:dyDescent="0.25">
      <c r="A17" s="4" t="s">
        <v>181</v>
      </c>
      <c r="B17" s="97">
        <f>12/1000</f>
        <v>1.2E-2</v>
      </c>
      <c r="E17" s="4" t="s">
        <v>82</v>
      </c>
      <c r="F17" s="97">
        <v>0.05</v>
      </c>
    </row>
    <row r="18" spans="1:6" x14ac:dyDescent="0.25">
      <c r="A18" s="5" t="s">
        <v>182</v>
      </c>
      <c r="B18" s="67" t="s">
        <v>25</v>
      </c>
      <c r="E18" s="5" t="s">
        <v>99</v>
      </c>
      <c r="F18" s="26"/>
    </row>
    <row r="19" spans="1:6" x14ac:dyDescent="0.25">
      <c r="A19" s="5" t="s">
        <v>183</v>
      </c>
      <c r="B19" s="23">
        <v>1</v>
      </c>
      <c r="E19" s="6" t="s">
        <v>98</v>
      </c>
      <c r="F19" s="98">
        <v>0.04</v>
      </c>
    </row>
    <row r="20" spans="1:6" x14ac:dyDescent="0.25">
      <c r="A20" s="5" t="s">
        <v>184</v>
      </c>
      <c r="B20" s="67">
        <f>+Resumen!B21</f>
        <v>135000000000</v>
      </c>
    </row>
    <row r="21" spans="1:6" x14ac:dyDescent="0.25">
      <c r="A21" s="6"/>
      <c r="B21" s="96"/>
    </row>
  </sheetData>
  <dataValidations disablePrompts="1" count="1">
    <dataValidation type="list" allowBlank="1" showInputMessage="1" showErrorMessage="1" sqref="B18" xr:uid="{01272475-0838-47B4-BDDE-68E2D0C8CAC9}">
      <formula1>"Yes,No"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ABB4B-8935-41B1-818E-D6C37301BBC2}">
  <dimension ref="A1:FI49"/>
  <sheetViews>
    <sheetView showGridLines="0" topLeftCell="A27" zoomScaleNormal="100" workbookViewId="0">
      <selection activeCell="F9" sqref="F9"/>
    </sheetView>
  </sheetViews>
  <sheetFormatPr baseColWidth="10" defaultColWidth="8.85546875" defaultRowHeight="13.5" x14ac:dyDescent="0.25"/>
  <cols>
    <col min="1" max="1" width="8.85546875" style="1"/>
    <col min="2" max="2" width="44.7109375" style="1" bestFit="1" customWidth="1"/>
    <col min="3" max="3" width="18" style="1" bestFit="1" customWidth="1"/>
    <col min="4" max="4" width="14.7109375" style="1" bestFit="1" customWidth="1"/>
    <col min="5" max="6" width="10.28515625" style="1" bestFit="1" customWidth="1"/>
    <col min="7" max="7" width="11.28515625" style="1" bestFit="1" customWidth="1"/>
    <col min="8" max="32" width="15.28515625" style="1" bestFit="1" customWidth="1"/>
    <col min="33" max="106" width="8.85546875" style="1"/>
    <col min="107" max="139" width="10" style="1" bestFit="1" customWidth="1"/>
    <col min="140" max="16384" width="8.85546875" style="1"/>
  </cols>
  <sheetData>
    <row r="1" spans="1:165" x14ac:dyDescent="0.25">
      <c r="H1" s="178">
        <v>1</v>
      </c>
      <c r="I1" s="178">
        <f>H1+1</f>
        <v>2</v>
      </c>
      <c r="J1" s="178">
        <f t="shared" ref="J1:BU1" si="0">I1+1</f>
        <v>3</v>
      </c>
      <c r="K1" s="178">
        <f t="shared" si="0"/>
        <v>4</v>
      </c>
      <c r="L1" s="178">
        <f t="shared" si="0"/>
        <v>5</v>
      </c>
      <c r="M1" s="178">
        <f t="shared" si="0"/>
        <v>6</v>
      </c>
      <c r="N1" s="178">
        <f t="shared" si="0"/>
        <v>7</v>
      </c>
      <c r="O1" s="178">
        <f t="shared" si="0"/>
        <v>8</v>
      </c>
      <c r="P1" s="178">
        <f t="shared" si="0"/>
        <v>9</v>
      </c>
      <c r="Q1" s="178">
        <f t="shared" si="0"/>
        <v>10</v>
      </c>
      <c r="R1" s="178">
        <f t="shared" si="0"/>
        <v>11</v>
      </c>
      <c r="S1" s="178">
        <f t="shared" si="0"/>
        <v>12</v>
      </c>
      <c r="T1" s="178">
        <f t="shared" si="0"/>
        <v>13</v>
      </c>
      <c r="U1" s="178">
        <f t="shared" si="0"/>
        <v>14</v>
      </c>
      <c r="V1" s="178">
        <f t="shared" si="0"/>
        <v>15</v>
      </c>
      <c r="W1" s="178">
        <f t="shared" si="0"/>
        <v>16</v>
      </c>
      <c r="X1" s="178">
        <f t="shared" si="0"/>
        <v>17</v>
      </c>
      <c r="Y1" s="178">
        <f t="shared" si="0"/>
        <v>18</v>
      </c>
      <c r="Z1" s="178">
        <f t="shared" si="0"/>
        <v>19</v>
      </c>
      <c r="AA1" s="178">
        <f t="shared" si="0"/>
        <v>20</v>
      </c>
      <c r="AB1" s="178">
        <f t="shared" si="0"/>
        <v>21</v>
      </c>
      <c r="AC1" s="178">
        <f t="shared" si="0"/>
        <v>22</v>
      </c>
      <c r="AD1" s="178">
        <f t="shared" si="0"/>
        <v>23</v>
      </c>
      <c r="AE1" s="178">
        <f t="shared" si="0"/>
        <v>24</v>
      </c>
      <c r="AF1" s="178">
        <f t="shared" si="0"/>
        <v>25</v>
      </c>
      <c r="AG1" s="178">
        <f t="shared" si="0"/>
        <v>26</v>
      </c>
      <c r="AH1" s="178">
        <f t="shared" si="0"/>
        <v>27</v>
      </c>
      <c r="AI1" s="178">
        <f t="shared" si="0"/>
        <v>28</v>
      </c>
      <c r="AJ1" s="178">
        <f t="shared" si="0"/>
        <v>29</v>
      </c>
      <c r="AK1" s="178">
        <f t="shared" si="0"/>
        <v>30</v>
      </c>
      <c r="AL1" s="178">
        <f t="shared" si="0"/>
        <v>31</v>
      </c>
      <c r="AM1" s="178">
        <f t="shared" si="0"/>
        <v>32</v>
      </c>
      <c r="AN1" s="178">
        <f t="shared" si="0"/>
        <v>33</v>
      </c>
      <c r="AO1" s="178">
        <f t="shared" si="0"/>
        <v>34</v>
      </c>
      <c r="AP1" s="178">
        <f t="shared" si="0"/>
        <v>35</v>
      </c>
      <c r="AQ1" s="178">
        <f t="shared" si="0"/>
        <v>36</v>
      </c>
      <c r="AR1" s="178">
        <f t="shared" si="0"/>
        <v>37</v>
      </c>
      <c r="AS1" s="178">
        <f t="shared" si="0"/>
        <v>38</v>
      </c>
      <c r="AT1" s="178">
        <f t="shared" si="0"/>
        <v>39</v>
      </c>
      <c r="AU1" s="178">
        <f t="shared" si="0"/>
        <v>40</v>
      </c>
      <c r="AV1" s="178">
        <f t="shared" si="0"/>
        <v>41</v>
      </c>
      <c r="AW1" s="178">
        <f t="shared" si="0"/>
        <v>42</v>
      </c>
      <c r="AX1" s="178">
        <f t="shared" si="0"/>
        <v>43</v>
      </c>
      <c r="AY1" s="178">
        <f t="shared" si="0"/>
        <v>44</v>
      </c>
      <c r="AZ1" s="178">
        <f t="shared" si="0"/>
        <v>45</v>
      </c>
      <c r="BA1" s="178">
        <f t="shared" si="0"/>
        <v>46</v>
      </c>
      <c r="BB1" s="178">
        <f t="shared" si="0"/>
        <v>47</v>
      </c>
      <c r="BC1" s="178">
        <f t="shared" si="0"/>
        <v>48</v>
      </c>
      <c r="BD1" s="178">
        <f t="shared" si="0"/>
        <v>49</v>
      </c>
      <c r="BE1" s="178">
        <f t="shared" si="0"/>
        <v>50</v>
      </c>
      <c r="BF1" s="178">
        <f t="shared" si="0"/>
        <v>51</v>
      </c>
      <c r="BG1" s="178">
        <f t="shared" si="0"/>
        <v>52</v>
      </c>
      <c r="BH1" s="178">
        <f t="shared" si="0"/>
        <v>53</v>
      </c>
      <c r="BI1" s="178">
        <f t="shared" si="0"/>
        <v>54</v>
      </c>
      <c r="BJ1" s="178">
        <f t="shared" si="0"/>
        <v>55</v>
      </c>
      <c r="BK1" s="178">
        <f t="shared" si="0"/>
        <v>56</v>
      </c>
      <c r="BL1" s="178">
        <f t="shared" si="0"/>
        <v>57</v>
      </c>
      <c r="BM1" s="178">
        <f t="shared" si="0"/>
        <v>58</v>
      </c>
      <c r="BN1" s="178">
        <f t="shared" si="0"/>
        <v>59</v>
      </c>
      <c r="BO1" s="178">
        <f t="shared" si="0"/>
        <v>60</v>
      </c>
      <c r="BP1" s="178">
        <f t="shared" si="0"/>
        <v>61</v>
      </c>
      <c r="BQ1" s="178">
        <f t="shared" si="0"/>
        <v>62</v>
      </c>
      <c r="BR1" s="178">
        <f t="shared" si="0"/>
        <v>63</v>
      </c>
      <c r="BS1" s="178">
        <f t="shared" si="0"/>
        <v>64</v>
      </c>
      <c r="BT1" s="178">
        <f t="shared" si="0"/>
        <v>65</v>
      </c>
      <c r="BU1" s="178">
        <f t="shared" si="0"/>
        <v>66</v>
      </c>
      <c r="BV1" s="178">
        <f t="shared" ref="BV1:EG1" si="1">BU1+1</f>
        <v>67</v>
      </c>
      <c r="BW1" s="178">
        <f t="shared" si="1"/>
        <v>68</v>
      </c>
      <c r="BX1" s="178">
        <f t="shared" si="1"/>
        <v>69</v>
      </c>
      <c r="BY1" s="178">
        <f t="shared" si="1"/>
        <v>70</v>
      </c>
      <c r="BZ1" s="178">
        <f t="shared" si="1"/>
        <v>71</v>
      </c>
      <c r="CA1" s="178">
        <f t="shared" si="1"/>
        <v>72</v>
      </c>
      <c r="CB1" s="178">
        <f t="shared" si="1"/>
        <v>73</v>
      </c>
      <c r="CC1" s="178">
        <f t="shared" si="1"/>
        <v>74</v>
      </c>
      <c r="CD1" s="178">
        <f t="shared" si="1"/>
        <v>75</v>
      </c>
      <c r="CE1" s="178">
        <f t="shared" si="1"/>
        <v>76</v>
      </c>
      <c r="CF1" s="178">
        <f t="shared" si="1"/>
        <v>77</v>
      </c>
      <c r="CG1" s="178">
        <f t="shared" si="1"/>
        <v>78</v>
      </c>
      <c r="CH1" s="178">
        <f t="shared" si="1"/>
        <v>79</v>
      </c>
      <c r="CI1" s="178">
        <f t="shared" si="1"/>
        <v>80</v>
      </c>
      <c r="CJ1" s="178">
        <f t="shared" si="1"/>
        <v>81</v>
      </c>
      <c r="CK1" s="178">
        <f t="shared" si="1"/>
        <v>82</v>
      </c>
      <c r="CL1" s="178">
        <f t="shared" si="1"/>
        <v>83</v>
      </c>
      <c r="CM1" s="178">
        <f t="shared" si="1"/>
        <v>84</v>
      </c>
      <c r="CN1" s="178">
        <f t="shared" si="1"/>
        <v>85</v>
      </c>
      <c r="CO1" s="178">
        <f t="shared" si="1"/>
        <v>86</v>
      </c>
      <c r="CP1" s="178">
        <f t="shared" si="1"/>
        <v>87</v>
      </c>
      <c r="CQ1" s="178">
        <f t="shared" si="1"/>
        <v>88</v>
      </c>
      <c r="CR1" s="178">
        <f t="shared" si="1"/>
        <v>89</v>
      </c>
      <c r="CS1" s="178">
        <f t="shared" si="1"/>
        <v>90</v>
      </c>
      <c r="CT1" s="178">
        <f t="shared" si="1"/>
        <v>91</v>
      </c>
      <c r="CU1" s="178">
        <f t="shared" si="1"/>
        <v>92</v>
      </c>
      <c r="CV1" s="178">
        <f t="shared" si="1"/>
        <v>93</v>
      </c>
      <c r="CW1" s="178">
        <f t="shared" si="1"/>
        <v>94</v>
      </c>
      <c r="CX1" s="178">
        <f t="shared" si="1"/>
        <v>95</v>
      </c>
      <c r="CY1" s="178">
        <f t="shared" si="1"/>
        <v>96</v>
      </c>
      <c r="CZ1" s="178">
        <f t="shared" si="1"/>
        <v>97</v>
      </c>
      <c r="DA1" s="178">
        <f t="shared" si="1"/>
        <v>98</v>
      </c>
      <c r="DB1" s="178">
        <f t="shared" si="1"/>
        <v>99</v>
      </c>
      <c r="DC1" s="178">
        <f t="shared" si="1"/>
        <v>100</v>
      </c>
      <c r="DD1" s="178">
        <f t="shared" si="1"/>
        <v>101</v>
      </c>
      <c r="DE1" s="178">
        <f t="shared" si="1"/>
        <v>102</v>
      </c>
      <c r="DF1" s="178">
        <f t="shared" si="1"/>
        <v>103</v>
      </c>
      <c r="DG1" s="178">
        <f t="shared" si="1"/>
        <v>104</v>
      </c>
      <c r="DH1" s="178">
        <f t="shared" si="1"/>
        <v>105</v>
      </c>
      <c r="DI1" s="178">
        <f t="shared" si="1"/>
        <v>106</v>
      </c>
      <c r="DJ1" s="178">
        <f t="shared" si="1"/>
        <v>107</v>
      </c>
      <c r="DK1" s="178">
        <f t="shared" si="1"/>
        <v>108</v>
      </c>
      <c r="DL1" s="178">
        <f t="shared" si="1"/>
        <v>109</v>
      </c>
      <c r="DM1" s="178">
        <f t="shared" si="1"/>
        <v>110</v>
      </c>
      <c r="DN1" s="178">
        <f t="shared" si="1"/>
        <v>111</v>
      </c>
      <c r="DO1" s="178">
        <f t="shared" si="1"/>
        <v>112</v>
      </c>
      <c r="DP1" s="178">
        <f t="shared" si="1"/>
        <v>113</v>
      </c>
      <c r="DQ1" s="178">
        <f t="shared" si="1"/>
        <v>114</v>
      </c>
      <c r="DR1" s="178">
        <f t="shared" si="1"/>
        <v>115</v>
      </c>
      <c r="DS1" s="178">
        <f t="shared" si="1"/>
        <v>116</v>
      </c>
      <c r="DT1" s="178">
        <f t="shared" si="1"/>
        <v>117</v>
      </c>
      <c r="DU1" s="178">
        <f t="shared" si="1"/>
        <v>118</v>
      </c>
      <c r="DV1" s="178">
        <f t="shared" si="1"/>
        <v>119</v>
      </c>
      <c r="DW1" s="178">
        <f t="shared" si="1"/>
        <v>120</v>
      </c>
      <c r="DX1" s="178">
        <f t="shared" si="1"/>
        <v>121</v>
      </c>
      <c r="DY1" s="178">
        <f t="shared" si="1"/>
        <v>122</v>
      </c>
      <c r="DZ1" s="178">
        <f t="shared" si="1"/>
        <v>123</v>
      </c>
      <c r="EA1" s="178">
        <f t="shared" si="1"/>
        <v>124</v>
      </c>
      <c r="EB1" s="178">
        <f t="shared" si="1"/>
        <v>125</v>
      </c>
      <c r="EC1" s="178">
        <f t="shared" si="1"/>
        <v>126</v>
      </c>
      <c r="ED1" s="178">
        <f t="shared" si="1"/>
        <v>127</v>
      </c>
      <c r="EE1" s="178">
        <f t="shared" si="1"/>
        <v>128</v>
      </c>
      <c r="EF1" s="178">
        <f t="shared" si="1"/>
        <v>129</v>
      </c>
      <c r="EG1" s="178">
        <f t="shared" si="1"/>
        <v>130</v>
      </c>
      <c r="EH1" s="178">
        <f>EG1+1</f>
        <v>131</v>
      </c>
      <c r="EI1" s="178">
        <f>EH1+1</f>
        <v>132</v>
      </c>
      <c r="EJ1" s="101"/>
      <c r="EK1" s="101"/>
      <c r="EL1" s="101"/>
      <c r="EM1" s="101"/>
      <c r="EN1" s="101"/>
      <c r="EO1" s="101"/>
      <c r="EP1" s="101"/>
      <c r="EQ1" s="101"/>
      <c r="ER1" s="101"/>
      <c r="ES1" s="101"/>
      <c r="ET1" s="101"/>
      <c r="EU1" s="101"/>
      <c r="EV1" s="101"/>
      <c r="EW1" s="101"/>
      <c r="EX1" s="101"/>
      <c r="EY1" s="101"/>
      <c r="EZ1" s="101"/>
      <c r="FA1" s="101"/>
      <c r="FB1" s="101"/>
      <c r="FC1" s="101"/>
      <c r="FD1" s="101"/>
      <c r="FE1" s="101"/>
      <c r="FF1" s="101"/>
      <c r="FG1" s="101"/>
      <c r="FH1" s="101"/>
      <c r="FI1" s="101"/>
    </row>
    <row r="2" spans="1:165" x14ac:dyDescent="0.25">
      <c r="H2" s="179">
        <f>ROUNDUP(H1/12,0)</f>
        <v>1</v>
      </c>
      <c r="I2" s="179">
        <f t="shared" ref="I2:BT2" si="2">ROUNDUP(I1/12,0)</f>
        <v>1</v>
      </c>
      <c r="J2" s="179">
        <f t="shared" si="2"/>
        <v>1</v>
      </c>
      <c r="K2" s="179">
        <f t="shared" si="2"/>
        <v>1</v>
      </c>
      <c r="L2" s="179">
        <f t="shared" si="2"/>
        <v>1</v>
      </c>
      <c r="M2" s="179">
        <f t="shared" si="2"/>
        <v>1</v>
      </c>
      <c r="N2" s="179">
        <f t="shared" si="2"/>
        <v>1</v>
      </c>
      <c r="O2" s="179">
        <f t="shared" si="2"/>
        <v>1</v>
      </c>
      <c r="P2" s="179">
        <f t="shared" si="2"/>
        <v>1</v>
      </c>
      <c r="Q2" s="179">
        <f t="shared" si="2"/>
        <v>1</v>
      </c>
      <c r="R2" s="179">
        <f t="shared" si="2"/>
        <v>1</v>
      </c>
      <c r="S2" s="179">
        <f t="shared" si="2"/>
        <v>1</v>
      </c>
      <c r="T2" s="179">
        <f t="shared" si="2"/>
        <v>2</v>
      </c>
      <c r="U2" s="179">
        <f t="shared" si="2"/>
        <v>2</v>
      </c>
      <c r="V2" s="179">
        <f t="shared" si="2"/>
        <v>2</v>
      </c>
      <c r="W2" s="179">
        <f t="shared" si="2"/>
        <v>2</v>
      </c>
      <c r="X2" s="179">
        <f t="shared" si="2"/>
        <v>2</v>
      </c>
      <c r="Y2" s="179">
        <f t="shared" si="2"/>
        <v>2</v>
      </c>
      <c r="Z2" s="179">
        <f t="shared" si="2"/>
        <v>2</v>
      </c>
      <c r="AA2" s="179">
        <f t="shared" si="2"/>
        <v>2</v>
      </c>
      <c r="AB2" s="179">
        <f t="shared" si="2"/>
        <v>2</v>
      </c>
      <c r="AC2" s="179">
        <f t="shared" si="2"/>
        <v>2</v>
      </c>
      <c r="AD2" s="179">
        <f t="shared" si="2"/>
        <v>2</v>
      </c>
      <c r="AE2" s="179">
        <f t="shared" si="2"/>
        <v>2</v>
      </c>
      <c r="AF2" s="179">
        <f t="shared" si="2"/>
        <v>3</v>
      </c>
      <c r="AG2" s="179">
        <f t="shared" si="2"/>
        <v>3</v>
      </c>
      <c r="AH2" s="179">
        <f t="shared" si="2"/>
        <v>3</v>
      </c>
      <c r="AI2" s="179">
        <f t="shared" si="2"/>
        <v>3</v>
      </c>
      <c r="AJ2" s="179">
        <f t="shared" si="2"/>
        <v>3</v>
      </c>
      <c r="AK2" s="179">
        <f t="shared" si="2"/>
        <v>3</v>
      </c>
      <c r="AL2" s="179">
        <f t="shared" si="2"/>
        <v>3</v>
      </c>
      <c r="AM2" s="179">
        <f t="shared" si="2"/>
        <v>3</v>
      </c>
      <c r="AN2" s="179">
        <f t="shared" si="2"/>
        <v>3</v>
      </c>
      <c r="AO2" s="179">
        <f t="shared" si="2"/>
        <v>3</v>
      </c>
      <c r="AP2" s="179">
        <f t="shared" si="2"/>
        <v>3</v>
      </c>
      <c r="AQ2" s="179">
        <f t="shared" si="2"/>
        <v>3</v>
      </c>
      <c r="AR2" s="179">
        <f t="shared" si="2"/>
        <v>4</v>
      </c>
      <c r="AS2" s="179">
        <f t="shared" si="2"/>
        <v>4</v>
      </c>
      <c r="AT2" s="179">
        <f t="shared" si="2"/>
        <v>4</v>
      </c>
      <c r="AU2" s="179">
        <f t="shared" si="2"/>
        <v>4</v>
      </c>
      <c r="AV2" s="179">
        <f t="shared" si="2"/>
        <v>4</v>
      </c>
      <c r="AW2" s="179">
        <f t="shared" si="2"/>
        <v>4</v>
      </c>
      <c r="AX2" s="179">
        <f t="shared" si="2"/>
        <v>4</v>
      </c>
      <c r="AY2" s="179">
        <f t="shared" si="2"/>
        <v>4</v>
      </c>
      <c r="AZ2" s="179">
        <f t="shared" si="2"/>
        <v>4</v>
      </c>
      <c r="BA2" s="179">
        <f t="shared" si="2"/>
        <v>4</v>
      </c>
      <c r="BB2" s="179">
        <f t="shared" si="2"/>
        <v>4</v>
      </c>
      <c r="BC2" s="179">
        <f t="shared" si="2"/>
        <v>4</v>
      </c>
      <c r="BD2" s="179">
        <f t="shared" si="2"/>
        <v>5</v>
      </c>
      <c r="BE2" s="179">
        <f t="shared" si="2"/>
        <v>5</v>
      </c>
      <c r="BF2" s="179">
        <f t="shared" si="2"/>
        <v>5</v>
      </c>
      <c r="BG2" s="179">
        <f t="shared" si="2"/>
        <v>5</v>
      </c>
      <c r="BH2" s="179">
        <f t="shared" si="2"/>
        <v>5</v>
      </c>
      <c r="BI2" s="179">
        <f t="shared" si="2"/>
        <v>5</v>
      </c>
      <c r="BJ2" s="179">
        <f t="shared" si="2"/>
        <v>5</v>
      </c>
      <c r="BK2" s="179">
        <f t="shared" si="2"/>
        <v>5</v>
      </c>
      <c r="BL2" s="179">
        <f t="shared" si="2"/>
        <v>5</v>
      </c>
      <c r="BM2" s="179">
        <f t="shared" si="2"/>
        <v>5</v>
      </c>
      <c r="BN2" s="179">
        <f t="shared" si="2"/>
        <v>5</v>
      </c>
      <c r="BO2" s="179">
        <f t="shared" si="2"/>
        <v>5</v>
      </c>
      <c r="BP2" s="179">
        <f t="shared" si="2"/>
        <v>6</v>
      </c>
      <c r="BQ2" s="179">
        <f t="shared" si="2"/>
        <v>6</v>
      </c>
      <c r="BR2" s="179">
        <f t="shared" si="2"/>
        <v>6</v>
      </c>
      <c r="BS2" s="179">
        <f t="shared" si="2"/>
        <v>6</v>
      </c>
      <c r="BT2" s="179">
        <f t="shared" si="2"/>
        <v>6</v>
      </c>
      <c r="BU2" s="179">
        <f t="shared" ref="BU2:EF2" si="3">ROUNDUP(BU1/12,0)</f>
        <v>6</v>
      </c>
      <c r="BV2" s="179">
        <f t="shared" si="3"/>
        <v>6</v>
      </c>
      <c r="BW2" s="179">
        <f t="shared" si="3"/>
        <v>6</v>
      </c>
      <c r="BX2" s="179">
        <f t="shared" si="3"/>
        <v>6</v>
      </c>
      <c r="BY2" s="179">
        <f t="shared" si="3"/>
        <v>6</v>
      </c>
      <c r="BZ2" s="179">
        <f t="shared" si="3"/>
        <v>6</v>
      </c>
      <c r="CA2" s="179">
        <f t="shared" si="3"/>
        <v>6</v>
      </c>
      <c r="CB2" s="179">
        <f t="shared" si="3"/>
        <v>7</v>
      </c>
      <c r="CC2" s="179">
        <f t="shared" si="3"/>
        <v>7</v>
      </c>
      <c r="CD2" s="179">
        <f t="shared" si="3"/>
        <v>7</v>
      </c>
      <c r="CE2" s="179">
        <f t="shared" si="3"/>
        <v>7</v>
      </c>
      <c r="CF2" s="179">
        <f t="shared" si="3"/>
        <v>7</v>
      </c>
      <c r="CG2" s="179">
        <f t="shared" si="3"/>
        <v>7</v>
      </c>
      <c r="CH2" s="179">
        <f t="shared" si="3"/>
        <v>7</v>
      </c>
      <c r="CI2" s="179">
        <f t="shared" si="3"/>
        <v>7</v>
      </c>
      <c r="CJ2" s="179">
        <f t="shared" si="3"/>
        <v>7</v>
      </c>
      <c r="CK2" s="179">
        <f t="shared" si="3"/>
        <v>7</v>
      </c>
      <c r="CL2" s="179">
        <f t="shared" si="3"/>
        <v>7</v>
      </c>
      <c r="CM2" s="179">
        <f t="shared" si="3"/>
        <v>7</v>
      </c>
      <c r="CN2" s="179">
        <f t="shared" si="3"/>
        <v>8</v>
      </c>
      <c r="CO2" s="179">
        <f t="shared" si="3"/>
        <v>8</v>
      </c>
      <c r="CP2" s="179">
        <f t="shared" si="3"/>
        <v>8</v>
      </c>
      <c r="CQ2" s="179">
        <f t="shared" si="3"/>
        <v>8</v>
      </c>
      <c r="CR2" s="179">
        <f t="shared" si="3"/>
        <v>8</v>
      </c>
      <c r="CS2" s="179">
        <f t="shared" si="3"/>
        <v>8</v>
      </c>
      <c r="CT2" s="179">
        <f t="shared" si="3"/>
        <v>8</v>
      </c>
      <c r="CU2" s="179">
        <f t="shared" si="3"/>
        <v>8</v>
      </c>
      <c r="CV2" s="179">
        <f t="shared" si="3"/>
        <v>8</v>
      </c>
      <c r="CW2" s="179">
        <f t="shared" si="3"/>
        <v>8</v>
      </c>
      <c r="CX2" s="179">
        <f t="shared" si="3"/>
        <v>8</v>
      </c>
      <c r="CY2" s="179">
        <f t="shared" si="3"/>
        <v>8</v>
      </c>
      <c r="CZ2" s="179">
        <f t="shared" si="3"/>
        <v>9</v>
      </c>
      <c r="DA2" s="179">
        <f t="shared" si="3"/>
        <v>9</v>
      </c>
      <c r="DB2" s="179">
        <f t="shared" si="3"/>
        <v>9</v>
      </c>
      <c r="DC2" s="179">
        <f t="shared" si="3"/>
        <v>9</v>
      </c>
      <c r="DD2" s="179">
        <f t="shared" si="3"/>
        <v>9</v>
      </c>
      <c r="DE2" s="179">
        <f t="shared" si="3"/>
        <v>9</v>
      </c>
      <c r="DF2" s="179">
        <f t="shared" si="3"/>
        <v>9</v>
      </c>
      <c r="DG2" s="179">
        <f t="shared" si="3"/>
        <v>9</v>
      </c>
      <c r="DH2" s="179">
        <f t="shared" si="3"/>
        <v>9</v>
      </c>
      <c r="DI2" s="179">
        <f t="shared" si="3"/>
        <v>9</v>
      </c>
      <c r="DJ2" s="179">
        <f t="shared" si="3"/>
        <v>9</v>
      </c>
      <c r="DK2" s="179">
        <f t="shared" si="3"/>
        <v>9</v>
      </c>
      <c r="DL2" s="179">
        <f t="shared" si="3"/>
        <v>10</v>
      </c>
      <c r="DM2" s="179">
        <f t="shared" si="3"/>
        <v>10</v>
      </c>
      <c r="DN2" s="179">
        <f t="shared" si="3"/>
        <v>10</v>
      </c>
      <c r="DO2" s="179">
        <f t="shared" si="3"/>
        <v>10</v>
      </c>
      <c r="DP2" s="179">
        <f t="shared" si="3"/>
        <v>10</v>
      </c>
      <c r="DQ2" s="179">
        <f t="shared" si="3"/>
        <v>10</v>
      </c>
      <c r="DR2" s="179">
        <f t="shared" si="3"/>
        <v>10</v>
      </c>
      <c r="DS2" s="179">
        <f t="shared" si="3"/>
        <v>10</v>
      </c>
      <c r="DT2" s="179">
        <f t="shared" si="3"/>
        <v>10</v>
      </c>
      <c r="DU2" s="179">
        <f t="shared" si="3"/>
        <v>10</v>
      </c>
      <c r="DV2" s="179">
        <f t="shared" si="3"/>
        <v>10</v>
      </c>
      <c r="DW2" s="179">
        <f t="shared" si="3"/>
        <v>10</v>
      </c>
      <c r="DX2" s="179">
        <f t="shared" si="3"/>
        <v>11</v>
      </c>
      <c r="DY2" s="179">
        <f t="shared" si="3"/>
        <v>11</v>
      </c>
      <c r="DZ2" s="179">
        <f t="shared" si="3"/>
        <v>11</v>
      </c>
      <c r="EA2" s="179">
        <f t="shared" si="3"/>
        <v>11</v>
      </c>
      <c r="EB2" s="179">
        <f t="shared" si="3"/>
        <v>11</v>
      </c>
      <c r="EC2" s="179">
        <f t="shared" si="3"/>
        <v>11</v>
      </c>
      <c r="ED2" s="179">
        <f t="shared" si="3"/>
        <v>11</v>
      </c>
      <c r="EE2" s="179">
        <f t="shared" si="3"/>
        <v>11</v>
      </c>
      <c r="EF2" s="179">
        <f t="shared" si="3"/>
        <v>11</v>
      </c>
      <c r="EG2" s="179">
        <f>ROUNDUP(EG1/12,0)</f>
        <v>11</v>
      </c>
      <c r="EH2" s="179">
        <f>ROUNDUP(EH1/12,0)</f>
        <v>11</v>
      </c>
      <c r="EI2" s="179">
        <f>ROUNDUP(EI1/12,0)</f>
        <v>11</v>
      </c>
    </row>
    <row r="3" spans="1:165" x14ac:dyDescent="0.25">
      <c r="B3" s="2" t="s">
        <v>137</v>
      </c>
      <c r="C3" s="43"/>
      <c r="D3" s="43"/>
      <c r="E3" s="43"/>
      <c r="F3" s="43"/>
      <c r="G3" s="3"/>
      <c r="EI3" s="1">
        <v>0</v>
      </c>
    </row>
    <row r="4" spans="1:165" x14ac:dyDescent="0.25">
      <c r="A4" s="2" t="s">
        <v>32</v>
      </c>
      <c r="B4" s="102" t="s">
        <v>21</v>
      </c>
      <c r="C4" s="90" t="s">
        <v>15</v>
      </c>
      <c r="D4" s="90" t="s">
        <v>139</v>
      </c>
      <c r="E4" s="90" t="s">
        <v>140</v>
      </c>
      <c r="F4" s="90" t="s">
        <v>141</v>
      </c>
      <c r="G4" s="91" t="s">
        <v>142</v>
      </c>
    </row>
    <row r="5" spans="1:165" x14ac:dyDescent="0.25">
      <c r="A5" s="110" t="str">
        <f>IF(ABS(SUM(H5:EI5)-C5)&lt;0.0001,"OK","ERROR")</f>
        <v>OK</v>
      </c>
      <c r="B5" s="16" t="s">
        <v>92</v>
      </c>
      <c r="C5" s="103">
        <v>245000000</v>
      </c>
      <c r="D5" s="104">
        <f>C5/Ingresos!$A$23</f>
        <v>700000</v>
      </c>
      <c r="E5" s="180">
        <v>2</v>
      </c>
      <c r="F5" s="180">
        <v>5</v>
      </c>
      <c r="G5" s="181">
        <f>F5-E5+1</f>
        <v>4</v>
      </c>
      <c r="H5" s="106">
        <f>IF(AND(H$1&gt;=$E5,H$1&lt;=$F5),$C5/$G5,0)</f>
        <v>0</v>
      </c>
      <c r="I5" s="106">
        <f t="shared" ref="I5:BT8" si="4">IF(AND(I$1&gt;=$E5,I$1&lt;=$F5),$C5/$G5,0)</f>
        <v>61250000</v>
      </c>
      <c r="J5" s="106">
        <f t="shared" si="4"/>
        <v>61250000</v>
      </c>
      <c r="K5" s="106">
        <f t="shared" si="4"/>
        <v>61250000</v>
      </c>
      <c r="L5" s="106">
        <f t="shared" si="4"/>
        <v>61250000</v>
      </c>
      <c r="M5" s="106">
        <f t="shared" si="4"/>
        <v>0</v>
      </c>
      <c r="N5" s="106">
        <f t="shared" si="4"/>
        <v>0</v>
      </c>
      <c r="O5" s="106">
        <f t="shared" si="4"/>
        <v>0</v>
      </c>
      <c r="P5" s="106">
        <f t="shared" si="4"/>
        <v>0</v>
      </c>
      <c r="Q5" s="106">
        <f t="shared" si="4"/>
        <v>0</v>
      </c>
      <c r="R5" s="106">
        <f t="shared" si="4"/>
        <v>0</v>
      </c>
      <c r="S5" s="106">
        <f t="shared" si="4"/>
        <v>0</v>
      </c>
      <c r="T5" s="106">
        <f t="shared" si="4"/>
        <v>0</v>
      </c>
      <c r="U5" s="106">
        <f t="shared" si="4"/>
        <v>0</v>
      </c>
      <c r="V5" s="106">
        <f t="shared" si="4"/>
        <v>0</v>
      </c>
      <c r="W5" s="106">
        <f t="shared" si="4"/>
        <v>0</v>
      </c>
      <c r="X5" s="106">
        <f t="shared" si="4"/>
        <v>0</v>
      </c>
      <c r="Y5" s="106">
        <f t="shared" si="4"/>
        <v>0</v>
      </c>
      <c r="Z5" s="106">
        <f t="shared" si="4"/>
        <v>0</v>
      </c>
      <c r="AA5" s="106">
        <f t="shared" si="4"/>
        <v>0</v>
      </c>
      <c r="AB5" s="106">
        <f t="shared" si="4"/>
        <v>0</v>
      </c>
      <c r="AC5" s="106">
        <f t="shared" si="4"/>
        <v>0</v>
      </c>
      <c r="AD5" s="106">
        <f t="shared" si="4"/>
        <v>0</v>
      </c>
      <c r="AE5" s="106">
        <f t="shared" si="4"/>
        <v>0</v>
      </c>
      <c r="AF5" s="106">
        <f t="shared" si="4"/>
        <v>0</v>
      </c>
      <c r="AG5" s="106">
        <f t="shared" si="4"/>
        <v>0</v>
      </c>
      <c r="AH5" s="106">
        <f t="shared" si="4"/>
        <v>0</v>
      </c>
      <c r="AI5" s="106">
        <f t="shared" si="4"/>
        <v>0</v>
      </c>
      <c r="AJ5" s="106">
        <f t="shared" si="4"/>
        <v>0</v>
      </c>
      <c r="AK5" s="106">
        <f t="shared" si="4"/>
        <v>0</v>
      </c>
      <c r="AL5" s="106">
        <f t="shared" si="4"/>
        <v>0</v>
      </c>
      <c r="AM5" s="106">
        <f t="shared" si="4"/>
        <v>0</v>
      </c>
      <c r="AN5" s="106">
        <f t="shared" si="4"/>
        <v>0</v>
      </c>
      <c r="AO5" s="106">
        <f t="shared" si="4"/>
        <v>0</v>
      </c>
      <c r="AP5" s="106">
        <f t="shared" si="4"/>
        <v>0</v>
      </c>
      <c r="AQ5" s="106">
        <f t="shared" si="4"/>
        <v>0</v>
      </c>
      <c r="AR5" s="106">
        <f t="shared" si="4"/>
        <v>0</v>
      </c>
      <c r="AS5" s="106">
        <f t="shared" si="4"/>
        <v>0</v>
      </c>
      <c r="AT5" s="106">
        <f t="shared" si="4"/>
        <v>0</v>
      </c>
      <c r="AU5" s="106">
        <f t="shared" si="4"/>
        <v>0</v>
      </c>
      <c r="AV5" s="106">
        <f t="shared" si="4"/>
        <v>0</v>
      </c>
      <c r="AW5" s="106">
        <f t="shared" si="4"/>
        <v>0</v>
      </c>
      <c r="AX5" s="106">
        <f t="shared" si="4"/>
        <v>0</v>
      </c>
      <c r="AY5" s="106">
        <f t="shared" si="4"/>
        <v>0</v>
      </c>
      <c r="AZ5" s="106">
        <f t="shared" si="4"/>
        <v>0</v>
      </c>
      <c r="BA5" s="106">
        <f t="shared" si="4"/>
        <v>0</v>
      </c>
      <c r="BB5" s="106">
        <f t="shared" si="4"/>
        <v>0</v>
      </c>
      <c r="BC5" s="106">
        <f t="shared" si="4"/>
        <v>0</v>
      </c>
      <c r="BD5" s="106">
        <f t="shared" si="4"/>
        <v>0</v>
      </c>
      <c r="BE5" s="106">
        <f t="shared" si="4"/>
        <v>0</v>
      </c>
      <c r="BF5" s="106">
        <f t="shared" si="4"/>
        <v>0</v>
      </c>
      <c r="BG5" s="106">
        <f t="shared" si="4"/>
        <v>0</v>
      </c>
      <c r="BH5" s="106">
        <f t="shared" si="4"/>
        <v>0</v>
      </c>
      <c r="BI5" s="106">
        <f t="shared" si="4"/>
        <v>0</v>
      </c>
      <c r="BJ5" s="106">
        <f t="shared" si="4"/>
        <v>0</v>
      </c>
      <c r="BK5" s="106">
        <f t="shared" si="4"/>
        <v>0</v>
      </c>
      <c r="BL5" s="106">
        <f t="shared" si="4"/>
        <v>0</v>
      </c>
      <c r="BM5" s="106">
        <f t="shared" si="4"/>
        <v>0</v>
      </c>
      <c r="BN5" s="106">
        <f t="shared" si="4"/>
        <v>0</v>
      </c>
      <c r="BO5" s="106">
        <f t="shared" si="4"/>
        <v>0</v>
      </c>
      <c r="BP5" s="106">
        <f t="shared" si="4"/>
        <v>0</v>
      </c>
      <c r="BQ5" s="106">
        <f t="shared" si="4"/>
        <v>0</v>
      </c>
      <c r="BR5" s="106">
        <f t="shared" si="4"/>
        <v>0</v>
      </c>
      <c r="BS5" s="106">
        <f t="shared" si="4"/>
        <v>0</v>
      </c>
      <c r="BT5" s="106">
        <f t="shared" si="4"/>
        <v>0</v>
      </c>
      <c r="BU5" s="106">
        <f t="shared" ref="BU5:EF8" si="5">IF(AND(BU$1&gt;=$E5,BU$1&lt;=$F5),$C5/$G5,0)</f>
        <v>0</v>
      </c>
      <c r="BV5" s="106">
        <f t="shared" si="5"/>
        <v>0</v>
      </c>
      <c r="BW5" s="106">
        <f t="shared" si="5"/>
        <v>0</v>
      </c>
      <c r="BX5" s="106">
        <f t="shared" si="5"/>
        <v>0</v>
      </c>
      <c r="BY5" s="106">
        <f t="shared" si="5"/>
        <v>0</v>
      </c>
      <c r="BZ5" s="106">
        <f t="shared" si="5"/>
        <v>0</v>
      </c>
      <c r="CA5" s="106">
        <f t="shared" si="5"/>
        <v>0</v>
      </c>
      <c r="CB5" s="106">
        <f t="shared" si="5"/>
        <v>0</v>
      </c>
      <c r="CC5" s="106">
        <f t="shared" si="5"/>
        <v>0</v>
      </c>
      <c r="CD5" s="106">
        <f t="shared" si="5"/>
        <v>0</v>
      </c>
      <c r="CE5" s="106">
        <f t="shared" si="5"/>
        <v>0</v>
      </c>
      <c r="CF5" s="106">
        <f t="shared" si="5"/>
        <v>0</v>
      </c>
      <c r="CG5" s="106">
        <f t="shared" si="5"/>
        <v>0</v>
      </c>
      <c r="CH5" s="106">
        <f t="shared" si="5"/>
        <v>0</v>
      </c>
      <c r="CI5" s="106">
        <f t="shared" si="5"/>
        <v>0</v>
      </c>
      <c r="CJ5" s="106">
        <f t="shared" si="5"/>
        <v>0</v>
      </c>
      <c r="CK5" s="106">
        <f t="shared" si="5"/>
        <v>0</v>
      </c>
      <c r="CL5" s="106">
        <f t="shared" si="5"/>
        <v>0</v>
      </c>
      <c r="CM5" s="106">
        <f t="shared" si="5"/>
        <v>0</v>
      </c>
      <c r="CN5" s="106">
        <f t="shared" si="5"/>
        <v>0</v>
      </c>
      <c r="CO5" s="106">
        <f t="shared" si="5"/>
        <v>0</v>
      </c>
      <c r="CP5" s="106">
        <f t="shared" si="5"/>
        <v>0</v>
      </c>
      <c r="CQ5" s="106">
        <f t="shared" si="5"/>
        <v>0</v>
      </c>
      <c r="CR5" s="106">
        <f t="shared" si="5"/>
        <v>0</v>
      </c>
      <c r="CS5" s="106">
        <f t="shared" si="5"/>
        <v>0</v>
      </c>
      <c r="CT5" s="106">
        <f t="shared" si="5"/>
        <v>0</v>
      </c>
      <c r="CU5" s="106">
        <f t="shared" si="5"/>
        <v>0</v>
      </c>
      <c r="CV5" s="106">
        <f t="shared" si="5"/>
        <v>0</v>
      </c>
      <c r="CW5" s="106">
        <f t="shared" si="5"/>
        <v>0</v>
      </c>
      <c r="CX5" s="106">
        <f t="shared" si="5"/>
        <v>0</v>
      </c>
      <c r="CY5" s="106">
        <f t="shared" si="5"/>
        <v>0</v>
      </c>
      <c r="CZ5" s="106">
        <f t="shared" si="5"/>
        <v>0</v>
      </c>
      <c r="DA5" s="106">
        <f t="shared" si="5"/>
        <v>0</v>
      </c>
      <c r="DB5" s="106">
        <f t="shared" si="5"/>
        <v>0</v>
      </c>
      <c r="DC5" s="106">
        <f t="shared" si="5"/>
        <v>0</v>
      </c>
      <c r="DD5" s="106">
        <f t="shared" si="5"/>
        <v>0</v>
      </c>
      <c r="DE5" s="106">
        <f t="shared" si="5"/>
        <v>0</v>
      </c>
      <c r="DF5" s="106">
        <f t="shared" si="5"/>
        <v>0</v>
      </c>
      <c r="DG5" s="106">
        <f t="shared" si="5"/>
        <v>0</v>
      </c>
      <c r="DH5" s="106">
        <f t="shared" si="5"/>
        <v>0</v>
      </c>
      <c r="DI5" s="106">
        <f t="shared" si="5"/>
        <v>0</v>
      </c>
      <c r="DJ5" s="106">
        <f t="shared" si="5"/>
        <v>0</v>
      </c>
      <c r="DK5" s="106">
        <f t="shared" si="5"/>
        <v>0</v>
      </c>
      <c r="DL5" s="106">
        <f t="shared" si="5"/>
        <v>0</v>
      </c>
      <c r="DM5" s="106">
        <f t="shared" si="5"/>
        <v>0</v>
      </c>
      <c r="DN5" s="106">
        <f t="shared" si="5"/>
        <v>0</v>
      </c>
      <c r="DO5" s="106">
        <f t="shared" si="5"/>
        <v>0</v>
      </c>
      <c r="DP5" s="106">
        <f t="shared" si="5"/>
        <v>0</v>
      </c>
      <c r="DQ5" s="106">
        <f t="shared" si="5"/>
        <v>0</v>
      </c>
      <c r="DR5" s="106">
        <f t="shared" si="5"/>
        <v>0</v>
      </c>
      <c r="DS5" s="106">
        <f t="shared" si="5"/>
        <v>0</v>
      </c>
      <c r="DT5" s="106">
        <f t="shared" si="5"/>
        <v>0</v>
      </c>
      <c r="DU5" s="106">
        <f t="shared" si="5"/>
        <v>0</v>
      </c>
      <c r="DV5" s="106">
        <f t="shared" si="5"/>
        <v>0</v>
      </c>
      <c r="DW5" s="106">
        <f t="shared" si="5"/>
        <v>0</v>
      </c>
      <c r="DX5" s="106">
        <f t="shared" si="5"/>
        <v>0</v>
      </c>
      <c r="DY5" s="106">
        <f t="shared" si="5"/>
        <v>0</v>
      </c>
      <c r="DZ5" s="106">
        <f t="shared" si="5"/>
        <v>0</v>
      </c>
      <c r="EA5" s="106">
        <f t="shared" si="5"/>
        <v>0</v>
      </c>
      <c r="EB5" s="106">
        <f t="shared" si="5"/>
        <v>0</v>
      </c>
      <c r="EC5" s="106">
        <f t="shared" si="5"/>
        <v>0</v>
      </c>
      <c r="ED5" s="106">
        <f t="shared" si="5"/>
        <v>0</v>
      </c>
      <c r="EE5" s="106">
        <f t="shared" si="5"/>
        <v>0</v>
      </c>
      <c r="EF5" s="106">
        <f t="shared" si="5"/>
        <v>0</v>
      </c>
      <c r="EG5" s="106">
        <f t="shared" ref="EG5:EI20" si="6">IF(AND(EG$1&gt;=$E5,EG$1&lt;=$F5),$C5/$G5,0)</f>
        <v>0</v>
      </c>
      <c r="EH5" s="106">
        <f t="shared" si="6"/>
        <v>0</v>
      </c>
      <c r="EI5" s="106">
        <f t="shared" si="6"/>
        <v>0</v>
      </c>
    </row>
    <row r="6" spans="1:165" x14ac:dyDescent="0.25">
      <c r="A6" s="110" t="str">
        <f t="shared" ref="A6:A21" si="7">IF(ABS(SUM(H6:EI6)-C6)&lt;0.0001,"OK","ERROR")</f>
        <v>OK</v>
      </c>
      <c r="B6" s="16" t="s">
        <v>93</v>
      </c>
      <c r="C6" s="103">
        <v>800000000</v>
      </c>
      <c r="D6" s="104">
        <f>C6/Ingresos!$A$23</f>
        <v>2285714.2857142859</v>
      </c>
      <c r="E6" s="180">
        <v>3</v>
      </c>
      <c r="F6" s="180">
        <v>7</v>
      </c>
      <c r="G6" s="181">
        <f t="shared" ref="G6:G21" si="8">F6-E6+1</f>
        <v>5</v>
      </c>
      <c r="H6" s="106">
        <f t="shared" ref="H6:W20" si="9">IF(AND(H$1&gt;=$E6,H$1&lt;=$F6),$C6/$G6,0)</f>
        <v>0</v>
      </c>
      <c r="I6" s="106">
        <f t="shared" si="4"/>
        <v>0</v>
      </c>
      <c r="J6" s="106">
        <f t="shared" si="4"/>
        <v>160000000</v>
      </c>
      <c r="K6" s="106">
        <f t="shared" si="4"/>
        <v>160000000</v>
      </c>
      <c r="L6" s="106">
        <f t="shared" si="4"/>
        <v>160000000</v>
      </c>
      <c r="M6" s="106">
        <f t="shared" si="4"/>
        <v>160000000</v>
      </c>
      <c r="N6" s="106">
        <f t="shared" si="4"/>
        <v>160000000</v>
      </c>
      <c r="O6" s="106">
        <f t="shared" si="4"/>
        <v>0</v>
      </c>
      <c r="P6" s="106">
        <f t="shared" si="4"/>
        <v>0</v>
      </c>
      <c r="Q6" s="106">
        <f t="shared" si="4"/>
        <v>0</v>
      </c>
      <c r="R6" s="106">
        <f t="shared" si="4"/>
        <v>0</v>
      </c>
      <c r="S6" s="106">
        <f t="shared" si="4"/>
        <v>0</v>
      </c>
      <c r="T6" s="106">
        <f t="shared" si="4"/>
        <v>0</v>
      </c>
      <c r="U6" s="106">
        <f t="shared" si="4"/>
        <v>0</v>
      </c>
      <c r="V6" s="106">
        <f t="shared" si="4"/>
        <v>0</v>
      </c>
      <c r="W6" s="106">
        <f t="shared" si="4"/>
        <v>0</v>
      </c>
      <c r="X6" s="106">
        <f t="shared" si="4"/>
        <v>0</v>
      </c>
      <c r="Y6" s="106">
        <f t="shared" si="4"/>
        <v>0</v>
      </c>
      <c r="Z6" s="106">
        <f t="shared" si="4"/>
        <v>0</v>
      </c>
      <c r="AA6" s="106">
        <f t="shared" si="4"/>
        <v>0</v>
      </c>
      <c r="AB6" s="106">
        <f t="shared" si="4"/>
        <v>0</v>
      </c>
      <c r="AC6" s="106">
        <f t="shared" si="4"/>
        <v>0</v>
      </c>
      <c r="AD6" s="106">
        <f t="shared" si="4"/>
        <v>0</v>
      </c>
      <c r="AE6" s="106">
        <f t="shared" si="4"/>
        <v>0</v>
      </c>
      <c r="AF6" s="106">
        <f t="shared" si="4"/>
        <v>0</v>
      </c>
      <c r="AG6" s="106">
        <f t="shared" si="4"/>
        <v>0</v>
      </c>
      <c r="AH6" s="106">
        <f t="shared" si="4"/>
        <v>0</v>
      </c>
      <c r="AI6" s="106">
        <f t="shared" si="4"/>
        <v>0</v>
      </c>
      <c r="AJ6" s="106">
        <f t="shared" si="4"/>
        <v>0</v>
      </c>
      <c r="AK6" s="106">
        <f t="shared" si="4"/>
        <v>0</v>
      </c>
      <c r="AL6" s="106">
        <f t="shared" si="4"/>
        <v>0</v>
      </c>
      <c r="AM6" s="106">
        <f t="shared" si="4"/>
        <v>0</v>
      </c>
      <c r="AN6" s="106">
        <f t="shared" si="4"/>
        <v>0</v>
      </c>
      <c r="AO6" s="106">
        <f t="shared" si="4"/>
        <v>0</v>
      </c>
      <c r="AP6" s="106">
        <f t="shared" si="4"/>
        <v>0</v>
      </c>
      <c r="AQ6" s="106">
        <f t="shared" si="4"/>
        <v>0</v>
      </c>
      <c r="AR6" s="106">
        <f t="shared" si="4"/>
        <v>0</v>
      </c>
      <c r="AS6" s="106">
        <f t="shared" si="4"/>
        <v>0</v>
      </c>
      <c r="AT6" s="106">
        <f t="shared" si="4"/>
        <v>0</v>
      </c>
      <c r="AU6" s="106">
        <f t="shared" si="4"/>
        <v>0</v>
      </c>
      <c r="AV6" s="106">
        <f t="shared" si="4"/>
        <v>0</v>
      </c>
      <c r="AW6" s="106">
        <f t="shared" si="4"/>
        <v>0</v>
      </c>
      <c r="AX6" s="106">
        <f t="shared" si="4"/>
        <v>0</v>
      </c>
      <c r="AY6" s="106">
        <f t="shared" si="4"/>
        <v>0</v>
      </c>
      <c r="AZ6" s="106">
        <f t="shared" si="4"/>
        <v>0</v>
      </c>
      <c r="BA6" s="106">
        <f t="shared" si="4"/>
        <v>0</v>
      </c>
      <c r="BB6" s="106">
        <f t="shared" si="4"/>
        <v>0</v>
      </c>
      <c r="BC6" s="106">
        <f t="shared" si="4"/>
        <v>0</v>
      </c>
      <c r="BD6" s="106">
        <f t="shared" si="4"/>
        <v>0</v>
      </c>
      <c r="BE6" s="106">
        <f t="shared" si="4"/>
        <v>0</v>
      </c>
      <c r="BF6" s="106">
        <f t="shared" si="4"/>
        <v>0</v>
      </c>
      <c r="BG6" s="106">
        <f t="shared" si="4"/>
        <v>0</v>
      </c>
      <c r="BH6" s="106">
        <f t="shared" si="4"/>
        <v>0</v>
      </c>
      <c r="BI6" s="106">
        <f t="shared" si="4"/>
        <v>0</v>
      </c>
      <c r="BJ6" s="106">
        <f t="shared" si="4"/>
        <v>0</v>
      </c>
      <c r="BK6" s="106">
        <f t="shared" si="4"/>
        <v>0</v>
      </c>
      <c r="BL6" s="106">
        <f t="shared" si="4"/>
        <v>0</v>
      </c>
      <c r="BM6" s="106">
        <f t="shared" si="4"/>
        <v>0</v>
      </c>
      <c r="BN6" s="106">
        <f t="shared" si="4"/>
        <v>0</v>
      </c>
      <c r="BO6" s="106">
        <f t="shared" si="4"/>
        <v>0</v>
      </c>
      <c r="BP6" s="106">
        <f t="shared" si="4"/>
        <v>0</v>
      </c>
      <c r="BQ6" s="106">
        <f t="shared" si="4"/>
        <v>0</v>
      </c>
      <c r="BR6" s="106">
        <f t="shared" si="4"/>
        <v>0</v>
      </c>
      <c r="BS6" s="106">
        <f t="shared" si="4"/>
        <v>0</v>
      </c>
      <c r="BT6" s="106">
        <f t="shared" si="4"/>
        <v>0</v>
      </c>
      <c r="BU6" s="106">
        <f t="shared" si="5"/>
        <v>0</v>
      </c>
      <c r="BV6" s="106">
        <f t="shared" si="5"/>
        <v>0</v>
      </c>
      <c r="BW6" s="106">
        <f t="shared" si="5"/>
        <v>0</v>
      </c>
      <c r="BX6" s="106">
        <f t="shared" si="5"/>
        <v>0</v>
      </c>
      <c r="BY6" s="106">
        <f t="shared" si="5"/>
        <v>0</v>
      </c>
      <c r="BZ6" s="106">
        <f t="shared" si="5"/>
        <v>0</v>
      </c>
      <c r="CA6" s="106">
        <f t="shared" si="5"/>
        <v>0</v>
      </c>
      <c r="CB6" s="106">
        <f t="shared" si="5"/>
        <v>0</v>
      </c>
      <c r="CC6" s="106">
        <f t="shared" si="5"/>
        <v>0</v>
      </c>
      <c r="CD6" s="106">
        <f t="shared" si="5"/>
        <v>0</v>
      </c>
      <c r="CE6" s="106">
        <f t="shared" si="5"/>
        <v>0</v>
      </c>
      <c r="CF6" s="106">
        <f t="shared" si="5"/>
        <v>0</v>
      </c>
      <c r="CG6" s="106">
        <f t="shared" si="5"/>
        <v>0</v>
      </c>
      <c r="CH6" s="106">
        <f t="shared" si="5"/>
        <v>0</v>
      </c>
      <c r="CI6" s="106">
        <f t="shared" si="5"/>
        <v>0</v>
      </c>
      <c r="CJ6" s="106">
        <f t="shared" si="5"/>
        <v>0</v>
      </c>
      <c r="CK6" s="106">
        <f t="shared" si="5"/>
        <v>0</v>
      </c>
      <c r="CL6" s="106">
        <f t="shared" si="5"/>
        <v>0</v>
      </c>
      <c r="CM6" s="106">
        <f t="shared" si="5"/>
        <v>0</v>
      </c>
      <c r="CN6" s="106">
        <f t="shared" si="5"/>
        <v>0</v>
      </c>
      <c r="CO6" s="106">
        <f t="shared" si="5"/>
        <v>0</v>
      </c>
      <c r="CP6" s="106">
        <f t="shared" si="5"/>
        <v>0</v>
      </c>
      <c r="CQ6" s="106">
        <f t="shared" si="5"/>
        <v>0</v>
      </c>
      <c r="CR6" s="106">
        <f t="shared" si="5"/>
        <v>0</v>
      </c>
      <c r="CS6" s="106">
        <f t="shared" si="5"/>
        <v>0</v>
      </c>
      <c r="CT6" s="106">
        <f t="shared" si="5"/>
        <v>0</v>
      </c>
      <c r="CU6" s="106">
        <f t="shared" si="5"/>
        <v>0</v>
      </c>
      <c r="CV6" s="106">
        <f t="shared" si="5"/>
        <v>0</v>
      </c>
      <c r="CW6" s="106">
        <f t="shared" si="5"/>
        <v>0</v>
      </c>
      <c r="CX6" s="106">
        <f t="shared" si="5"/>
        <v>0</v>
      </c>
      <c r="CY6" s="106">
        <f t="shared" si="5"/>
        <v>0</v>
      </c>
      <c r="CZ6" s="106">
        <f t="shared" si="5"/>
        <v>0</v>
      </c>
      <c r="DA6" s="106">
        <f t="shared" si="5"/>
        <v>0</v>
      </c>
      <c r="DB6" s="106">
        <f t="shared" si="5"/>
        <v>0</v>
      </c>
      <c r="DC6" s="106">
        <f t="shared" si="5"/>
        <v>0</v>
      </c>
      <c r="DD6" s="106">
        <f t="shared" si="5"/>
        <v>0</v>
      </c>
      <c r="DE6" s="106">
        <f t="shared" si="5"/>
        <v>0</v>
      </c>
      <c r="DF6" s="106">
        <f t="shared" si="5"/>
        <v>0</v>
      </c>
      <c r="DG6" s="106">
        <f t="shared" si="5"/>
        <v>0</v>
      </c>
      <c r="DH6" s="106">
        <f t="shared" si="5"/>
        <v>0</v>
      </c>
      <c r="DI6" s="106">
        <f t="shared" si="5"/>
        <v>0</v>
      </c>
      <c r="DJ6" s="106">
        <f t="shared" si="5"/>
        <v>0</v>
      </c>
      <c r="DK6" s="106">
        <f t="shared" si="5"/>
        <v>0</v>
      </c>
      <c r="DL6" s="106">
        <f t="shared" si="5"/>
        <v>0</v>
      </c>
      <c r="DM6" s="106">
        <f t="shared" si="5"/>
        <v>0</v>
      </c>
      <c r="DN6" s="106">
        <f t="shared" si="5"/>
        <v>0</v>
      </c>
      <c r="DO6" s="106">
        <f t="shared" si="5"/>
        <v>0</v>
      </c>
      <c r="DP6" s="106">
        <f t="shared" si="5"/>
        <v>0</v>
      </c>
      <c r="DQ6" s="106">
        <f t="shared" si="5"/>
        <v>0</v>
      </c>
      <c r="DR6" s="106">
        <f t="shared" si="5"/>
        <v>0</v>
      </c>
      <c r="DS6" s="106">
        <f t="shared" si="5"/>
        <v>0</v>
      </c>
      <c r="DT6" s="106">
        <f t="shared" si="5"/>
        <v>0</v>
      </c>
      <c r="DU6" s="106">
        <f t="shared" si="5"/>
        <v>0</v>
      </c>
      <c r="DV6" s="106">
        <f t="shared" si="5"/>
        <v>0</v>
      </c>
      <c r="DW6" s="106">
        <f t="shared" si="5"/>
        <v>0</v>
      </c>
      <c r="DX6" s="106">
        <f t="shared" si="5"/>
        <v>0</v>
      </c>
      <c r="DY6" s="106">
        <f t="shared" si="5"/>
        <v>0</v>
      </c>
      <c r="DZ6" s="106">
        <f t="shared" si="5"/>
        <v>0</v>
      </c>
      <c r="EA6" s="106">
        <f t="shared" si="5"/>
        <v>0</v>
      </c>
      <c r="EB6" s="106">
        <f t="shared" si="5"/>
        <v>0</v>
      </c>
      <c r="EC6" s="106">
        <f t="shared" si="5"/>
        <v>0</v>
      </c>
      <c r="ED6" s="106">
        <f t="shared" si="5"/>
        <v>0</v>
      </c>
      <c r="EE6" s="106">
        <f t="shared" si="5"/>
        <v>0</v>
      </c>
      <c r="EF6" s="106">
        <f t="shared" si="5"/>
        <v>0</v>
      </c>
      <c r="EG6" s="106">
        <f t="shared" si="6"/>
        <v>0</v>
      </c>
      <c r="EH6" s="106">
        <f t="shared" si="6"/>
        <v>0</v>
      </c>
      <c r="EI6" s="106">
        <f t="shared" si="6"/>
        <v>0</v>
      </c>
    </row>
    <row r="7" spans="1:165" x14ac:dyDescent="0.25">
      <c r="A7" s="110" t="str">
        <f t="shared" si="7"/>
        <v>OK</v>
      </c>
      <c r="B7" s="16" t="s">
        <v>94</v>
      </c>
      <c r="C7" s="103">
        <v>252500000</v>
      </c>
      <c r="D7" s="104">
        <f>C7/Ingresos!$A$23</f>
        <v>721428.57142857148</v>
      </c>
      <c r="E7" s="180">
        <v>6</v>
      </c>
      <c r="F7" s="180">
        <v>9</v>
      </c>
      <c r="G7" s="181">
        <f t="shared" si="8"/>
        <v>4</v>
      </c>
      <c r="H7" s="106">
        <f t="shared" si="9"/>
        <v>0</v>
      </c>
      <c r="I7" s="106">
        <f t="shared" si="4"/>
        <v>0</v>
      </c>
      <c r="J7" s="106">
        <f t="shared" si="4"/>
        <v>0</v>
      </c>
      <c r="K7" s="106">
        <f t="shared" si="4"/>
        <v>0</v>
      </c>
      <c r="L7" s="106">
        <f t="shared" si="4"/>
        <v>0</v>
      </c>
      <c r="M7" s="106">
        <f t="shared" si="4"/>
        <v>63125000</v>
      </c>
      <c r="N7" s="106">
        <f t="shared" si="4"/>
        <v>63125000</v>
      </c>
      <c r="O7" s="106">
        <f t="shared" si="4"/>
        <v>63125000</v>
      </c>
      <c r="P7" s="106">
        <f t="shared" si="4"/>
        <v>63125000</v>
      </c>
      <c r="Q7" s="106">
        <f t="shared" si="4"/>
        <v>0</v>
      </c>
      <c r="R7" s="106">
        <f t="shared" si="4"/>
        <v>0</v>
      </c>
      <c r="S7" s="106">
        <f t="shared" si="4"/>
        <v>0</v>
      </c>
      <c r="T7" s="106">
        <f t="shared" si="4"/>
        <v>0</v>
      </c>
      <c r="U7" s="106">
        <f t="shared" si="4"/>
        <v>0</v>
      </c>
      <c r="V7" s="106">
        <f t="shared" si="4"/>
        <v>0</v>
      </c>
      <c r="W7" s="106">
        <f t="shared" si="4"/>
        <v>0</v>
      </c>
      <c r="X7" s="106">
        <f t="shared" si="4"/>
        <v>0</v>
      </c>
      <c r="Y7" s="106">
        <f t="shared" si="4"/>
        <v>0</v>
      </c>
      <c r="Z7" s="106">
        <f t="shared" si="4"/>
        <v>0</v>
      </c>
      <c r="AA7" s="106">
        <f t="shared" si="4"/>
        <v>0</v>
      </c>
      <c r="AB7" s="106">
        <f t="shared" si="4"/>
        <v>0</v>
      </c>
      <c r="AC7" s="106">
        <f t="shared" si="4"/>
        <v>0</v>
      </c>
      <c r="AD7" s="106">
        <f t="shared" si="4"/>
        <v>0</v>
      </c>
      <c r="AE7" s="106">
        <f t="shared" si="4"/>
        <v>0</v>
      </c>
      <c r="AF7" s="106">
        <f t="shared" si="4"/>
        <v>0</v>
      </c>
      <c r="AG7" s="106">
        <f t="shared" si="4"/>
        <v>0</v>
      </c>
      <c r="AH7" s="106">
        <f t="shared" si="4"/>
        <v>0</v>
      </c>
      <c r="AI7" s="106">
        <f t="shared" si="4"/>
        <v>0</v>
      </c>
      <c r="AJ7" s="106">
        <f t="shared" si="4"/>
        <v>0</v>
      </c>
      <c r="AK7" s="106">
        <f t="shared" si="4"/>
        <v>0</v>
      </c>
      <c r="AL7" s="106">
        <f t="shared" si="4"/>
        <v>0</v>
      </c>
      <c r="AM7" s="106">
        <f t="shared" si="4"/>
        <v>0</v>
      </c>
      <c r="AN7" s="106">
        <f t="shared" si="4"/>
        <v>0</v>
      </c>
      <c r="AO7" s="106">
        <f t="shared" si="4"/>
        <v>0</v>
      </c>
      <c r="AP7" s="106">
        <f t="shared" si="4"/>
        <v>0</v>
      </c>
      <c r="AQ7" s="106">
        <f t="shared" si="4"/>
        <v>0</v>
      </c>
      <c r="AR7" s="106">
        <f t="shared" si="4"/>
        <v>0</v>
      </c>
      <c r="AS7" s="106">
        <f t="shared" si="4"/>
        <v>0</v>
      </c>
      <c r="AT7" s="106">
        <f t="shared" si="4"/>
        <v>0</v>
      </c>
      <c r="AU7" s="106">
        <f t="shared" si="4"/>
        <v>0</v>
      </c>
      <c r="AV7" s="106">
        <f t="shared" si="4"/>
        <v>0</v>
      </c>
      <c r="AW7" s="106">
        <f t="shared" si="4"/>
        <v>0</v>
      </c>
      <c r="AX7" s="106">
        <f t="shared" si="4"/>
        <v>0</v>
      </c>
      <c r="AY7" s="106">
        <f t="shared" si="4"/>
        <v>0</v>
      </c>
      <c r="AZ7" s="106">
        <f t="shared" si="4"/>
        <v>0</v>
      </c>
      <c r="BA7" s="106">
        <f t="shared" si="4"/>
        <v>0</v>
      </c>
      <c r="BB7" s="106">
        <f t="shared" si="4"/>
        <v>0</v>
      </c>
      <c r="BC7" s="106">
        <f t="shared" si="4"/>
        <v>0</v>
      </c>
      <c r="BD7" s="106">
        <f t="shared" si="4"/>
        <v>0</v>
      </c>
      <c r="BE7" s="106">
        <f t="shared" si="4"/>
        <v>0</v>
      </c>
      <c r="BF7" s="106">
        <f t="shared" si="4"/>
        <v>0</v>
      </c>
      <c r="BG7" s="106">
        <f t="shared" si="4"/>
        <v>0</v>
      </c>
      <c r="BH7" s="106">
        <f t="shared" si="4"/>
        <v>0</v>
      </c>
      <c r="BI7" s="106">
        <f t="shared" si="4"/>
        <v>0</v>
      </c>
      <c r="BJ7" s="106">
        <f t="shared" si="4"/>
        <v>0</v>
      </c>
      <c r="BK7" s="106">
        <f t="shared" si="4"/>
        <v>0</v>
      </c>
      <c r="BL7" s="106">
        <f t="shared" si="4"/>
        <v>0</v>
      </c>
      <c r="BM7" s="106">
        <f t="shared" si="4"/>
        <v>0</v>
      </c>
      <c r="BN7" s="106">
        <f t="shared" si="4"/>
        <v>0</v>
      </c>
      <c r="BO7" s="106">
        <f t="shared" si="4"/>
        <v>0</v>
      </c>
      <c r="BP7" s="106">
        <f t="shared" si="4"/>
        <v>0</v>
      </c>
      <c r="BQ7" s="106">
        <f t="shared" si="4"/>
        <v>0</v>
      </c>
      <c r="BR7" s="106">
        <f t="shared" si="4"/>
        <v>0</v>
      </c>
      <c r="BS7" s="106">
        <f t="shared" si="4"/>
        <v>0</v>
      </c>
      <c r="BT7" s="106">
        <f t="shared" si="4"/>
        <v>0</v>
      </c>
      <c r="BU7" s="106">
        <f t="shared" si="5"/>
        <v>0</v>
      </c>
      <c r="BV7" s="106">
        <f t="shared" si="5"/>
        <v>0</v>
      </c>
      <c r="BW7" s="106">
        <f t="shared" si="5"/>
        <v>0</v>
      </c>
      <c r="BX7" s="106">
        <f t="shared" si="5"/>
        <v>0</v>
      </c>
      <c r="BY7" s="106">
        <f t="shared" si="5"/>
        <v>0</v>
      </c>
      <c r="BZ7" s="106">
        <f t="shared" si="5"/>
        <v>0</v>
      </c>
      <c r="CA7" s="106">
        <f t="shared" si="5"/>
        <v>0</v>
      </c>
      <c r="CB7" s="106">
        <f t="shared" si="5"/>
        <v>0</v>
      </c>
      <c r="CC7" s="106">
        <f t="shared" si="5"/>
        <v>0</v>
      </c>
      <c r="CD7" s="106">
        <f t="shared" si="5"/>
        <v>0</v>
      </c>
      <c r="CE7" s="106">
        <f t="shared" si="5"/>
        <v>0</v>
      </c>
      <c r="CF7" s="106">
        <f t="shared" si="5"/>
        <v>0</v>
      </c>
      <c r="CG7" s="106">
        <f t="shared" si="5"/>
        <v>0</v>
      </c>
      <c r="CH7" s="106">
        <f t="shared" si="5"/>
        <v>0</v>
      </c>
      <c r="CI7" s="106">
        <f t="shared" si="5"/>
        <v>0</v>
      </c>
      <c r="CJ7" s="106">
        <f t="shared" si="5"/>
        <v>0</v>
      </c>
      <c r="CK7" s="106">
        <f t="shared" si="5"/>
        <v>0</v>
      </c>
      <c r="CL7" s="106">
        <f t="shared" si="5"/>
        <v>0</v>
      </c>
      <c r="CM7" s="106">
        <f t="shared" si="5"/>
        <v>0</v>
      </c>
      <c r="CN7" s="106">
        <f t="shared" si="5"/>
        <v>0</v>
      </c>
      <c r="CO7" s="106">
        <f t="shared" si="5"/>
        <v>0</v>
      </c>
      <c r="CP7" s="106">
        <f t="shared" si="5"/>
        <v>0</v>
      </c>
      <c r="CQ7" s="106">
        <f t="shared" si="5"/>
        <v>0</v>
      </c>
      <c r="CR7" s="106">
        <f t="shared" si="5"/>
        <v>0</v>
      </c>
      <c r="CS7" s="106">
        <f t="shared" si="5"/>
        <v>0</v>
      </c>
      <c r="CT7" s="106">
        <f t="shared" si="5"/>
        <v>0</v>
      </c>
      <c r="CU7" s="106">
        <f t="shared" si="5"/>
        <v>0</v>
      </c>
      <c r="CV7" s="106">
        <f t="shared" si="5"/>
        <v>0</v>
      </c>
      <c r="CW7" s="106">
        <f t="shared" si="5"/>
        <v>0</v>
      </c>
      <c r="CX7" s="106">
        <f t="shared" si="5"/>
        <v>0</v>
      </c>
      <c r="CY7" s="106">
        <f t="shared" si="5"/>
        <v>0</v>
      </c>
      <c r="CZ7" s="106">
        <f t="shared" si="5"/>
        <v>0</v>
      </c>
      <c r="DA7" s="106">
        <f t="shared" si="5"/>
        <v>0</v>
      </c>
      <c r="DB7" s="106">
        <f t="shared" si="5"/>
        <v>0</v>
      </c>
      <c r="DC7" s="106">
        <f t="shared" si="5"/>
        <v>0</v>
      </c>
      <c r="DD7" s="106">
        <f t="shared" si="5"/>
        <v>0</v>
      </c>
      <c r="DE7" s="106">
        <f t="shared" si="5"/>
        <v>0</v>
      </c>
      <c r="DF7" s="106">
        <f t="shared" si="5"/>
        <v>0</v>
      </c>
      <c r="DG7" s="106">
        <f t="shared" si="5"/>
        <v>0</v>
      </c>
      <c r="DH7" s="106">
        <f t="shared" si="5"/>
        <v>0</v>
      </c>
      <c r="DI7" s="106">
        <f t="shared" si="5"/>
        <v>0</v>
      </c>
      <c r="DJ7" s="106">
        <f t="shared" si="5"/>
        <v>0</v>
      </c>
      <c r="DK7" s="106">
        <f t="shared" si="5"/>
        <v>0</v>
      </c>
      <c r="DL7" s="106">
        <f t="shared" si="5"/>
        <v>0</v>
      </c>
      <c r="DM7" s="106">
        <f t="shared" si="5"/>
        <v>0</v>
      </c>
      <c r="DN7" s="106">
        <f t="shared" si="5"/>
        <v>0</v>
      </c>
      <c r="DO7" s="106">
        <f t="shared" si="5"/>
        <v>0</v>
      </c>
      <c r="DP7" s="106">
        <f t="shared" si="5"/>
        <v>0</v>
      </c>
      <c r="DQ7" s="106">
        <f t="shared" si="5"/>
        <v>0</v>
      </c>
      <c r="DR7" s="106">
        <f t="shared" si="5"/>
        <v>0</v>
      </c>
      <c r="DS7" s="106">
        <f t="shared" si="5"/>
        <v>0</v>
      </c>
      <c r="DT7" s="106">
        <f t="shared" si="5"/>
        <v>0</v>
      </c>
      <c r="DU7" s="106">
        <f t="shared" si="5"/>
        <v>0</v>
      </c>
      <c r="DV7" s="106">
        <f t="shared" si="5"/>
        <v>0</v>
      </c>
      <c r="DW7" s="106">
        <f t="shared" si="5"/>
        <v>0</v>
      </c>
      <c r="DX7" s="106">
        <f t="shared" si="5"/>
        <v>0</v>
      </c>
      <c r="DY7" s="106">
        <f t="shared" si="5"/>
        <v>0</v>
      </c>
      <c r="DZ7" s="106">
        <f t="shared" si="5"/>
        <v>0</v>
      </c>
      <c r="EA7" s="106">
        <f t="shared" si="5"/>
        <v>0</v>
      </c>
      <c r="EB7" s="106">
        <f t="shared" si="5"/>
        <v>0</v>
      </c>
      <c r="EC7" s="106">
        <f t="shared" si="5"/>
        <v>0</v>
      </c>
      <c r="ED7" s="106">
        <f t="shared" si="5"/>
        <v>0</v>
      </c>
      <c r="EE7" s="106">
        <f t="shared" si="5"/>
        <v>0</v>
      </c>
      <c r="EF7" s="106">
        <f t="shared" si="5"/>
        <v>0</v>
      </c>
      <c r="EG7" s="106">
        <f t="shared" si="6"/>
        <v>0</v>
      </c>
      <c r="EH7" s="106">
        <f t="shared" si="6"/>
        <v>0</v>
      </c>
      <c r="EI7" s="106">
        <f t="shared" si="6"/>
        <v>0</v>
      </c>
    </row>
    <row r="8" spans="1:165" x14ac:dyDescent="0.25">
      <c r="A8" s="110" t="str">
        <f t="shared" si="7"/>
        <v>OK</v>
      </c>
      <c r="B8" s="16" t="s">
        <v>95</v>
      </c>
      <c r="C8" s="103">
        <v>50500000</v>
      </c>
      <c r="D8" s="104">
        <f>C8/Ingresos!$A$23</f>
        <v>144285.71428571429</v>
      </c>
      <c r="E8" s="180">
        <v>10</v>
      </c>
      <c r="F8" s="180">
        <v>12</v>
      </c>
      <c r="G8" s="181">
        <f t="shared" si="8"/>
        <v>3</v>
      </c>
      <c r="H8" s="106">
        <f t="shared" si="9"/>
        <v>0</v>
      </c>
      <c r="I8" s="106">
        <f t="shared" si="4"/>
        <v>0</v>
      </c>
      <c r="J8" s="106">
        <f t="shared" si="4"/>
        <v>0</v>
      </c>
      <c r="K8" s="106">
        <f t="shared" si="4"/>
        <v>0</v>
      </c>
      <c r="L8" s="106">
        <f t="shared" si="4"/>
        <v>0</v>
      </c>
      <c r="M8" s="106">
        <f t="shared" si="4"/>
        <v>0</v>
      </c>
      <c r="N8" s="106">
        <f t="shared" si="4"/>
        <v>0</v>
      </c>
      <c r="O8" s="106">
        <f t="shared" si="4"/>
        <v>0</v>
      </c>
      <c r="P8" s="106">
        <f t="shared" si="4"/>
        <v>0</v>
      </c>
      <c r="Q8" s="106">
        <f t="shared" si="4"/>
        <v>16833333.333333332</v>
      </c>
      <c r="R8" s="106">
        <f t="shared" si="4"/>
        <v>16833333.333333332</v>
      </c>
      <c r="S8" s="106">
        <f t="shared" si="4"/>
        <v>16833333.333333332</v>
      </c>
      <c r="T8" s="106">
        <f t="shared" si="4"/>
        <v>0</v>
      </c>
      <c r="U8" s="106">
        <f t="shared" si="4"/>
        <v>0</v>
      </c>
      <c r="V8" s="106">
        <f t="shared" si="4"/>
        <v>0</v>
      </c>
      <c r="W8" s="106">
        <f t="shared" si="4"/>
        <v>0</v>
      </c>
      <c r="X8" s="106">
        <f t="shared" si="4"/>
        <v>0</v>
      </c>
      <c r="Y8" s="106">
        <f t="shared" si="4"/>
        <v>0</v>
      </c>
      <c r="Z8" s="106">
        <f t="shared" si="4"/>
        <v>0</v>
      </c>
      <c r="AA8" s="106">
        <f t="shared" si="4"/>
        <v>0</v>
      </c>
      <c r="AB8" s="106">
        <f t="shared" si="4"/>
        <v>0</v>
      </c>
      <c r="AC8" s="106">
        <f t="shared" si="4"/>
        <v>0</v>
      </c>
      <c r="AD8" s="106">
        <f t="shared" si="4"/>
        <v>0</v>
      </c>
      <c r="AE8" s="106">
        <f t="shared" si="4"/>
        <v>0</v>
      </c>
      <c r="AF8" s="106">
        <f t="shared" si="4"/>
        <v>0</v>
      </c>
      <c r="AG8" s="106">
        <f t="shared" si="4"/>
        <v>0</v>
      </c>
      <c r="AH8" s="106">
        <f t="shared" si="4"/>
        <v>0</v>
      </c>
      <c r="AI8" s="106">
        <f t="shared" si="4"/>
        <v>0</v>
      </c>
      <c r="AJ8" s="106">
        <f t="shared" si="4"/>
        <v>0</v>
      </c>
      <c r="AK8" s="106">
        <f t="shared" si="4"/>
        <v>0</v>
      </c>
      <c r="AL8" s="106">
        <f t="shared" si="4"/>
        <v>0</v>
      </c>
      <c r="AM8" s="106">
        <f t="shared" si="4"/>
        <v>0</v>
      </c>
      <c r="AN8" s="106">
        <f t="shared" si="4"/>
        <v>0</v>
      </c>
      <c r="AO8" s="106">
        <f t="shared" si="4"/>
        <v>0</v>
      </c>
      <c r="AP8" s="106">
        <f t="shared" si="4"/>
        <v>0</v>
      </c>
      <c r="AQ8" s="106">
        <f t="shared" si="4"/>
        <v>0</v>
      </c>
      <c r="AR8" s="106">
        <f t="shared" si="4"/>
        <v>0</v>
      </c>
      <c r="AS8" s="106">
        <f t="shared" si="4"/>
        <v>0</v>
      </c>
      <c r="AT8" s="106">
        <f t="shared" si="4"/>
        <v>0</v>
      </c>
      <c r="AU8" s="106">
        <f t="shared" si="4"/>
        <v>0</v>
      </c>
      <c r="AV8" s="106">
        <f t="shared" si="4"/>
        <v>0</v>
      </c>
      <c r="AW8" s="106">
        <f t="shared" si="4"/>
        <v>0</v>
      </c>
      <c r="AX8" s="106">
        <f t="shared" si="4"/>
        <v>0</v>
      </c>
      <c r="AY8" s="106">
        <f t="shared" si="4"/>
        <v>0</v>
      </c>
      <c r="AZ8" s="106">
        <f t="shared" si="4"/>
        <v>0</v>
      </c>
      <c r="BA8" s="106">
        <f t="shared" si="4"/>
        <v>0</v>
      </c>
      <c r="BB8" s="106">
        <f t="shared" si="4"/>
        <v>0</v>
      </c>
      <c r="BC8" s="106">
        <f t="shared" si="4"/>
        <v>0</v>
      </c>
      <c r="BD8" s="106">
        <f t="shared" si="4"/>
        <v>0</v>
      </c>
      <c r="BE8" s="106">
        <f t="shared" si="4"/>
        <v>0</v>
      </c>
      <c r="BF8" s="106">
        <f t="shared" si="4"/>
        <v>0</v>
      </c>
      <c r="BG8" s="106">
        <f t="shared" si="4"/>
        <v>0</v>
      </c>
      <c r="BH8" s="106">
        <f t="shared" si="4"/>
        <v>0</v>
      </c>
      <c r="BI8" s="106">
        <f t="shared" si="4"/>
        <v>0</v>
      </c>
      <c r="BJ8" s="106">
        <f t="shared" si="4"/>
        <v>0</v>
      </c>
      <c r="BK8" s="106">
        <f t="shared" si="4"/>
        <v>0</v>
      </c>
      <c r="BL8" s="106">
        <f t="shared" si="4"/>
        <v>0</v>
      </c>
      <c r="BM8" s="106">
        <f t="shared" si="4"/>
        <v>0</v>
      </c>
      <c r="BN8" s="106">
        <f t="shared" si="4"/>
        <v>0</v>
      </c>
      <c r="BO8" s="106">
        <f t="shared" si="4"/>
        <v>0</v>
      </c>
      <c r="BP8" s="106">
        <f t="shared" si="4"/>
        <v>0</v>
      </c>
      <c r="BQ8" s="106">
        <f t="shared" si="4"/>
        <v>0</v>
      </c>
      <c r="BR8" s="106">
        <f t="shared" si="4"/>
        <v>0</v>
      </c>
      <c r="BS8" s="106">
        <f t="shared" si="4"/>
        <v>0</v>
      </c>
      <c r="BT8" s="106">
        <f t="shared" ref="I8:BT12" si="10">IF(AND(BT$1&gt;=$E8,BT$1&lt;=$F8),$C8/$G8,0)</f>
        <v>0</v>
      </c>
      <c r="BU8" s="106">
        <f t="shared" si="5"/>
        <v>0</v>
      </c>
      <c r="BV8" s="106">
        <f t="shared" si="5"/>
        <v>0</v>
      </c>
      <c r="BW8" s="106">
        <f t="shared" si="5"/>
        <v>0</v>
      </c>
      <c r="BX8" s="106">
        <f t="shared" si="5"/>
        <v>0</v>
      </c>
      <c r="BY8" s="106">
        <f t="shared" si="5"/>
        <v>0</v>
      </c>
      <c r="BZ8" s="106">
        <f t="shared" si="5"/>
        <v>0</v>
      </c>
      <c r="CA8" s="106">
        <f t="shared" si="5"/>
        <v>0</v>
      </c>
      <c r="CB8" s="106">
        <f t="shared" si="5"/>
        <v>0</v>
      </c>
      <c r="CC8" s="106">
        <f t="shared" si="5"/>
        <v>0</v>
      </c>
      <c r="CD8" s="106">
        <f t="shared" si="5"/>
        <v>0</v>
      </c>
      <c r="CE8" s="106">
        <f t="shared" si="5"/>
        <v>0</v>
      </c>
      <c r="CF8" s="106">
        <f t="shared" si="5"/>
        <v>0</v>
      </c>
      <c r="CG8" s="106">
        <f t="shared" si="5"/>
        <v>0</v>
      </c>
      <c r="CH8" s="106">
        <f t="shared" si="5"/>
        <v>0</v>
      </c>
      <c r="CI8" s="106">
        <f t="shared" si="5"/>
        <v>0</v>
      </c>
      <c r="CJ8" s="106">
        <f t="shared" si="5"/>
        <v>0</v>
      </c>
      <c r="CK8" s="106">
        <f t="shared" si="5"/>
        <v>0</v>
      </c>
      <c r="CL8" s="106">
        <f t="shared" si="5"/>
        <v>0</v>
      </c>
      <c r="CM8" s="106">
        <f t="shared" si="5"/>
        <v>0</v>
      </c>
      <c r="CN8" s="106">
        <f t="shared" si="5"/>
        <v>0</v>
      </c>
      <c r="CO8" s="106">
        <f t="shared" si="5"/>
        <v>0</v>
      </c>
      <c r="CP8" s="106">
        <f t="shared" si="5"/>
        <v>0</v>
      </c>
      <c r="CQ8" s="106">
        <f t="shared" si="5"/>
        <v>0</v>
      </c>
      <c r="CR8" s="106">
        <f t="shared" si="5"/>
        <v>0</v>
      </c>
      <c r="CS8" s="106">
        <f t="shared" si="5"/>
        <v>0</v>
      </c>
      <c r="CT8" s="106">
        <f t="shared" si="5"/>
        <v>0</v>
      </c>
      <c r="CU8" s="106">
        <f t="shared" si="5"/>
        <v>0</v>
      </c>
      <c r="CV8" s="106">
        <f t="shared" si="5"/>
        <v>0</v>
      </c>
      <c r="CW8" s="106">
        <f t="shared" si="5"/>
        <v>0</v>
      </c>
      <c r="CX8" s="106">
        <f t="shared" si="5"/>
        <v>0</v>
      </c>
      <c r="CY8" s="106">
        <f t="shared" si="5"/>
        <v>0</v>
      </c>
      <c r="CZ8" s="106">
        <f t="shared" si="5"/>
        <v>0</v>
      </c>
      <c r="DA8" s="106">
        <f t="shared" si="5"/>
        <v>0</v>
      </c>
      <c r="DB8" s="106">
        <f t="shared" si="5"/>
        <v>0</v>
      </c>
      <c r="DC8" s="106">
        <f t="shared" si="5"/>
        <v>0</v>
      </c>
      <c r="DD8" s="106">
        <f t="shared" si="5"/>
        <v>0</v>
      </c>
      <c r="DE8" s="106">
        <f t="shared" si="5"/>
        <v>0</v>
      </c>
      <c r="DF8" s="106">
        <f t="shared" si="5"/>
        <v>0</v>
      </c>
      <c r="DG8" s="106">
        <f t="shared" si="5"/>
        <v>0</v>
      </c>
      <c r="DH8" s="106">
        <f t="shared" si="5"/>
        <v>0</v>
      </c>
      <c r="DI8" s="106">
        <f t="shared" si="5"/>
        <v>0</v>
      </c>
      <c r="DJ8" s="106">
        <f t="shared" si="5"/>
        <v>0</v>
      </c>
      <c r="DK8" s="106">
        <f t="shared" si="5"/>
        <v>0</v>
      </c>
      <c r="DL8" s="106">
        <f t="shared" si="5"/>
        <v>0</v>
      </c>
      <c r="DM8" s="106">
        <f t="shared" si="5"/>
        <v>0</v>
      </c>
      <c r="DN8" s="106">
        <f t="shared" si="5"/>
        <v>0</v>
      </c>
      <c r="DO8" s="106">
        <f t="shared" si="5"/>
        <v>0</v>
      </c>
      <c r="DP8" s="106">
        <f t="shared" si="5"/>
        <v>0</v>
      </c>
      <c r="DQ8" s="106">
        <f t="shared" si="5"/>
        <v>0</v>
      </c>
      <c r="DR8" s="106">
        <f t="shared" si="5"/>
        <v>0</v>
      </c>
      <c r="DS8" s="106">
        <f t="shared" si="5"/>
        <v>0</v>
      </c>
      <c r="DT8" s="106">
        <f t="shared" si="5"/>
        <v>0</v>
      </c>
      <c r="DU8" s="106">
        <f t="shared" si="5"/>
        <v>0</v>
      </c>
      <c r="DV8" s="106">
        <f t="shared" si="5"/>
        <v>0</v>
      </c>
      <c r="DW8" s="106">
        <f t="shared" si="5"/>
        <v>0</v>
      </c>
      <c r="DX8" s="106">
        <f t="shared" si="5"/>
        <v>0</v>
      </c>
      <c r="DY8" s="106">
        <f t="shared" si="5"/>
        <v>0</v>
      </c>
      <c r="DZ8" s="106">
        <f t="shared" si="5"/>
        <v>0</v>
      </c>
      <c r="EA8" s="106">
        <f t="shared" si="5"/>
        <v>0</v>
      </c>
      <c r="EB8" s="106">
        <f t="shared" si="5"/>
        <v>0</v>
      </c>
      <c r="EC8" s="106">
        <f t="shared" si="5"/>
        <v>0</v>
      </c>
      <c r="ED8" s="106">
        <f t="shared" si="5"/>
        <v>0</v>
      </c>
      <c r="EE8" s="106">
        <f t="shared" si="5"/>
        <v>0</v>
      </c>
      <c r="EF8" s="106">
        <f t="shared" ref="BU8:EF12" si="11">IF(AND(EF$1&gt;=$E8,EF$1&lt;=$F8),$C8/$G8,0)</f>
        <v>0</v>
      </c>
      <c r="EG8" s="106">
        <f t="shared" si="6"/>
        <v>0</v>
      </c>
      <c r="EH8" s="106">
        <f t="shared" si="6"/>
        <v>0</v>
      </c>
      <c r="EI8" s="106">
        <f t="shared" si="6"/>
        <v>0</v>
      </c>
    </row>
    <row r="9" spans="1:165" x14ac:dyDescent="0.25">
      <c r="A9" s="110" t="str">
        <f t="shared" si="7"/>
        <v>OK</v>
      </c>
      <c r="B9" s="16" t="s">
        <v>96</v>
      </c>
      <c r="C9" s="103">
        <f>+SUM(C5:C8)*10%</f>
        <v>134800000</v>
      </c>
      <c r="D9" s="104">
        <f>C9/Ingresos!$A$23</f>
        <v>385142.85714285716</v>
      </c>
      <c r="E9" s="180">
        <v>2</v>
      </c>
      <c r="F9" s="180">
        <v>12</v>
      </c>
      <c r="G9" s="181">
        <f t="shared" si="8"/>
        <v>11</v>
      </c>
      <c r="H9" s="106">
        <f t="shared" si="9"/>
        <v>0</v>
      </c>
      <c r="I9" s="106">
        <f t="shared" si="10"/>
        <v>12254545.454545455</v>
      </c>
      <c r="J9" s="106">
        <f t="shared" si="10"/>
        <v>12254545.454545455</v>
      </c>
      <c r="K9" s="106">
        <f t="shared" si="10"/>
        <v>12254545.454545455</v>
      </c>
      <c r="L9" s="106">
        <f t="shared" si="10"/>
        <v>12254545.454545455</v>
      </c>
      <c r="M9" s="106">
        <f t="shared" si="10"/>
        <v>12254545.454545455</v>
      </c>
      <c r="N9" s="106">
        <f t="shared" si="10"/>
        <v>12254545.454545455</v>
      </c>
      <c r="O9" s="106">
        <f t="shared" si="10"/>
        <v>12254545.454545455</v>
      </c>
      <c r="P9" s="106">
        <f t="shared" si="10"/>
        <v>12254545.454545455</v>
      </c>
      <c r="Q9" s="106">
        <f t="shared" si="10"/>
        <v>12254545.454545455</v>
      </c>
      <c r="R9" s="106">
        <f t="shared" si="10"/>
        <v>12254545.454545455</v>
      </c>
      <c r="S9" s="106">
        <f t="shared" si="10"/>
        <v>12254545.454545455</v>
      </c>
      <c r="T9" s="106">
        <f t="shared" si="10"/>
        <v>0</v>
      </c>
      <c r="U9" s="106">
        <f t="shared" si="10"/>
        <v>0</v>
      </c>
      <c r="V9" s="106">
        <f t="shared" si="10"/>
        <v>0</v>
      </c>
      <c r="W9" s="106">
        <f t="shared" si="10"/>
        <v>0</v>
      </c>
      <c r="X9" s="106">
        <f t="shared" si="10"/>
        <v>0</v>
      </c>
      <c r="Y9" s="106">
        <f t="shared" si="10"/>
        <v>0</v>
      </c>
      <c r="Z9" s="106">
        <f t="shared" si="10"/>
        <v>0</v>
      </c>
      <c r="AA9" s="106">
        <f t="shared" si="10"/>
        <v>0</v>
      </c>
      <c r="AB9" s="106">
        <f t="shared" si="10"/>
        <v>0</v>
      </c>
      <c r="AC9" s="106">
        <f t="shared" si="10"/>
        <v>0</v>
      </c>
      <c r="AD9" s="106">
        <f t="shared" si="10"/>
        <v>0</v>
      </c>
      <c r="AE9" s="106">
        <f t="shared" si="10"/>
        <v>0</v>
      </c>
      <c r="AF9" s="106">
        <f t="shared" si="10"/>
        <v>0</v>
      </c>
      <c r="AG9" s="106">
        <f t="shared" si="10"/>
        <v>0</v>
      </c>
      <c r="AH9" s="106">
        <f t="shared" si="10"/>
        <v>0</v>
      </c>
      <c r="AI9" s="106">
        <f t="shared" si="10"/>
        <v>0</v>
      </c>
      <c r="AJ9" s="106">
        <f t="shared" si="10"/>
        <v>0</v>
      </c>
      <c r="AK9" s="106">
        <f t="shared" si="10"/>
        <v>0</v>
      </c>
      <c r="AL9" s="106">
        <f t="shared" si="10"/>
        <v>0</v>
      </c>
      <c r="AM9" s="106">
        <f t="shared" si="10"/>
        <v>0</v>
      </c>
      <c r="AN9" s="106">
        <f t="shared" si="10"/>
        <v>0</v>
      </c>
      <c r="AO9" s="106">
        <f t="shared" si="10"/>
        <v>0</v>
      </c>
      <c r="AP9" s="106">
        <f t="shared" si="10"/>
        <v>0</v>
      </c>
      <c r="AQ9" s="106">
        <f t="shared" si="10"/>
        <v>0</v>
      </c>
      <c r="AR9" s="106">
        <f t="shared" si="10"/>
        <v>0</v>
      </c>
      <c r="AS9" s="106">
        <f t="shared" si="10"/>
        <v>0</v>
      </c>
      <c r="AT9" s="106">
        <f t="shared" si="10"/>
        <v>0</v>
      </c>
      <c r="AU9" s="106">
        <f t="shared" si="10"/>
        <v>0</v>
      </c>
      <c r="AV9" s="106">
        <f t="shared" si="10"/>
        <v>0</v>
      </c>
      <c r="AW9" s="106">
        <f t="shared" si="10"/>
        <v>0</v>
      </c>
      <c r="AX9" s="106">
        <f t="shared" si="10"/>
        <v>0</v>
      </c>
      <c r="AY9" s="106">
        <f t="shared" si="10"/>
        <v>0</v>
      </c>
      <c r="AZ9" s="106">
        <f t="shared" si="10"/>
        <v>0</v>
      </c>
      <c r="BA9" s="106">
        <f t="shared" si="10"/>
        <v>0</v>
      </c>
      <c r="BB9" s="106">
        <f t="shared" si="10"/>
        <v>0</v>
      </c>
      <c r="BC9" s="106">
        <f t="shared" si="10"/>
        <v>0</v>
      </c>
      <c r="BD9" s="106">
        <f t="shared" si="10"/>
        <v>0</v>
      </c>
      <c r="BE9" s="106">
        <f t="shared" si="10"/>
        <v>0</v>
      </c>
      <c r="BF9" s="106">
        <f t="shared" si="10"/>
        <v>0</v>
      </c>
      <c r="BG9" s="106">
        <f t="shared" si="10"/>
        <v>0</v>
      </c>
      <c r="BH9" s="106">
        <f t="shared" si="10"/>
        <v>0</v>
      </c>
      <c r="BI9" s="106">
        <f t="shared" si="10"/>
        <v>0</v>
      </c>
      <c r="BJ9" s="106">
        <f t="shared" si="10"/>
        <v>0</v>
      </c>
      <c r="BK9" s="106">
        <f t="shared" si="10"/>
        <v>0</v>
      </c>
      <c r="BL9" s="106">
        <f t="shared" si="10"/>
        <v>0</v>
      </c>
      <c r="BM9" s="106">
        <f t="shared" si="10"/>
        <v>0</v>
      </c>
      <c r="BN9" s="106">
        <f t="shared" si="10"/>
        <v>0</v>
      </c>
      <c r="BO9" s="106">
        <f t="shared" si="10"/>
        <v>0</v>
      </c>
      <c r="BP9" s="106">
        <f t="shared" si="10"/>
        <v>0</v>
      </c>
      <c r="BQ9" s="106">
        <f t="shared" si="10"/>
        <v>0</v>
      </c>
      <c r="BR9" s="106">
        <f t="shared" si="10"/>
        <v>0</v>
      </c>
      <c r="BS9" s="106">
        <f t="shared" si="10"/>
        <v>0</v>
      </c>
      <c r="BT9" s="106">
        <f t="shared" si="10"/>
        <v>0</v>
      </c>
      <c r="BU9" s="106">
        <f t="shared" si="11"/>
        <v>0</v>
      </c>
      <c r="BV9" s="106">
        <f t="shared" si="11"/>
        <v>0</v>
      </c>
      <c r="BW9" s="106">
        <f t="shared" si="11"/>
        <v>0</v>
      </c>
      <c r="BX9" s="106">
        <f t="shared" si="11"/>
        <v>0</v>
      </c>
      <c r="BY9" s="106">
        <f t="shared" si="11"/>
        <v>0</v>
      </c>
      <c r="BZ9" s="106">
        <f t="shared" si="11"/>
        <v>0</v>
      </c>
      <c r="CA9" s="106">
        <f t="shared" si="11"/>
        <v>0</v>
      </c>
      <c r="CB9" s="106">
        <f t="shared" si="11"/>
        <v>0</v>
      </c>
      <c r="CC9" s="106">
        <f t="shared" si="11"/>
        <v>0</v>
      </c>
      <c r="CD9" s="106">
        <f t="shared" si="11"/>
        <v>0</v>
      </c>
      <c r="CE9" s="106">
        <f t="shared" si="11"/>
        <v>0</v>
      </c>
      <c r="CF9" s="106">
        <f t="shared" si="11"/>
        <v>0</v>
      </c>
      <c r="CG9" s="106">
        <f t="shared" si="11"/>
        <v>0</v>
      </c>
      <c r="CH9" s="106">
        <f t="shared" si="11"/>
        <v>0</v>
      </c>
      <c r="CI9" s="106">
        <f t="shared" si="11"/>
        <v>0</v>
      </c>
      <c r="CJ9" s="106">
        <f t="shared" si="11"/>
        <v>0</v>
      </c>
      <c r="CK9" s="106">
        <f t="shared" si="11"/>
        <v>0</v>
      </c>
      <c r="CL9" s="106">
        <f t="shared" si="11"/>
        <v>0</v>
      </c>
      <c r="CM9" s="106">
        <f t="shared" si="11"/>
        <v>0</v>
      </c>
      <c r="CN9" s="106">
        <f t="shared" si="11"/>
        <v>0</v>
      </c>
      <c r="CO9" s="106">
        <f t="shared" si="11"/>
        <v>0</v>
      </c>
      <c r="CP9" s="106">
        <f t="shared" si="11"/>
        <v>0</v>
      </c>
      <c r="CQ9" s="106">
        <f t="shared" si="11"/>
        <v>0</v>
      </c>
      <c r="CR9" s="106">
        <f t="shared" si="11"/>
        <v>0</v>
      </c>
      <c r="CS9" s="106">
        <f t="shared" si="11"/>
        <v>0</v>
      </c>
      <c r="CT9" s="106">
        <f t="shared" si="11"/>
        <v>0</v>
      </c>
      <c r="CU9" s="106">
        <f t="shared" si="11"/>
        <v>0</v>
      </c>
      <c r="CV9" s="106">
        <f t="shared" si="11"/>
        <v>0</v>
      </c>
      <c r="CW9" s="106">
        <f t="shared" si="11"/>
        <v>0</v>
      </c>
      <c r="CX9" s="106">
        <f t="shared" si="11"/>
        <v>0</v>
      </c>
      <c r="CY9" s="106">
        <f t="shared" si="11"/>
        <v>0</v>
      </c>
      <c r="CZ9" s="106">
        <f t="shared" si="11"/>
        <v>0</v>
      </c>
      <c r="DA9" s="106">
        <f t="shared" si="11"/>
        <v>0</v>
      </c>
      <c r="DB9" s="106">
        <f t="shared" si="11"/>
        <v>0</v>
      </c>
      <c r="DC9" s="106">
        <f t="shared" si="11"/>
        <v>0</v>
      </c>
      <c r="DD9" s="106">
        <f t="shared" si="11"/>
        <v>0</v>
      </c>
      <c r="DE9" s="106">
        <f t="shared" si="11"/>
        <v>0</v>
      </c>
      <c r="DF9" s="106">
        <f t="shared" si="11"/>
        <v>0</v>
      </c>
      <c r="DG9" s="106">
        <f t="shared" si="11"/>
        <v>0</v>
      </c>
      <c r="DH9" s="106">
        <f t="shared" si="11"/>
        <v>0</v>
      </c>
      <c r="DI9" s="106">
        <f t="shared" si="11"/>
        <v>0</v>
      </c>
      <c r="DJ9" s="106">
        <f t="shared" si="11"/>
        <v>0</v>
      </c>
      <c r="DK9" s="106">
        <f t="shared" si="11"/>
        <v>0</v>
      </c>
      <c r="DL9" s="106">
        <f t="shared" si="11"/>
        <v>0</v>
      </c>
      <c r="DM9" s="106">
        <f t="shared" si="11"/>
        <v>0</v>
      </c>
      <c r="DN9" s="106">
        <f t="shared" si="11"/>
        <v>0</v>
      </c>
      <c r="DO9" s="106">
        <f t="shared" si="11"/>
        <v>0</v>
      </c>
      <c r="DP9" s="106">
        <f t="shared" si="11"/>
        <v>0</v>
      </c>
      <c r="DQ9" s="106">
        <f t="shared" si="11"/>
        <v>0</v>
      </c>
      <c r="DR9" s="106">
        <f t="shared" si="11"/>
        <v>0</v>
      </c>
      <c r="DS9" s="106">
        <f t="shared" si="11"/>
        <v>0</v>
      </c>
      <c r="DT9" s="106">
        <f t="shared" si="11"/>
        <v>0</v>
      </c>
      <c r="DU9" s="106">
        <f t="shared" si="11"/>
        <v>0</v>
      </c>
      <c r="DV9" s="106">
        <f t="shared" si="11"/>
        <v>0</v>
      </c>
      <c r="DW9" s="106">
        <f t="shared" si="11"/>
        <v>0</v>
      </c>
      <c r="DX9" s="106">
        <f t="shared" si="11"/>
        <v>0</v>
      </c>
      <c r="DY9" s="106">
        <f t="shared" si="11"/>
        <v>0</v>
      </c>
      <c r="DZ9" s="106">
        <f t="shared" si="11"/>
        <v>0</v>
      </c>
      <c r="EA9" s="106">
        <f t="shared" si="11"/>
        <v>0</v>
      </c>
      <c r="EB9" s="106">
        <f t="shared" si="11"/>
        <v>0</v>
      </c>
      <c r="EC9" s="106">
        <f t="shared" si="11"/>
        <v>0</v>
      </c>
      <c r="ED9" s="106">
        <f t="shared" si="11"/>
        <v>0</v>
      </c>
      <c r="EE9" s="106">
        <f t="shared" si="11"/>
        <v>0</v>
      </c>
      <c r="EF9" s="106">
        <f t="shared" si="11"/>
        <v>0</v>
      </c>
      <c r="EG9" s="106">
        <f t="shared" si="6"/>
        <v>0</v>
      </c>
      <c r="EH9" s="106">
        <f t="shared" si="6"/>
        <v>0</v>
      </c>
      <c r="EI9" s="106">
        <f t="shared" si="6"/>
        <v>0</v>
      </c>
    </row>
    <row r="10" spans="1:165" x14ac:dyDescent="0.25">
      <c r="A10" s="110" t="str">
        <f t="shared" si="7"/>
        <v>OK</v>
      </c>
      <c r="B10" s="16"/>
      <c r="C10" s="103">
        <v>0</v>
      </c>
      <c r="D10" s="104">
        <f>C10/Ingresos!$A$23</f>
        <v>0</v>
      </c>
      <c r="E10" s="180">
        <v>1</v>
      </c>
      <c r="F10" s="180">
        <v>1</v>
      </c>
      <c r="G10" s="181">
        <f t="shared" si="8"/>
        <v>1</v>
      </c>
      <c r="H10" s="106">
        <f t="shared" si="9"/>
        <v>0</v>
      </c>
      <c r="I10" s="106">
        <f t="shared" si="10"/>
        <v>0</v>
      </c>
      <c r="J10" s="106">
        <f t="shared" si="10"/>
        <v>0</v>
      </c>
      <c r="K10" s="106">
        <f t="shared" si="10"/>
        <v>0</v>
      </c>
      <c r="L10" s="106">
        <f t="shared" si="10"/>
        <v>0</v>
      </c>
      <c r="M10" s="106">
        <f t="shared" si="10"/>
        <v>0</v>
      </c>
      <c r="N10" s="106">
        <f t="shared" si="10"/>
        <v>0</v>
      </c>
      <c r="O10" s="106">
        <f t="shared" si="10"/>
        <v>0</v>
      </c>
      <c r="P10" s="106">
        <f t="shared" si="10"/>
        <v>0</v>
      </c>
      <c r="Q10" s="106">
        <f t="shared" si="10"/>
        <v>0</v>
      </c>
      <c r="R10" s="106">
        <f t="shared" si="10"/>
        <v>0</v>
      </c>
      <c r="S10" s="106">
        <f t="shared" si="10"/>
        <v>0</v>
      </c>
      <c r="T10" s="106">
        <f t="shared" si="10"/>
        <v>0</v>
      </c>
      <c r="U10" s="106">
        <f t="shared" si="10"/>
        <v>0</v>
      </c>
      <c r="V10" s="106">
        <f t="shared" si="10"/>
        <v>0</v>
      </c>
      <c r="W10" s="106">
        <f t="shared" si="10"/>
        <v>0</v>
      </c>
      <c r="X10" s="106">
        <f t="shared" si="10"/>
        <v>0</v>
      </c>
      <c r="Y10" s="106">
        <f t="shared" si="10"/>
        <v>0</v>
      </c>
      <c r="Z10" s="106">
        <f t="shared" si="10"/>
        <v>0</v>
      </c>
      <c r="AA10" s="106">
        <f t="shared" si="10"/>
        <v>0</v>
      </c>
      <c r="AB10" s="106">
        <f t="shared" si="10"/>
        <v>0</v>
      </c>
      <c r="AC10" s="106">
        <f t="shared" si="10"/>
        <v>0</v>
      </c>
      <c r="AD10" s="106">
        <f t="shared" si="10"/>
        <v>0</v>
      </c>
      <c r="AE10" s="106">
        <f t="shared" si="10"/>
        <v>0</v>
      </c>
      <c r="AF10" s="106">
        <f t="shared" si="10"/>
        <v>0</v>
      </c>
      <c r="AG10" s="106">
        <f t="shared" si="10"/>
        <v>0</v>
      </c>
      <c r="AH10" s="106">
        <f t="shared" si="10"/>
        <v>0</v>
      </c>
      <c r="AI10" s="106">
        <f t="shared" si="10"/>
        <v>0</v>
      </c>
      <c r="AJ10" s="106">
        <f t="shared" si="10"/>
        <v>0</v>
      </c>
      <c r="AK10" s="106">
        <f t="shared" si="10"/>
        <v>0</v>
      </c>
      <c r="AL10" s="106">
        <f t="shared" si="10"/>
        <v>0</v>
      </c>
      <c r="AM10" s="106">
        <f t="shared" si="10"/>
        <v>0</v>
      </c>
      <c r="AN10" s="106">
        <f t="shared" si="10"/>
        <v>0</v>
      </c>
      <c r="AO10" s="106">
        <f t="shared" si="10"/>
        <v>0</v>
      </c>
      <c r="AP10" s="106">
        <f t="shared" si="10"/>
        <v>0</v>
      </c>
      <c r="AQ10" s="106">
        <f t="shared" si="10"/>
        <v>0</v>
      </c>
      <c r="AR10" s="106">
        <f t="shared" si="10"/>
        <v>0</v>
      </c>
      <c r="AS10" s="106">
        <f t="shared" si="10"/>
        <v>0</v>
      </c>
      <c r="AT10" s="106">
        <f t="shared" si="10"/>
        <v>0</v>
      </c>
      <c r="AU10" s="106">
        <f t="shared" si="10"/>
        <v>0</v>
      </c>
      <c r="AV10" s="106">
        <f t="shared" si="10"/>
        <v>0</v>
      </c>
      <c r="AW10" s="106">
        <f t="shared" si="10"/>
        <v>0</v>
      </c>
      <c r="AX10" s="106">
        <f t="shared" si="10"/>
        <v>0</v>
      </c>
      <c r="AY10" s="106">
        <f t="shared" si="10"/>
        <v>0</v>
      </c>
      <c r="AZ10" s="106">
        <f t="shared" si="10"/>
        <v>0</v>
      </c>
      <c r="BA10" s="106">
        <f t="shared" si="10"/>
        <v>0</v>
      </c>
      <c r="BB10" s="106">
        <f t="shared" si="10"/>
        <v>0</v>
      </c>
      <c r="BC10" s="106">
        <f t="shared" si="10"/>
        <v>0</v>
      </c>
      <c r="BD10" s="106">
        <f t="shared" si="10"/>
        <v>0</v>
      </c>
      <c r="BE10" s="106">
        <f t="shared" si="10"/>
        <v>0</v>
      </c>
      <c r="BF10" s="106">
        <f t="shared" si="10"/>
        <v>0</v>
      </c>
      <c r="BG10" s="106">
        <f t="shared" si="10"/>
        <v>0</v>
      </c>
      <c r="BH10" s="106">
        <f t="shared" si="10"/>
        <v>0</v>
      </c>
      <c r="BI10" s="106">
        <f t="shared" si="10"/>
        <v>0</v>
      </c>
      <c r="BJ10" s="106">
        <f t="shared" si="10"/>
        <v>0</v>
      </c>
      <c r="BK10" s="106">
        <f t="shared" si="10"/>
        <v>0</v>
      </c>
      <c r="BL10" s="106">
        <f t="shared" si="10"/>
        <v>0</v>
      </c>
      <c r="BM10" s="106">
        <f t="shared" si="10"/>
        <v>0</v>
      </c>
      <c r="BN10" s="106">
        <f t="shared" si="10"/>
        <v>0</v>
      </c>
      <c r="BO10" s="106">
        <f t="shared" si="10"/>
        <v>0</v>
      </c>
      <c r="BP10" s="106">
        <f t="shared" si="10"/>
        <v>0</v>
      </c>
      <c r="BQ10" s="106">
        <f t="shared" si="10"/>
        <v>0</v>
      </c>
      <c r="BR10" s="106">
        <f t="shared" si="10"/>
        <v>0</v>
      </c>
      <c r="BS10" s="106">
        <f t="shared" si="10"/>
        <v>0</v>
      </c>
      <c r="BT10" s="106">
        <f t="shared" si="10"/>
        <v>0</v>
      </c>
      <c r="BU10" s="106">
        <f t="shared" si="11"/>
        <v>0</v>
      </c>
      <c r="BV10" s="106">
        <f t="shared" si="11"/>
        <v>0</v>
      </c>
      <c r="BW10" s="106">
        <f t="shared" si="11"/>
        <v>0</v>
      </c>
      <c r="BX10" s="106">
        <f t="shared" si="11"/>
        <v>0</v>
      </c>
      <c r="BY10" s="106">
        <f t="shared" si="11"/>
        <v>0</v>
      </c>
      <c r="BZ10" s="106">
        <f t="shared" si="11"/>
        <v>0</v>
      </c>
      <c r="CA10" s="106">
        <f t="shared" si="11"/>
        <v>0</v>
      </c>
      <c r="CB10" s="106">
        <f t="shared" si="11"/>
        <v>0</v>
      </c>
      <c r="CC10" s="106">
        <f t="shared" si="11"/>
        <v>0</v>
      </c>
      <c r="CD10" s="106">
        <f t="shared" si="11"/>
        <v>0</v>
      </c>
      <c r="CE10" s="106">
        <f t="shared" si="11"/>
        <v>0</v>
      </c>
      <c r="CF10" s="106">
        <f t="shared" si="11"/>
        <v>0</v>
      </c>
      <c r="CG10" s="106">
        <f t="shared" si="11"/>
        <v>0</v>
      </c>
      <c r="CH10" s="106">
        <f t="shared" si="11"/>
        <v>0</v>
      </c>
      <c r="CI10" s="106">
        <f t="shared" si="11"/>
        <v>0</v>
      </c>
      <c r="CJ10" s="106">
        <f t="shared" si="11"/>
        <v>0</v>
      </c>
      <c r="CK10" s="106">
        <f t="shared" si="11"/>
        <v>0</v>
      </c>
      <c r="CL10" s="106">
        <f t="shared" si="11"/>
        <v>0</v>
      </c>
      <c r="CM10" s="106">
        <f t="shared" si="11"/>
        <v>0</v>
      </c>
      <c r="CN10" s="106">
        <f t="shared" si="11"/>
        <v>0</v>
      </c>
      <c r="CO10" s="106">
        <f t="shared" si="11"/>
        <v>0</v>
      </c>
      <c r="CP10" s="106">
        <f t="shared" si="11"/>
        <v>0</v>
      </c>
      <c r="CQ10" s="106">
        <f t="shared" si="11"/>
        <v>0</v>
      </c>
      <c r="CR10" s="106">
        <f t="shared" si="11"/>
        <v>0</v>
      </c>
      <c r="CS10" s="106">
        <f t="shared" si="11"/>
        <v>0</v>
      </c>
      <c r="CT10" s="106">
        <f t="shared" si="11"/>
        <v>0</v>
      </c>
      <c r="CU10" s="106">
        <f t="shared" si="11"/>
        <v>0</v>
      </c>
      <c r="CV10" s="106">
        <f t="shared" si="11"/>
        <v>0</v>
      </c>
      <c r="CW10" s="106">
        <f t="shared" si="11"/>
        <v>0</v>
      </c>
      <c r="CX10" s="106">
        <f t="shared" si="11"/>
        <v>0</v>
      </c>
      <c r="CY10" s="106">
        <f t="shared" si="11"/>
        <v>0</v>
      </c>
      <c r="CZ10" s="106">
        <f t="shared" si="11"/>
        <v>0</v>
      </c>
      <c r="DA10" s="106">
        <f t="shared" si="11"/>
        <v>0</v>
      </c>
      <c r="DB10" s="106">
        <f t="shared" si="11"/>
        <v>0</v>
      </c>
      <c r="DC10" s="106">
        <f t="shared" si="11"/>
        <v>0</v>
      </c>
      <c r="DD10" s="106">
        <f t="shared" si="11"/>
        <v>0</v>
      </c>
      <c r="DE10" s="106">
        <f t="shared" si="11"/>
        <v>0</v>
      </c>
      <c r="DF10" s="106">
        <f t="shared" si="11"/>
        <v>0</v>
      </c>
      <c r="DG10" s="106">
        <f t="shared" si="11"/>
        <v>0</v>
      </c>
      <c r="DH10" s="106">
        <f t="shared" si="11"/>
        <v>0</v>
      </c>
      <c r="DI10" s="106">
        <f t="shared" si="11"/>
        <v>0</v>
      </c>
      <c r="DJ10" s="106">
        <f t="shared" si="11"/>
        <v>0</v>
      </c>
      <c r="DK10" s="106">
        <f t="shared" si="11"/>
        <v>0</v>
      </c>
      <c r="DL10" s="106">
        <f t="shared" si="11"/>
        <v>0</v>
      </c>
      <c r="DM10" s="106">
        <f t="shared" si="11"/>
        <v>0</v>
      </c>
      <c r="DN10" s="106">
        <f t="shared" si="11"/>
        <v>0</v>
      </c>
      <c r="DO10" s="106">
        <f t="shared" si="11"/>
        <v>0</v>
      </c>
      <c r="DP10" s="106">
        <f t="shared" si="11"/>
        <v>0</v>
      </c>
      <c r="DQ10" s="106">
        <f t="shared" si="11"/>
        <v>0</v>
      </c>
      <c r="DR10" s="106">
        <f t="shared" si="11"/>
        <v>0</v>
      </c>
      <c r="DS10" s="106">
        <f t="shared" si="11"/>
        <v>0</v>
      </c>
      <c r="DT10" s="106">
        <f t="shared" si="11"/>
        <v>0</v>
      </c>
      <c r="DU10" s="106">
        <f t="shared" si="11"/>
        <v>0</v>
      </c>
      <c r="DV10" s="106">
        <f t="shared" si="11"/>
        <v>0</v>
      </c>
      <c r="DW10" s="106">
        <f t="shared" si="11"/>
        <v>0</v>
      </c>
      <c r="DX10" s="106">
        <f t="shared" si="11"/>
        <v>0</v>
      </c>
      <c r="DY10" s="106">
        <f t="shared" si="11"/>
        <v>0</v>
      </c>
      <c r="DZ10" s="106">
        <f t="shared" si="11"/>
        <v>0</v>
      </c>
      <c r="EA10" s="106">
        <f t="shared" si="11"/>
        <v>0</v>
      </c>
      <c r="EB10" s="106">
        <f t="shared" si="11"/>
        <v>0</v>
      </c>
      <c r="EC10" s="106">
        <f t="shared" si="11"/>
        <v>0</v>
      </c>
      <c r="ED10" s="106">
        <f t="shared" si="11"/>
        <v>0</v>
      </c>
      <c r="EE10" s="106">
        <f t="shared" si="11"/>
        <v>0</v>
      </c>
      <c r="EF10" s="106">
        <f t="shared" si="11"/>
        <v>0</v>
      </c>
      <c r="EG10" s="106">
        <f t="shared" si="6"/>
        <v>0</v>
      </c>
      <c r="EH10" s="106">
        <f t="shared" si="6"/>
        <v>0</v>
      </c>
      <c r="EI10" s="106">
        <f t="shared" si="6"/>
        <v>0</v>
      </c>
    </row>
    <row r="11" spans="1:165" x14ac:dyDescent="0.25">
      <c r="A11" s="110" t="str">
        <f t="shared" si="7"/>
        <v>OK</v>
      </c>
      <c r="B11" s="16"/>
      <c r="C11" s="103">
        <v>0</v>
      </c>
      <c r="D11" s="104">
        <f>C11/Ingresos!$A$23</f>
        <v>0</v>
      </c>
      <c r="E11" s="180">
        <v>1</v>
      </c>
      <c r="F11" s="180">
        <v>1</v>
      </c>
      <c r="G11" s="181">
        <f t="shared" si="8"/>
        <v>1</v>
      </c>
      <c r="H11" s="106">
        <f t="shared" si="9"/>
        <v>0</v>
      </c>
      <c r="I11" s="106">
        <f t="shared" si="10"/>
        <v>0</v>
      </c>
      <c r="J11" s="106">
        <f t="shared" si="10"/>
        <v>0</v>
      </c>
      <c r="K11" s="106">
        <f t="shared" si="10"/>
        <v>0</v>
      </c>
      <c r="L11" s="106">
        <f t="shared" si="10"/>
        <v>0</v>
      </c>
      <c r="M11" s="106">
        <f t="shared" si="10"/>
        <v>0</v>
      </c>
      <c r="N11" s="106">
        <f t="shared" si="10"/>
        <v>0</v>
      </c>
      <c r="O11" s="106">
        <f t="shared" si="10"/>
        <v>0</v>
      </c>
      <c r="P11" s="106">
        <f t="shared" si="10"/>
        <v>0</v>
      </c>
      <c r="Q11" s="106">
        <f t="shared" si="10"/>
        <v>0</v>
      </c>
      <c r="R11" s="106">
        <f t="shared" si="10"/>
        <v>0</v>
      </c>
      <c r="S11" s="106">
        <f t="shared" si="10"/>
        <v>0</v>
      </c>
      <c r="T11" s="106">
        <f t="shared" si="10"/>
        <v>0</v>
      </c>
      <c r="U11" s="106">
        <f t="shared" si="10"/>
        <v>0</v>
      </c>
      <c r="V11" s="106">
        <f t="shared" si="10"/>
        <v>0</v>
      </c>
      <c r="W11" s="106">
        <f t="shared" si="10"/>
        <v>0</v>
      </c>
      <c r="X11" s="106">
        <f t="shared" si="10"/>
        <v>0</v>
      </c>
      <c r="Y11" s="106">
        <f t="shared" si="10"/>
        <v>0</v>
      </c>
      <c r="Z11" s="106">
        <f t="shared" si="10"/>
        <v>0</v>
      </c>
      <c r="AA11" s="106">
        <f t="shared" si="10"/>
        <v>0</v>
      </c>
      <c r="AB11" s="106">
        <f t="shared" si="10"/>
        <v>0</v>
      </c>
      <c r="AC11" s="106">
        <f t="shared" si="10"/>
        <v>0</v>
      </c>
      <c r="AD11" s="106">
        <f t="shared" si="10"/>
        <v>0</v>
      </c>
      <c r="AE11" s="106">
        <f t="shared" si="10"/>
        <v>0</v>
      </c>
      <c r="AF11" s="106">
        <f t="shared" si="10"/>
        <v>0</v>
      </c>
      <c r="AG11" s="106">
        <f t="shared" si="10"/>
        <v>0</v>
      </c>
      <c r="AH11" s="106">
        <f t="shared" si="10"/>
        <v>0</v>
      </c>
      <c r="AI11" s="106">
        <f t="shared" si="10"/>
        <v>0</v>
      </c>
      <c r="AJ11" s="106">
        <f t="shared" si="10"/>
        <v>0</v>
      </c>
      <c r="AK11" s="106">
        <f t="shared" si="10"/>
        <v>0</v>
      </c>
      <c r="AL11" s="106">
        <f t="shared" si="10"/>
        <v>0</v>
      </c>
      <c r="AM11" s="106">
        <f t="shared" si="10"/>
        <v>0</v>
      </c>
      <c r="AN11" s="106">
        <f t="shared" si="10"/>
        <v>0</v>
      </c>
      <c r="AO11" s="106">
        <f t="shared" si="10"/>
        <v>0</v>
      </c>
      <c r="AP11" s="106">
        <f t="shared" si="10"/>
        <v>0</v>
      </c>
      <c r="AQ11" s="106">
        <f t="shared" si="10"/>
        <v>0</v>
      </c>
      <c r="AR11" s="106">
        <f t="shared" si="10"/>
        <v>0</v>
      </c>
      <c r="AS11" s="106">
        <f t="shared" si="10"/>
        <v>0</v>
      </c>
      <c r="AT11" s="106">
        <f t="shared" si="10"/>
        <v>0</v>
      </c>
      <c r="AU11" s="106">
        <f t="shared" si="10"/>
        <v>0</v>
      </c>
      <c r="AV11" s="106">
        <f t="shared" si="10"/>
        <v>0</v>
      </c>
      <c r="AW11" s="106">
        <f t="shared" si="10"/>
        <v>0</v>
      </c>
      <c r="AX11" s="106">
        <f t="shared" si="10"/>
        <v>0</v>
      </c>
      <c r="AY11" s="106">
        <f t="shared" si="10"/>
        <v>0</v>
      </c>
      <c r="AZ11" s="106">
        <f t="shared" si="10"/>
        <v>0</v>
      </c>
      <c r="BA11" s="106">
        <f t="shared" si="10"/>
        <v>0</v>
      </c>
      <c r="BB11" s="106">
        <f t="shared" si="10"/>
        <v>0</v>
      </c>
      <c r="BC11" s="106">
        <f t="shared" si="10"/>
        <v>0</v>
      </c>
      <c r="BD11" s="106">
        <f t="shared" si="10"/>
        <v>0</v>
      </c>
      <c r="BE11" s="106">
        <f t="shared" si="10"/>
        <v>0</v>
      </c>
      <c r="BF11" s="106">
        <f t="shared" si="10"/>
        <v>0</v>
      </c>
      <c r="BG11" s="106">
        <f t="shared" si="10"/>
        <v>0</v>
      </c>
      <c r="BH11" s="106">
        <f t="shared" si="10"/>
        <v>0</v>
      </c>
      <c r="BI11" s="106">
        <f t="shared" si="10"/>
        <v>0</v>
      </c>
      <c r="BJ11" s="106">
        <f t="shared" si="10"/>
        <v>0</v>
      </c>
      <c r="BK11" s="106">
        <f t="shared" si="10"/>
        <v>0</v>
      </c>
      <c r="BL11" s="106">
        <f t="shared" si="10"/>
        <v>0</v>
      </c>
      <c r="BM11" s="106">
        <f t="shared" si="10"/>
        <v>0</v>
      </c>
      <c r="BN11" s="106">
        <f t="shared" si="10"/>
        <v>0</v>
      </c>
      <c r="BO11" s="106">
        <f t="shared" si="10"/>
        <v>0</v>
      </c>
      <c r="BP11" s="106">
        <f t="shared" si="10"/>
        <v>0</v>
      </c>
      <c r="BQ11" s="106">
        <f t="shared" si="10"/>
        <v>0</v>
      </c>
      <c r="BR11" s="106">
        <f t="shared" si="10"/>
        <v>0</v>
      </c>
      <c r="BS11" s="106">
        <f t="shared" si="10"/>
        <v>0</v>
      </c>
      <c r="BT11" s="106">
        <f t="shared" si="10"/>
        <v>0</v>
      </c>
      <c r="BU11" s="106">
        <f t="shared" si="11"/>
        <v>0</v>
      </c>
      <c r="BV11" s="106">
        <f t="shared" si="11"/>
        <v>0</v>
      </c>
      <c r="BW11" s="106">
        <f t="shared" si="11"/>
        <v>0</v>
      </c>
      <c r="BX11" s="106">
        <f t="shared" si="11"/>
        <v>0</v>
      </c>
      <c r="BY11" s="106">
        <f t="shared" si="11"/>
        <v>0</v>
      </c>
      <c r="BZ11" s="106">
        <f t="shared" si="11"/>
        <v>0</v>
      </c>
      <c r="CA11" s="106">
        <f t="shared" si="11"/>
        <v>0</v>
      </c>
      <c r="CB11" s="106">
        <f t="shared" si="11"/>
        <v>0</v>
      </c>
      <c r="CC11" s="106">
        <f t="shared" si="11"/>
        <v>0</v>
      </c>
      <c r="CD11" s="106">
        <f t="shared" si="11"/>
        <v>0</v>
      </c>
      <c r="CE11" s="106">
        <f t="shared" si="11"/>
        <v>0</v>
      </c>
      <c r="CF11" s="106">
        <f t="shared" si="11"/>
        <v>0</v>
      </c>
      <c r="CG11" s="106">
        <f t="shared" si="11"/>
        <v>0</v>
      </c>
      <c r="CH11" s="106">
        <f t="shared" si="11"/>
        <v>0</v>
      </c>
      <c r="CI11" s="106">
        <f t="shared" si="11"/>
        <v>0</v>
      </c>
      <c r="CJ11" s="106">
        <f t="shared" si="11"/>
        <v>0</v>
      </c>
      <c r="CK11" s="106">
        <f t="shared" si="11"/>
        <v>0</v>
      </c>
      <c r="CL11" s="106">
        <f t="shared" si="11"/>
        <v>0</v>
      </c>
      <c r="CM11" s="106">
        <f t="shared" si="11"/>
        <v>0</v>
      </c>
      <c r="CN11" s="106">
        <f t="shared" si="11"/>
        <v>0</v>
      </c>
      <c r="CO11" s="106">
        <f t="shared" si="11"/>
        <v>0</v>
      </c>
      <c r="CP11" s="106">
        <f t="shared" si="11"/>
        <v>0</v>
      </c>
      <c r="CQ11" s="106">
        <f t="shared" si="11"/>
        <v>0</v>
      </c>
      <c r="CR11" s="106">
        <f t="shared" si="11"/>
        <v>0</v>
      </c>
      <c r="CS11" s="106">
        <f t="shared" si="11"/>
        <v>0</v>
      </c>
      <c r="CT11" s="106">
        <f t="shared" si="11"/>
        <v>0</v>
      </c>
      <c r="CU11" s="106">
        <f t="shared" si="11"/>
        <v>0</v>
      </c>
      <c r="CV11" s="106">
        <f t="shared" si="11"/>
        <v>0</v>
      </c>
      <c r="CW11" s="106">
        <f t="shared" si="11"/>
        <v>0</v>
      </c>
      <c r="CX11" s="106">
        <f t="shared" si="11"/>
        <v>0</v>
      </c>
      <c r="CY11" s="106">
        <f t="shared" si="11"/>
        <v>0</v>
      </c>
      <c r="CZ11" s="106">
        <f t="shared" si="11"/>
        <v>0</v>
      </c>
      <c r="DA11" s="106">
        <f t="shared" si="11"/>
        <v>0</v>
      </c>
      <c r="DB11" s="106">
        <f t="shared" si="11"/>
        <v>0</v>
      </c>
      <c r="DC11" s="106">
        <f t="shared" si="11"/>
        <v>0</v>
      </c>
      <c r="DD11" s="106">
        <f t="shared" si="11"/>
        <v>0</v>
      </c>
      <c r="DE11" s="106">
        <f t="shared" si="11"/>
        <v>0</v>
      </c>
      <c r="DF11" s="106">
        <f t="shared" si="11"/>
        <v>0</v>
      </c>
      <c r="DG11" s="106">
        <f t="shared" si="11"/>
        <v>0</v>
      </c>
      <c r="DH11" s="106">
        <f t="shared" si="11"/>
        <v>0</v>
      </c>
      <c r="DI11" s="106">
        <f t="shared" si="11"/>
        <v>0</v>
      </c>
      <c r="DJ11" s="106">
        <f t="shared" si="11"/>
        <v>0</v>
      </c>
      <c r="DK11" s="106">
        <f t="shared" si="11"/>
        <v>0</v>
      </c>
      <c r="DL11" s="106">
        <f t="shared" si="11"/>
        <v>0</v>
      </c>
      <c r="DM11" s="106">
        <f t="shared" si="11"/>
        <v>0</v>
      </c>
      <c r="DN11" s="106">
        <f t="shared" si="11"/>
        <v>0</v>
      </c>
      <c r="DO11" s="106">
        <f t="shared" si="11"/>
        <v>0</v>
      </c>
      <c r="DP11" s="106">
        <f t="shared" si="11"/>
        <v>0</v>
      </c>
      <c r="DQ11" s="106">
        <f t="shared" si="11"/>
        <v>0</v>
      </c>
      <c r="DR11" s="106">
        <f t="shared" si="11"/>
        <v>0</v>
      </c>
      <c r="DS11" s="106">
        <f t="shared" si="11"/>
        <v>0</v>
      </c>
      <c r="DT11" s="106">
        <f t="shared" si="11"/>
        <v>0</v>
      </c>
      <c r="DU11" s="106">
        <f t="shared" si="11"/>
        <v>0</v>
      </c>
      <c r="DV11" s="106">
        <f t="shared" si="11"/>
        <v>0</v>
      </c>
      <c r="DW11" s="106">
        <f t="shared" si="11"/>
        <v>0</v>
      </c>
      <c r="DX11" s="106">
        <f t="shared" si="11"/>
        <v>0</v>
      </c>
      <c r="DY11" s="106">
        <f t="shared" si="11"/>
        <v>0</v>
      </c>
      <c r="DZ11" s="106">
        <f t="shared" si="11"/>
        <v>0</v>
      </c>
      <c r="EA11" s="106">
        <f t="shared" si="11"/>
        <v>0</v>
      </c>
      <c r="EB11" s="106">
        <f t="shared" si="11"/>
        <v>0</v>
      </c>
      <c r="EC11" s="106">
        <f t="shared" si="11"/>
        <v>0</v>
      </c>
      <c r="ED11" s="106">
        <f t="shared" si="11"/>
        <v>0</v>
      </c>
      <c r="EE11" s="106">
        <f t="shared" si="11"/>
        <v>0</v>
      </c>
      <c r="EF11" s="106">
        <f t="shared" si="11"/>
        <v>0</v>
      </c>
      <c r="EG11" s="106">
        <f t="shared" si="6"/>
        <v>0</v>
      </c>
      <c r="EH11" s="106">
        <f t="shared" si="6"/>
        <v>0</v>
      </c>
      <c r="EI11" s="106">
        <f t="shared" si="6"/>
        <v>0</v>
      </c>
    </row>
    <row r="12" spans="1:165" x14ac:dyDescent="0.25">
      <c r="A12" s="110" t="str">
        <f t="shared" si="7"/>
        <v>OK</v>
      </c>
      <c r="B12" s="16"/>
      <c r="C12" s="103">
        <v>0</v>
      </c>
      <c r="D12" s="104">
        <f>C12/Ingresos!$A$23</f>
        <v>0</v>
      </c>
      <c r="E12" s="180">
        <v>1</v>
      </c>
      <c r="F12" s="180">
        <v>1</v>
      </c>
      <c r="G12" s="181">
        <f t="shared" si="8"/>
        <v>1</v>
      </c>
      <c r="H12" s="106">
        <f t="shared" si="9"/>
        <v>0</v>
      </c>
      <c r="I12" s="106">
        <f t="shared" si="10"/>
        <v>0</v>
      </c>
      <c r="J12" s="106">
        <f t="shared" si="10"/>
        <v>0</v>
      </c>
      <c r="K12" s="106">
        <f t="shared" si="10"/>
        <v>0</v>
      </c>
      <c r="L12" s="106">
        <f t="shared" si="10"/>
        <v>0</v>
      </c>
      <c r="M12" s="106">
        <f t="shared" si="10"/>
        <v>0</v>
      </c>
      <c r="N12" s="106">
        <f t="shared" si="10"/>
        <v>0</v>
      </c>
      <c r="O12" s="106">
        <f t="shared" si="10"/>
        <v>0</v>
      </c>
      <c r="P12" s="106">
        <f t="shared" si="10"/>
        <v>0</v>
      </c>
      <c r="Q12" s="106">
        <f t="shared" si="10"/>
        <v>0</v>
      </c>
      <c r="R12" s="106">
        <f t="shared" si="10"/>
        <v>0</v>
      </c>
      <c r="S12" s="106">
        <f t="shared" si="10"/>
        <v>0</v>
      </c>
      <c r="T12" s="106">
        <f t="shared" si="10"/>
        <v>0</v>
      </c>
      <c r="U12" s="106">
        <f t="shared" si="10"/>
        <v>0</v>
      </c>
      <c r="V12" s="106">
        <f t="shared" si="10"/>
        <v>0</v>
      </c>
      <c r="W12" s="106">
        <f t="shared" si="10"/>
        <v>0</v>
      </c>
      <c r="X12" s="106">
        <f t="shared" si="10"/>
        <v>0</v>
      </c>
      <c r="Y12" s="106">
        <f t="shared" si="10"/>
        <v>0</v>
      </c>
      <c r="Z12" s="106">
        <f t="shared" si="10"/>
        <v>0</v>
      </c>
      <c r="AA12" s="106">
        <f t="shared" si="10"/>
        <v>0</v>
      </c>
      <c r="AB12" s="106">
        <f t="shared" si="10"/>
        <v>0</v>
      </c>
      <c r="AC12" s="106">
        <f t="shared" si="10"/>
        <v>0</v>
      </c>
      <c r="AD12" s="106">
        <f t="shared" si="10"/>
        <v>0</v>
      </c>
      <c r="AE12" s="106">
        <f t="shared" si="10"/>
        <v>0</v>
      </c>
      <c r="AF12" s="106">
        <f t="shared" si="10"/>
        <v>0</v>
      </c>
      <c r="AG12" s="106">
        <f t="shared" si="10"/>
        <v>0</v>
      </c>
      <c r="AH12" s="106">
        <f t="shared" si="10"/>
        <v>0</v>
      </c>
      <c r="AI12" s="106">
        <f t="shared" si="10"/>
        <v>0</v>
      </c>
      <c r="AJ12" s="106">
        <f t="shared" si="10"/>
        <v>0</v>
      </c>
      <c r="AK12" s="106">
        <f t="shared" si="10"/>
        <v>0</v>
      </c>
      <c r="AL12" s="106">
        <f t="shared" si="10"/>
        <v>0</v>
      </c>
      <c r="AM12" s="106">
        <f t="shared" si="10"/>
        <v>0</v>
      </c>
      <c r="AN12" s="106">
        <f t="shared" si="10"/>
        <v>0</v>
      </c>
      <c r="AO12" s="106">
        <f t="shared" si="10"/>
        <v>0</v>
      </c>
      <c r="AP12" s="106">
        <f t="shared" si="10"/>
        <v>0</v>
      </c>
      <c r="AQ12" s="106">
        <f t="shared" si="10"/>
        <v>0</v>
      </c>
      <c r="AR12" s="106">
        <f t="shared" si="10"/>
        <v>0</v>
      </c>
      <c r="AS12" s="106">
        <f t="shared" si="10"/>
        <v>0</v>
      </c>
      <c r="AT12" s="106">
        <f t="shared" si="10"/>
        <v>0</v>
      </c>
      <c r="AU12" s="106">
        <f t="shared" si="10"/>
        <v>0</v>
      </c>
      <c r="AV12" s="106">
        <f t="shared" si="10"/>
        <v>0</v>
      </c>
      <c r="AW12" s="106">
        <f t="shared" si="10"/>
        <v>0</v>
      </c>
      <c r="AX12" s="106">
        <f t="shared" si="10"/>
        <v>0</v>
      </c>
      <c r="AY12" s="106">
        <f t="shared" si="10"/>
        <v>0</v>
      </c>
      <c r="AZ12" s="106">
        <f t="shared" si="10"/>
        <v>0</v>
      </c>
      <c r="BA12" s="106">
        <f t="shared" si="10"/>
        <v>0</v>
      </c>
      <c r="BB12" s="106">
        <f t="shared" si="10"/>
        <v>0</v>
      </c>
      <c r="BC12" s="106">
        <f t="shared" si="10"/>
        <v>0</v>
      </c>
      <c r="BD12" s="106">
        <f t="shared" si="10"/>
        <v>0</v>
      </c>
      <c r="BE12" s="106">
        <f t="shared" si="10"/>
        <v>0</v>
      </c>
      <c r="BF12" s="106">
        <f t="shared" si="10"/>
        <v>0</v>
      </c>
      <c r="BG12" s="106">
        <f t="shared" si="10"/>
        <v>0</v>
      </c>
      <c r="BH12" s="106">
        <f t="shared" si="10"/>
        <v>0</v>
      </c>
      <c r="BI12" s="106">
        <f t="shared" si="10"/>
        <v>0</v>
      </c>
      <c r="BJ12" s="106">
        <f t="shared" si="10"/>
        <v>0</v>
      </c>
      <c r="BK12" s="106">
        <f t="shared" si="10"/>
        <v>0</v>
      </c>
      <c r="BL12" s="106">
        <f t="shared" si="10"/>
        <v>0</v>
      </c>
      <c r="BM12" s="106">
        <f t="shared" si="10"/>
        <v>0</v>
      </c>
      <c r="BN12" s="106">
        <f t="shared" si="10"/>
        <v>0</v>
      </c>
      <c r="BO12" s="106">
        <f t="shared" si="10"/>
        <v>0</v>
      </c>
      <c r="BP12" s="106">
        <f t="shared" si="10"/>
        <v>0</v>
      </c>
      <c r="BQ12" s="106">
        <f t="shared" si="10"/>
        <v>0</v>
      </c>
      <c r="BR12" s="106">
        <f t="shared" si="10"/>
        <v>0</v>
      </c>
      <c r="BS12" s="106">
        <f t="shared" ref="BS12:CH20" si="12">IF(AND(BS$1&gt;=$E12,BS$1&lt;=$F12),$C12/$G12,0)</f>
        <v>0</v>
      </c>
      <c r="BT12" s="106">
        <f t="shared" si="12"/>
        <v>0</v>
      </c>
      <c r="BU12" s="106">
        <f t="shared" si="11"/>
        <v>0</v>
      </c>
      <c r="BV12" s="106">
        <f t="shared" si="11"/>
        <v>0</v>
      </c>
      <c r="BW12" s="106">
        <f t="shared" si="11"/>
        <v>0</v>
      </c>
      <c r="BX12" s="106">
        <f t="shared" si="11"/>
        <v>0</v>
      </c>
      <c r="BY12" s="106">
        <f t="shared" si="11"/>
        <v>0</v>
      </c>
      <c r="BZ12" s="106">
        <f t="shared" si="11"/>
        <v>0</v>
      </c>
      <c r="CA12" s="106">
        <f t="shared" si="11"/>
        <v>0</v>
      </c>
      <c r="CB12" s="106">
        <f t="shared" si="11"/>
        <v>0</v>
      </c>
      <c r="CC12" s="106">
        <f t="shared" si="11"/>
        <v>0</v>
      </c>
      <c r="CD12" s="106">
        <f t="shared" si="11"/>
        <v>0</v>
      </c>
      <c r="CE12" s="106">
        <f t="shared" si="11"/>
        <v>0</v>
      </c>
      <c r="CF12" s="106">
        <f t="shared" si="11"/>
        <v>0</v>
      </c>
      <c r="CG12" s="106">
        <f t="shared" si="11"/>
        <v>0</v>
      </c>
      <c r="CH12" s="106">
        <f t="shared" si="11"/>
        <v>0</v>
      </c>
      <c r="CI12" s="106">
        <f t="shared" si="11"/>
        <v>0</v>
      </c>
      <c r="CJ12" s="106">
        <f t="shared" si="11"/>
        <v>0</v>
      </c>
      <c r="CK12" s="106">
        <f t="shared" si="11"/>
        <v>0</v>
      </c>
      <c r="CL12" s="106">
        <f t="shared" si="11"/>
        <v>0</v>
      </c>
      <c r="CM12" s="106">
        <f t="shared" si="11"/>
        <v>0</v>
      </c>
      <c r="CN12" s="106">
        <f t="shared" si="11"/>
        <v>0</v>
      </c>
      <c r="CO12" s="106">
        <f t="shared" si="11"/>
        <v>0</v>
      </c>
      <c r="CP12" s="106">
        <f t="shared" si="11"/>
        <v>0</v>
      </c>
      <c r="CQ12" s="106">
        <f t="shared" si="11"/>
        <v>0</v>
      </c>
      <c r="CR12" s="106">
        <f t="shared" si="11"/>
        <v>0</v>
      </c>
      <c r="CS12" s="106">
        <f t="shared" si="11"/>
        <v>0</v>
      </c>
      <c r="CT12" s="106">
        <f t="shared" si="11"/>
        <v>0</v>
      </c>
      <c r="CU12" s="106">
        <f t="shared" si="11"/>
        <v>0</v>
      </c>
      <c r="CV12" s="106">
        <f t="shared" si="11"/>
        <v>0</v>
      </c>
      <c r="CW12" s="106">
        <f t="shared" si="11"/>
        <v>0</v>
      </c>
      <c r="CX12" s="106">
        <f t="shared" si="11"/>
        <v>0</v>
      </c>
      <c r="CY12" s="106">
        <f t="shared" si="11"/>
        <v>0</v>
      </c>
      <c r="CZ12" s="106">
        <f t="shared" si="11"/>
        <v>0</v>
      </c>
      <c r="DA12" s="106">
        <f t="shared" si="11"/>
        <v>0</v>
      </c>
      <c r="DB12" s="106">
        <f t="shared" si="11"/>
        <v>0</v>
      </c>
      <c r="DC12" s="106">
        <f t="shared" si="11"/>
        <v>0</v>
      </c>
      <c r="DD12" s="106">
        <f t="shared" si="11"/>
        <v>0</v>
      </c>
      <c r="DE12" s="106">
        <f t="shared" si="11"/>
        <v>0</v>
      </c>
      <c r="DF12" s="106">
        <f t="shared" si="11"/>
        <v>0</v>
      </c>
      <c r="DG12" s="106">
        <f t="shared" si="11"/>
        <v>0</v>
      </c>
      <c r="DH12" s="106">
        <f t="shared" si="11"/>
        <v>0</v>
      </c>
      <c r="DI12" s="106">
        <f t="shared" si="11"/>
        <v>0</v>
      </c>
      <c r="DJ12" s="106">
        <f t="shared" si="11"/>
        <v>0</v>
      </c>
      <c r="DK12" s="106">
        <f t="shared" si="11"/>
        <v>0</v>
      </c>
      <c r="DL12" s="106">
        <f t="shared" si="11"/>
        <v>0</v>
      </c>
      <c r="DM12" s="106">
        <f t="shared" si="11"/>
        <v>0</v>
      </c>
      <c r="DN12" s="106">
        <f t="shared" si="11"/>
        <v>0</v>
      </c>
      <c r="DO12" s="106">
        <f t="shared" si="11"/>
        <v>0</v>
      </c>
      <c r="DP12" s="106">
        <f t="shared" si="11"/>
        <v>0</v>
      </c>
      <c r="DQ12" s="106">
        <f t="shared" si="11"/>
        <v>0</v>
      </c>
      <c r="DR12" s="106">
        <f t="shared" si="11"/>
        <v>0</v>
      </c>
      <c r="DS12" s="106">
        <f t="shared" si="11"/>
        <v>0</v>
      </c>
      <c r="DT12" s="106">
        <f t="shared" si="11"/>
        <v>0</v>
      </c>
      <c r="DU12" s="106">
        <f t="shared" si="11"/>
        <v>0</v>
      </c>
      <c r="DV12" s="106">
        <f t="shared" si="11"/>
        <v>0</v>
      </c>
      <c r="DW12" s="106">
        <f t="shared" si="11"/>
        <v>0</v>
      </c>
      <c r="DX12" s="106">
        <f t="shared" si="11"/>
        <v>0</v>
      </c>
      <c r="DY12" s="106">
        <f t="shared" si="11"/>
        <v>0</v>
      </c>
      <c r="DZ12" s="106">
        <f t="shared" si="11"/>
        <v>0</v>
      </c>
      <c r="EA12" s="106">
        <f t="shared" si="11"/>
        <v>0</v>
      </c>
      <c r="EB12" s="106">
        <f t="shared" si="11"/>
        <v>0</v>
      </c>
      <c r="EC12" s="106">
        <f t="shared" si="11"/>
        <v>0</v>
      </c>
      <c r="ED12" s="106">
        <f t="shared" si="11"/>
        <v>0</v>
      </c>
      <c r="EE12" s="106">
        <f t="shared" ref="EE12:EF20" si="13">IF(AND(EE$1&gt;=$E12,EE$1&lt;=$F12),$C12/$G12,0)</f>
        <v>0</v>
      </c>
      <c r="EF12" s="106">
        <f t="shared" si="13"/>
        <v>0</v>
      </c>
      <c r="EG12" s="106">
        <f t="shared" si="6"/>
        <v>0</v>
      </c>
      <c r="EH12" s="106">
        <f t="shared" si="6"/>
        <v>0</v>
      </c>
      <c r="EI12" s="106">
        <f t="shared" si="6"/>
        <v>0</v>
      </c>
    </row>
    <row r="13" spans="1:165" x14ac:dyDescent="0.25">
      <c r="A13" s="110" t="str">
        <f t="shared" si="7"/>
        <v>OK</v>
      </c>
      <c r="B13" s="16"/>
      <c r="C13" s="103">
        <v>0</v>
      </c>
      <c r="D13" s="104">
        <f>C13/Ingresos!$A$23</f>
        <v>0</v>
      </c>
      <c r="E13" s="180">
        <v>1</v>
      </c>
      <c r="F13" s="180">
        <v>1</v>
      </c>
      <c r="G13" s="181">
        <f t="shared" si="8"/>
        <v>1</v>
      </c>
      <c r="H13" s="106">
        <f t="shared" si="9"/>
        <v>0</v>
      </c>
      <c r="I13" s="106">
        <f t="shared" si="9"/>
        <v>0</v>
      </c>
      <c r="J13" s="106">
        <f t="shared" si="9"/>
        <v>0</v>
      </c>
      <c r="K13" s="106">
        <f t="shared" si="9"/>
        <v>0</v>
      </c>
      <c r="L13" s="106">
        <f t="shared" si="9"/>
        <v>0</v>
      </c>
      <c r="M13" s="106">
        <f t="shared" si="9"/>
        <v>0</v>
      </c>
      <c r="N13" s="106">
        <f t="shared" si="9"/>
        <v>0</v>
      </c>
      <c r="O13" s="106">
        <f t="shared" si="9"/>
        <v>0</v>
      </c>
      <c r="P13" s="106">
        <f t="shared" si="9"/>
        <v>0</v>
      </c>
      <c r="Q13" s="106">
        <f t="shared" si="9"/>
        <v>0</v>
      </c>
      <c r="R13" s="106">
        <f t="shared" si="9"/>
        <v>0</v>
      </c>
      <c r="S13" s="106">
        <f t="shared" si="9"/>
        <v>0</v>
      </c>
      <c r="T13" s="106">
        <f t="shared" si="9"/>
        <v>0</v>
      </c>
      <c r="U13" s="106">
        <f t="shared" si="9"/>
        <v>0</v>
      </c>
      <c r="V13" s="106">
        <f t="shared" si="9"/>
        <v>0</v>
      </c>
      <c r="W13" s="106">
        <f t="shared" si="9"/>
        <v>0</v>
      </c>
      <c r="X13" s="106">
        <f t="shared" ref="X13:AM20" si="14">IF(AND(X$1&gt;=$E13,X$1&lt;=$F13),$C13/$G13,0)</f>
        <v>0</v>
      </c>
      <c r="Y13" s="106">
        <f t="shared" si="14"/>
        <v>0</v>
      </c>
      <c r="Z13" s="106">
        <f t="shared" si="14"/>
        <v>0</v>
      </c>
      <c r="AA13" s="106">
        <f t="shared" si="14"/>
        <v>0</v>
      </c>
      <c r="AB13" s="106">
        <f t="shared" si="14"/>
        <v>0</v>
      </c>
      <c r="AC13" s="106">
        <f t="shared" si="14"/>
        <v>0</v>
      </c>
      <c r="AD13" s="106">
        <f t="shared" si="14"/>
        <v>0</v>
      </c>
      <c r="AE13" s="106">
        <f t="shared" si="14"/>
        <v>0</v>
      </c>
      <c r="AF13" s="106">
        <f t="shared" si="14"/>
        <v>0</v>
      </c>
      <c r="AG13" s="106">
        <f t="shared" si="14"/>
        <v>0</v>
      </c>
      <c r="AH13" s="106">
        <f t="shared" si="14"/>
        <v>0</v>
      </c>
      <c r="AI13" s="106">
        <f t="shared" si="14"/>
        <v>0</v>
      </c>
      <c r="AJ13" s="106">
        <f t="shared" si="14"/>
        <v>0</v>
      </c>
      <c r="AK13" s="106">
        <f t="shared" si="14"/>
        <v>0</v>
      </c>
      <c r="AL13" s="106">
        <f t="shared" si="14"/>
        <v>0</v>
      </c>
      <c r="AM13" s="106">
        <f t="shared" si="14"/>
        <v>0</v>
      </c>
      <c r="AN13" s="106">
        <f t="shared" ref="AN13:BC20" si="15">IF(AND(AN$1&gt;=$E13,AN$1&lt;=$F13),$C13/$G13,0)</f>
        <v>0</v>
      </c>
      <c r="AO13" s="106">
        <f t="shared" si="15"/>
        <v>0</v>
      </c>
      <c r="AP13" s="106">
        <f t="shared" si="15"/>
        <v>0</v>
      </c>
      <c r="AQ13" s="106">
        <f t="shared" si="15"/>
        <v>0</v>
      </c>
      <c r="AR13" s="106">
        <f t="shared" si="15"/>
        <v>0</v>
      </c>
      <c r="AS13" s="106">
        <f t="shared" si="15"/>
        <v>0</v>
      </c>
      <c r="AT13" s="106">
        <f t="shared" si="15"/>
        <v>0</v>
      </c>
      <c r="AU13" s="106">
        <f t="shared" si="15"/>
        <v>0</v>
      </c>
      <c r="AV13" s="106">
        <f t="shared" si="15"/>
        <v>0</v>
      </c>
      <c r="AW13" s="106">
        <f t="shared" si="15"/>
        <v>0</v>
      </c>
      <c r="AX13" s="106">
        <f t="shared" si="15"/>
        <v>0</v>
      </c>
      <c r="AY13" s="106">
        <f t="shared" si="15"/>
        <v>0</v>
      </c>
      <c r="AZ13" s="106">
        <f t="shared" si="15"/>
        <v>0</v>
      </c>
      <c r="BA13" s="106">
        <f t="shared" si="15"/>
        <v>0</v>
      </c>
      <c r="BB13" s="106">
        <f t="shared" si="15"/>
        <v>0</v>
      </c>
      <c r="BC13" s="106">
        <f t="shared" si="15"/>
        <v>0</v>
      </c>
      <c r="BD13" s="106">
        <f t="shared" ref="BD13:BS20" si="16">IF(AND(BD$1&gt;=$E13,BD$1&lt;=$F13),$C13/$G13,0)</f>
        <v>0</v>
      </c>
      <c r="BE13" s="106">
        <f t="shared" si="16"/>
        <v>0</v>
      </c>
      <c r="BF13" s="106">
        <f t="shared" si="16"/>
        <v>0</v>
      </c>
      <c r="BG13" s="106">
        <f t="shared" si="16"/>
        <v>0</v>
      </c>
      <c r="BH13" s="106">
        <f t="shared" si="16"/>
        <v>0</v>
      </c>
      <c r="BI13" s="106">
        <f t="shared" si="16"/>
        <v>0</v>
      </c>
      <c r="BJ13" s="106">
        <f t="shared" si="16"/>
        <v>0</v>
      </c>
      <c r="BK13" s="106">
        <f t="shared" si="16"/>
        <v>0</v>
      </c>
      <c r="BL13" s="106">
        <f t="shared" si="16"/>
        <v>0</v>
      </c>
      <c r="BM13" s="106">
        <f t="shared" si="16"/>
        <v>0</v>
      </c>
      <c r="BN13" s="106">
        <f t="shared" si="16"/>
        <v>0</v>
      </c>
      <c r="BO13" s="106">
        <f t="shared" si="16"/>
        <v>0</v>
      </c>
      <c r="BP13" s="106">
        <f t="shared" si="16"/>
        <v>0</v>
      </c>
      <c r="BQ13" s="106">
        <f t="shared" si="16"/>
        <v>0</v>
      </c>
      <c r="BR13" s="106">
        <f t="shared" si="16"/>
        <v>0</v>
      </c>
      <c r="BS13" s="106">
        <f t="shared" si="16"/>
        <v>0</v>
      </c>
      <c r="BT13" s="106">
        <f t="shared" si="12"/>
        <v>0</v>
      </c>
      <c r="BU13" s="106">
        <f t="shared" si="12"/>
        <v>0</v>
      </c>
      <c r="BV13" s="106">
        <f t="shared" si="12"/>
        <v>0</v>
      </c>
      <c r="BW13" s="106">
        <f t="shared" si="12"/>
        <v>0</v>
      </c>
      <c r="BX13" s="106">
        <f t="shared" si="12"/>
        <v>0</v>
      </c>
      <c r="BY13" s="106">
        <f t="shared" si="12"/>
        <v>0</v>
      </c>
      <c r="BZ13" s="106">
        <f t="shared" si="12"/>
        <v>0</v>
      </c>
      <c r="CA13" s="106">
        <f t="shared" si="12"/>
        <v>0</v>
      </c>
      <c r="CB13" s="106">
        <f t="shared" si="12"/>
        <v>0</v>
      </c>
      <c r="CC13" s="106">
        <f t="shared" si="12"/>
        <v>0</v>
      </c>
      <c r="CD13" s="106">
        <f t="shared" si="12"/>
        <v>0</v>
      </c>
      <c r="CE13" s="106">
        <f t="shared" si="12"/>
        <v>0</v>
      </c>
      <c r="CF13" s="106">
        <f t="shared" si="12"/>
        <v>0</v>
      </c>
      <c r="CG13" s="106">
        <f t="shared" si="12"/>
        <v>0</v>
      </c>
      <c r="CH13" s="106">
        <f t="shared" si="12"/>
        <v>0</v>
      </c>
      <c r="CI13" s="106">
        <f t="shared" ref="CI13:CX20" si="17">IF(AND(CI$1&gt;=$E13,CI$1&lt;=$F13),$C13/$G13,0)</f>
        <v>0</v>
      </c>
      <c r="CJ13" s="106">
        <f t="shared" si="17"/>
        <v>0</v>
      </c>
      <c r="CK13" s="106">
        <f t="shared" si="17"/>
        <v>0</v>
      </c>
      <c r="CL13" s="106">
        <f t="shared" si="17"/>
        <v>0</v>
      </c>
      <c r="CM13" s="106">
        <f t="shared" si="17"/>
        <v>0</v>
      </c>
      <c r="CN13" s="106">
        <f t="shared" si="17"/>
        <v>0</v>
      </c>
      <c r="CO13" s="106">
        <f t="shared" si="17"/>
        <v>0</v>
      </c>
      <c r="CP13" s="106">
        <f t="shared" si="17"/>
        <v>0</v>
      </c>
      <c r="CQ13" s="106">
        <f t="shared" si="17"/>
        <v>0</v>
      </c>
      <c r="CR13" s="106">
        <f t="shared" si="17"/>
        <v>0</v>
      </c>
      <c r="CS13" s="106">
        <f t="shared" si="17"/>
        <v>0</v>
      </c>
      <c r="CT13" s="106">
        <f t="shared" si="17"/>
        <v>0</v>
      </c>
      <c r="CU13" s="106">
        <f t="shared" si="17"/>
        <v>0</v>
      </c>
      <c r="CV13" s="106">
        <f t="shared" si="17"/>
        <v>0</v>
      </c>
      <c r="CW13" s="106">
        <f t="shared" si="17"/>
        <v>0</v>
      </c>
      <c r="CX13" s="106">
        <f t="shared" si="17"/>
        <v>0</v>
      </c>
      <c r="CY13" s="106">
        <f t="shared" ref="CY13:DN20" si="18">IF(AND(CY$1&gt;=$E13,CY$1&lt;=$F13),$C13/$G13,0)</f>
        <v>0</v>
      </c>
      <c r="CZ13" s="106">
        <f t="shared" si="18"/>
        <v>0</v>
      </c>
      <c r="DA13" s="106">
        <f t="shared" si="18"/>
        <v>0</v>
      </c>
      <c r="DB13" s="106">
        <f t="shared" si="18"/>
        <v>0</v>
      </c>
      <c r="DC13" s="106">
        <f t="shared" si="18"/>
        <v>0</v>
      </c>
      <c r="DD13" s="106">
        <f t="shared" si="18"/>
        <v>0</v>
      </c>
      <c r="DE13" s="106">
        <f t="shared" si="18"/>
        <v>0</v>
      </c>
      <c r="DF13" s="106">
        <f t="shared" si="18"/>
        <v>0</v>
      </c>
      <c r="DG13" s="106">
        <f t="shared" si="18"/>
        <v>0</v>
      </c>
      <c r="DH13" s="106">
        <f t="shared" si="18"/>
        <v>0</v>
      </c>
      <c r="DI13" s="106">
        <f t="shared" si="18"/>
        <v>0</v>
      </c>
      <c r="DJ13" s="106">
        <f t="shared" si="18"/>
        <v>0</v>
      </c>
      <c r="DK13" s="106">
        <f t="shared" si="18"/>
        <v>0</v>
      </c>
      <c r="DL13" s="106">
        <f t="shared" si="18"/>
        <v>0</v>
      </c>
      <c r="DM13" s="106">
        <f t="shared" si="18"/>
        <v>0</v>
      </c>
      <c r="DN13" s="106">
        <f t="shared" si="18"/>
        <v>0</v>
      </c>
      <c r="DO13" s="106">
        <f t="shared" ref="DO13:ED20" si="19">IF(AND(DO$1&gt;=$E13,DO$1&lt;=$F13),$C13/$G13,0)</f>
        <v>0</v>
      </c>
      <c r="DP13" s="106">
        <f t="shared" si="19"/>
        <v>0</v>
      </c>
      <c r="DQ13" s="106">
        <f t="shared" si="19"/>
        <v>0</v>
      </c>
      <c r="DR13" s="106">
        <f t="shared" si="19"/>
        <v>0</v>
      </c>
      <c r="DS13" s="106">
        <f t="shared" si="19"/>
        <v>0</v>
      </c>
      <c r="DT13" s="106">
        <f t="shared" si="19"/>
        <v>0</v>
      </c>
      <c r="DU13" s="106">
        <f t="shared" si="19"/>
        <v>0</v>
      </c>
      <c r="DV13" s="106">
        <f t="shared" si="19"/>
        <v>0</v>
      </c>
      <c r="DW13" s="106">
        <f t="shared" si="19"/>
        <v>0</v>
      </c>
      <c r="DX13" s="106">
        <f t="shared" si="19"/>
        <v>0</v>
      </c>
      <c r="DY13" s="106">
        <f t="shared" si="19"/>
        <v>0</v>
      </c>
      <c r="DZ13" s="106">
        <f t="shared" si="19"/>
        <v>0</v>
      </c>
      <c r="EA13" s="106">
        <f t="shared" si="19"/>
        <v>0</v>
      </c>
      <c r="EB13" s="106">
        <f t="shared" si="19"/>
        <v>0</v>
      </c>
      <c r="EC13" s="106">
        <f t="shared" si="19"/>
        <v>0</v>
      </c>
      <c r="ED13" s="106">
        <f t="shared" si="19"/>
        <v>0</v>
      </c>
      <c r="EE13" s="106">
        <f t="shared" si="13"/>
        <v>0</v>
      </c>
      <c r="EF13" s="106">
        <f t="shared" si="13"/>
        <v>0</v>
      </c>
      <c r="EG13" s="106">
        <f t="shared" si="6"/>
        <v>0</v>
      </c>
      <c r="EH13" s="106">
        <f t="shared" si="6"/>
        <v>0</v>
      </c>
      <c r="EI13" s="106">
        <f t="shared" si="6"/>
        <v>0</v>
      </c>
    </row>
    <row r="14" spans="1:165" x14ac:dyDescent="0.25">
      <c r="A14" s="110" t="str">
        <f t="shared" si="7"/>
        <v>OK</v>
      </c>
      <c r="B14" s="16"/>
      <c r="C14" s="103">
        <v>0</v>
      </c>
      <c r="D14" s="104">
        <f>C14/Ingresos!$A$23</f>
        <v>0</v>
      </c>
      <c r="E14" s="180">
        <v>1</v>
      </c>
      <c r="F14" s="180">
        <v>1</v>
      </c>
      <c r="G14" s="181">
        <f t="shared" si="8"/>
        <v>1</v>
      </c>
      <c r="H14" s="106">
        <f t="shared" si="9"/>
        <v>0</v>
      </c>
      <c r="I14" s="106">
        <f t="shared" si="9"/>
        <v>0</v>
      </c>
      <c r="J14" s="106">
        <f t="shared" si="9"/>
        <v>0</v>
      </c>
      <c r="K14" s="106">
        <f t="shared" si="9"/>
        <v>0</v>
      </c>
      <c r="L14" s="106">
        <f t="shared" si="9"/>
        <v>0</v>
      </c>
      <c r="M14" s="106">
        <f t="shared" si="9"/>
        <v>0</v>
      </c>
      <c r="N14" s="106">
        <f t="shared" si="9"/>
        <v>0</v>
      </c>
      <c r="O14" s="106">
        <f t="shared" si="9"/>
        <v>0</v>
      </c>
      <c r="P14" s="106">
        <f t="shared" si="9"/>
        <v>0</v>
      </c>
      <c r="Q14" s="106">
        <f t="shared" si="9"/>
        <v>0</v>
      </c>
      <c r="R14" s="106">
        <f t="shared" si="9"/>
        <v>0</v>
      </c>
      <c r="S14" s="106">
        <f t="shared" si="9"/>
        <v>0</v>
      </c>
      <c r="T14" s="106">
        <f t="shared" si="9"/>
        <v>0</v>
      </c>
      <c r="U14" s="106">
        <f t="shared" si="9"/>
        <v>0</v>
      </c>
      <c r="V14" s="106">
        <f t="shared" si="9"/>
        <v>0</v>
      </c>
      <c r="W14" s="106">
        <f t="shared" si="9"/>
        <v>0</v>
      </c>
      <c r="X14" s="106">
        <f t="shared" si="14"/>
        <v>0</v>
      </c>
      <c r="Y14" s="106">
        <f t="shared" si="14"/>
        <v>0</v>
      </c>
      <c r="Z14" s="106">
        <f t="shared" si="14"/>
        <v>0</v>
      </c>
      <c r="AA14" s="106">
        <f t="shared" si="14"/>
        <v>0</v>
      </c>
      <c r="AB14" s="106">
        <f t="shared" si="14"/>
        <v>0</v>
      </c>
      <c r="AC14" s="106">
        <f t="shared" si="14"/>
        <v>0</v>
      </c>
      <c r="AD14" s="106">
        <f t="shared" si="14"/>
        <v>0</v>
      </c>
      <c r="AE14" s="106">
        <f t="shared" si="14"/>
        <v>0</v>
      </c>
      <c r="AF14" s="106">
        <f t="shared" si="14"/>
        <v>0</v>
      </c>
      <c r="AG14" s="106">
        <f t="shared" si="14"/>
        <v>0</v>
      </c>
      <c r="AH14" s="106">
        <f t="shared" si="14"/>
        <v>0</v>
      </c>
      <c r="AI14" s="106">
        <f t="shared" si="14"/>
        <v>0</v>
      </c>
      <c r="AJ14" s="106">
        <f t="shared" si="14"/>
        <v>0</v>
      </c>
      <c r="AK14" s="106">
        <f t="shared" si="14"/>
        <v>0</v>
      </c>
      <c r="AL14" s="106">
        <f t="shared" si="14"/>
        <v>0</v>
      </c>
      <c r="AM14" s="106">
        <f t="shared" si="14"/>
        <v>0</v>
      </c>
      <c r="AN14" s="106">
        <f t="shared" si="15"/>
        <v>0</v>
      </c>
      <c r="AO14" s="106">
        <f t="shared" si="15"/>
        <v>0</v>
      </c>
      <c r="AP14" s="106">
        <f t="shared" si="15"/>
        <v>0</v>
      </c>
      <c r="AQ14" s="106">
        <f t="shared" si="15"/>
        <v>0</v>
      </c>
      <c r="AR14" s="106">
        <f t="shared" si="15"/>
        <v>0</v>
      </c>
      <c r="AS14" s="106">
        <f t="shared" si="15"/>
        <v>0</v>
      </c>
      <c r="AT14" s="106">
        <f t="shared" si="15"/>
        <v>0</v>
      </c>
      <c r="AU14" s="106">
        <f t="shared" si="15"/>
        <v>0</v>
      </c>
      <c r="AV14" s="106">
        <f t="shared" si="15"/>
        <v>0</v>
      </c>
      <c r="AW14" s="106">
        <f t="shared" si="15"/>
        <v>0</v>
      </c>
      <c r="AX14" s="106">
        <f t="shared" si="15"/>
        <v>0</v>
      </c>
      <c r="AY14" s="106">
        <f t="shared" si="15"/>
        <v>0</v>
      </c>
      <c r="AZ14" s="106">
        <f t="shared" si="15"/>
        <v>0</v>
      </c>
      <c r="BA14" s="106">
        <f t="shared" si="15"/>
        <v>0</v>
      </c>
      <c r="BB14" s="106">
        <f t="shared" si="15"/>
        <v>0</v>
      </c>
      <c r="BC14" s="106">
        <f t="shared" si="15"/>
        <v>0</v>
      </c>
      <c r="BD14" s="106">
        <f t="shared" si="16"/>
        <v>0</v>
      </c>
      <c r="BE14" s="106">
        <f t="shared" si="16"/>
        <v>0</v>
      </c>
      <c r="BF14" s="106">
        <f t="shared" si="16"/>
        <v>0</v>
      </c>
      <c r="BG14" s="106">
        <f t="shared" si="16"/>
        <v>0</v>
      </c>
      <c r="BH14" s="106">
        <f t="shared" si="16"/>
        <v>0</v>
      </c>
      <c r="BI14" s="106">
        <f t="shared" si="16"/>
        <v>0</v>
      </c>
      <c r="BJ14" s="106">
        <f t="shared" si="16"/>
        <v>0</v>
      </c>
      <c r="BK14" s="106">
        <f t="shared" si="16"/>
        <v>0</v>
      </c>
      <c r="BL14" s="106">
        <f t="shared" si="16"/>
        <v>0</v>
      </c>
      <c r="BM14" s="106">
        <f t="shared" si="16"/>
        <v>0</v>
      </c>
      <c r="BN14" s="106">
        <f t="shared" si="16"/>
        <v>0</v>
      </c>
      <c r="BO14" s="106">
        <f t="shared" si="16"/>
        <v>0</v>
      </c>
      <c r="BP14" s="106">
        <f t="shared" si="16"/>
        <v>0</v>
      </c>
      <c r="BQ14" s="106">
        <f t="shared" si="16"/>
        <v>0</v>
      </c>
      <c r="BR14" s="106">
        <f t="shared" si="16"/>
        <v>0</v>
      </c>
      <c r="BS14" s="106">
        <f t="shared" si="16"/>
        <v>0</v>
      </c>
      <c r="BT14" s="106">
        <f t="shared" si="12"/>
        <v>0</v>
      </c>
      <c r="BU14" s="106">
        <f t="shared" si="12"/>
        <v>0</v>
      </c>
      <c r="BV14" s="106">
        <f t="shared" si="12"/>
        <v>0</v>
      </c>
      <c r="BW14" s="106">
        <f t="shared" si="12"/>
        <v>0</v>
      </c>
      <c r="BX14" s="106">
        <f t="shared" si="12"/>
        <v>0</v>
      </c>
      <c r="BY14" s="106">
        <f t="shared" si="12"/>
        <v>0</v>
      </c>
      <c r="BZ14" s="106">
        <f t="shared" si="12"/>
        <v>0</v>
      </c>
      <c r="CA14" s="106">
        <f t="shared" si="12"/>
        <v>0</v>
      </c>
      <c r="CB14" s="106">
        <f t="shared" si="12"/>
        <v>0</v>
      </c>
      <c r="CC14" s="106">
        <f t="shared" si="12"/>
        <v>0</v>
      </c>
      <c r="CD14" s="106">
        <f t="shared" si="12"/>
        <v>0</v>
      </c>
      <c r="CE14" s="106">
        <f t="shared" si="12"/>
        <v>0</v>
      </c>
      <c r="CF14" s="106">
        <f t="shared" si="12"/>
        <v>0</v>
      </c>
      <c r="CG14" s="106">
        <f t="shared" si="12"/>
        <v>0</v>
      </c>
      <c r="CH14" s="106">
        <f t="shared" si="12"/>
        <v>0</v>
      </c>
      <c r="CI14" s="106">
        <f t="shared" si="17"/>
        <v>0</v>
      </c>
      <c r="CJ14" s="106">
        <f t="shared" si="17"/>
        <v>0</v>
      </c>
      <c r="CK14" s="106">
        <f t="shared" si="17"/>
        <v>0</v>
      </c>
      <c r="CL14" s="106">
        <f t="shared" si="17"/>
        <v>0</v>
      </c>
      <c r="CM14" s="106">
        <f t="shared" si="17"/>
        <v>0</v>
      </c>
      <c r="CN14" s="106">
        <f t="shared" si="17"/>
        <v>0</v>
      </c>
      <c r="CO14" s="106">
        <f t="shared" si="17"/>
        <v>0</v>
      </c>
      <c r="CP14" s="106">
        <f t="shared" si="17"/>
        <v>0</v>
      </c>
      <c r="CQ14" s="106">
        <f t="shared" si="17"/>
        <v>0</v>
      </c>
      <c r="CR14" s="106">
        <f t="shared" si="17"/>
        <v>0</v>
      </c>
      <c r="CS14" s="106">
        <f t="shared" si="17"/>
        <v>0</v>
      </c>
      <c r="CT14" s="106">
        <f t="shared" si="17"/>
        <v>0</v>
      </c>
      <c r="CU14" s="106">
        <f t="shared" si="17"/>
        <v>0</v>
      </c>
      <c r="CV14" s="106">
        <f t="shared" si="17"/>
        <v>0</v>
      </c>
      <c r="CW14" s="106">
        <f t="shared" si="17"/>
        <v>0</v>
      </c>
      <c r="CX14" s="106">
        <f t="shared" si="17"/>
        <v>0</v>
      </c>
      <c r="CY14" s="106">
        <f t="shared" si="18"/>
        <v>0</v>
      </c>
      <c r="CZ14" s="106">
        <f t="shared" si="18"/>
        <v>0</v>
      </c>
      <c r="DA14" s="106">
        <f t="shared" si="18"/>
        <v>0</v>
      </c>
      <c r="DB14" s="106">
        <f t="shared" si="18"/>
        <v>0</v>
      </c>
      <c r="DC14" s="106">
        <f t="shared" si="18"/>
        <v>0</v>
      </c>
      <c r="DD14" s="106">
        <f t="shared" si="18"/>
        <v>0</v>
      </c>
      <c r="DE14" s="106">
        <f t="shared" si="18"/>
        <v>0</v>
      </c>
      <c r="DF14" s="106">
        <f t="shared" si="18"/>
        <v>0</v>
      </c>
      <c r="DG14" s="106">
        <f t="shared" si="18"/>
        <v>0</v>
      </c>
      <c r="DH14" s="106">
        <f t="shared" si="18"/>
        <v>0</v>
      </c>
      <c r="DI14" s="106">
        <f t="shared" si="18"/>
        <v>0</v>
      </c>
      <c r="DJ14" s="106">
        <f t="shared" si="18"/>
        <v>0</v>
      </c>
      <c r="DK14" s="106">
        <f t="shared" si="18"/>
        <v>0</v>
      </c>
      <c r="DL14" s="106">
        <f t="shared" si="18"/>
        <v>0</v>
      </c>
      <c r="DM14" s="106">
        <f t="shared" si="18"/>
        <v>0</v>
      </c>
      <c r="DN14" s="106">
        <f t="shared" si="18"/>
        <v>0</v>
      </c>
      <c r="DO14" s="106">
        <f t="shared" si="19"/>
        <v>0</v>
      </c>
      <c r="DP14" s="106">
        <f t="shared" si="19"/>
        <v>0</v>
      </c>
      <c r="DQ14" s="106">
        <f t="shared" si="19"/>
        <v>0</v>
      </c>
      <c r="DR14" s="106">
        <f t="shared" si="19"/>
        <v>0</v>
      </c>
      <c r="DS14" s="106">
        <f t="shared" si="19"/>
        <v>0</v>
      </c>
      <c r="DT14" s="106">
        <f t="shared" si="19"/>
        <v>0</v>
      </c>
      <c r="DU14" s="106">
        <f t="shared" si="19"/>
        <v>0</v>
      </c>
      <c r="DV14" s="106">
        <f t="shared" si="19"/>
        <v>0</v>
      </c>
      <c r="DW14" s="106">
        <f t="shared" si="19"/>
        <v>0</v>
      </c>
      <c r="DX14" s="106">
        <f t="shared" si="19"/>
        <v>0</v>
      </c>
      <c r="DY14" s="106">
        <f t="shared" si="19"/>
        <v>0</v>
      </c>
      <c r="DZ14" s="106">
        <f t="shared" si="19"/>
        <v>0</v>
      </c>
      <c r="EA14" s="106">
        <f t="shared" si="19"/>
        <v>0</v>
      </c>
      <c r="EB14" s="106">
        <f t="shared" si="19"/>
        <v>0</v>
      </c>
      <c r="EC14" s="106">
        <f t="shared" si="19"/>
        <v>0</v>
      </c>
      <c r="ED14" s="106">
        <f t="shared" si="19"/>
        <v>0</v>
      </c>
      <c r="EE14" s="106">
        <f t="shared" si="13"/>
        <v>0</v>
      </c>
      <c r="EF14" s="106">
        <f t="shared" si="13"/>
        <v>0</v>
      </c>
      <c r="EG14" s="106">
        <f t="shared" si="6"/>
        <v>0</v>
      </c>
      <c r="EH14" s="106">
        <f t="shared" si="6"/>
        <v>0</v>
      </c>
      <c r="EI14" s="106">
        <f t="shared" si="6"/>
        <v>0</v>
      </c>
    </row>
    <row r="15" spans="1:165" x14ac:dyDescent="0.25">
      <c r="A15" s="110" t="str">
        <f t="shared" si="7"/>
        <v>OK</v>
      </c>
      <c r="B15" s="16"/>
      <c r="C15" s="103">
        <v>0</v>
      </c>
      <c r="D15" s="104">
        <f>C15/Ingresos!$A$23</f>
        <v>0</v>
      </c>
      <c r="E15" s="180">
        <v>1</v>
      </c>
      <c r="F15" s="180">
        <v>1</v>
      </c>
      <c r="G15" s="181">
        <f t="shared" si="8"/>
        <v>1</v>
      </c>
      <c r="H15" s="106">
        <f t="shared" si="9"/>
        <v>0</v>
      </c>
      <c r="I15" s="106">
        <f t="shared" si="9"/>
        <v>0</v>
      </c>
      <c r="J15" s="106">
        <f t="shared" si="9"/>
        <v>0</v>
      </c>
      <c r="K15" s="106">
        <f t="shared" si="9"/>
        <v>0</v>
      </c>
      <c r="L15" s="106">
        <f t="shared" si="9"/>
        <v>0</v>
      </c>
      <c r="M15" s="106">
        <f t="shared" si="9"/>
        <v>0</v>
      </c>
      <c r="N15" s="106">
        <f t="shared" si="9"/>
        <v>0</v>
      </c>
      <c r="O15" s="106">
        <f t="shared" si="9"/>
        <v>0</v>
      </c>
      <c r="P15" s="106">
        <f t="shared" si="9"/>
        <v>0</v>
      </c>
      <c r="Q15" s="106">
        <f t="shared" si="9"/>
        <v>0</v>
      </c>
      <c r="R15" s="106">
        <f t="shared" si="9"/>
        <v>0</v>
      </c>
      <c r="S15" s="106">
        <f t="shared" si="9"/>
        <v>0</v>
      </c>
      <c r="T15" s="106">
        <f t="shared" si="9"/>
        <v>0</v>
      </c>
      <c r="U15" s="106">
        <f t="shared" si="9"/>
        <v>0</v>
      </c>
      <c r="V15" s="106">
        <f t="shared" si="9"/>
        <v>0</v>
      </c>
      <c r="W15" s="106">
        <f t="shared" si="9"/>
        <v>0</v>
      </c>
      <c r="X15" s="106">
        <f t="shared" si="14"/>
        <v>0</v>
      </c>
      <c r="Y15" s="106">
        <f t="shared" si="14"/>
        <v>0</v>
      </c>
      <c r="Z15" s="106">
        <f t="shared" si="14"/>
        <v>0</v>
      </c>
      <c r="AA15" s="106">
        <f t="shared" si="14"/>
        <v>0</v>
      </c>
      <c r="AB15" s="106">
        <f t="shared" si="14"/>
        <v>0</v>
      </c>
      <c r="AC15" s="106">
        <f t="shared" si="14"/>
        <v>0</v>
      </c>
      <c r="AD15" s="106">
        <f t="shared" si="14"/>
        <v>0</v>
      </c>
      <c r="AE15" s="106">
        <f t="shared" si="14"/>
        <v>0</v>
      </c>
      <c r="AF15" s="106">
        <f t="shared" si="14"/>
        <v>0</v>
      </c>
      <c r="AG15" s="106">
        <f t="shared" si="14"/>
        <v>0</v>
      </c>
      <c r="AH15" s="106">
        <f t="shared" si="14"/>
        <v>0</v>
      </c>
      <c r="AI15" s="106">
        <f t="shared" si="14"/>
        <v>0</v>
      </c>
      <c r="AJ15" s="106">
        <f t="shared" si="14"/>
        <v>0</v>
      </c>
      <c r="AK15" s="106">
        <f t="shared" si="14"/>
        <v>0</v>
      </c>
      <c r="AL15" s="106">
        <f t="shared" si="14"/>
        <v>0</v>
      </c>
      <c r="AM15" s="106">
        <f t="shared" si="14"/>
        <v>0</v>
      </c>
      <c r="AN15" s="106">
        <f t="shared" si="15"/>
        <v>0</v>
      </c>
      <c r="AO15" s="106">
        <f t="shared" si="15"/>
        <v>0</v>
      </c>
      <c r="AP15" s="106">
        <f t="shared" si="15"/>
        <v>0</v>
      </c>
      <c r="AQ15" s="106">
        <f t="shared" si="15"/>
        <v>0</v>
      </c>
      <c r="AR15" s="106">
        <f t="shared" si="15"/>
        <v>0</v>
      </c>
      <c r="AS15" s="106">
        <f t="shared" si="15"/>
        <v>0</v>
      </c>
      <c r="AT15" s="106">
        <f t="shared" si="15"/>
        <v>0</v>
      </c>
      <c r="AU15" s="106">
        <f t="shared" si="15"/>
        <v>0</v>
      </c>
      <c r="AV15" s="106">
        <f t="shared" si="15"/>
        <v>0</v>
      </c>
      <c r="AW15" s="106">
        <f t="shared" si="15"/>
        <v>0</v>
      </c>
      <c r="AX15" s="106">
        <f t="shared" si="15"/>
        <v>0</v>
      </c>
      <c r="AY15" s="106">
        <f t="shared" si="15"/>
        <v>0</v>
      </c>
      <c r="AZ15" s="106">
        <f t="shared" si="15"/>
        <v>0</v>
      </c>
      <c r="BA15" s="106">
        <f t="shared" si="15"/>
        <v>0</v>
      </c>
      <c r="BB15" s="106">
        <f t="shared" si="15"/>
        <v>0</v>
      </c>
      <c r="BC15" s="106">
        <f t="shared" si="15"/>
        <v>0</v>
      </c>
      <c r="BD15" s="106">
        <f t="shared" si="16"/>
        <v>0</v>
      </c>
      <c r="BE15" s="106">
        <f t="shared" si="16"/>
        <v>0</v>
      </c>
      <c r="BF15" s="106">
        <f t="shared" si="16"/>
        <v>0</v>
      </c>
      <c r="BG15" s="106">
        <f t="shared" si="16"/>
        <v>0</v>
      </c>
      <c r="BH15" s="106">
        <f t="shared" si="16"/>
        <v>0</v>
      </c>
      <c r="BI15" s="106">
        <f t="shared" si="16"/>
        <v>0</v>
      </c>
      <c r="BJ15" s="106">
        <f t="shared" si="16"/>
        <v>0</v>
      </c>
      <c r="BK15" s="106">
        <f t="shared" si="16"/>
        <v>0</v>
      </c>
      <c r="BL15" s="106">
        <f t="shared" si="16"/>
        <v>0</v>
      </c>
      <c r="BM15" s="106">
        <f t="shared" si="16"/>
        <v>0</v>
      </c>
      <c r="BN15" s="106">
        <f t="shared" si="16"/>
        <v>0</v>
      </c>
      <c r="BO15" s="106">
        <f t="shared" si="16"/>
        <v>0</v>
      </c>
      <c r="BP15" s="106">
        <f t="shared" si="16"/>
        <v>0</v>
      </c>
      <c r="BQ15" s="106">
        <f t="shared" si="16"/>
        <v>0</v>
      </c>
      <c r="BR15" s="106">
        <f t="shared" si="16"/>
        <v>0</v>
      </c>
      <c r="BS15" s="106">
        <f t="shared" si="16"/>
        <v>0</v>
      </c>
      <c r="BT15" s="106">
        <f t="shared" si="12"/>
        <v>0</v>
      </c>
      <c r="BU15" s="106">
        <f t="shared" si="12"/>
        <v>0</v>
      </c>
      <c r="BV15" s="106">
        <f t="shared" si="12"/>
        <v>0</v>
      </c>
      <c r="BW15" s="106">
        <f t="shared" si="12"/>
        <v>0</v>
      </c>
      <c r="BX15" s="106">
        <f t="shared" si="12"/>
        <v>0</v>
      </c>
      <c r="BY15" s="106">
        <f t="shared" si="12"/>
        <v>0</v>
      </c>
      <c r="BZ15" s="106">
        <f t="shared" si="12"/>
        <v>0</v>
      </c>
      <c r="CA15" s="106">
        <f t="shared" si="12"/>
        <v>0</v>
      </c>
      <c r="CB15" s="106">
        <f t="shared" si="12"/>
        <v>0</v>
      </c>
      <c r="CC15" s="106">
        <f t="shared" si="12"/>
        <v>0</v>
      </c>
      <c r="CD15" s="106">
        <f t="shared" si="12"/>
        <v>0</v>
      </c>
      <c r="CE15" s="106">
        <f t="shared" si="12"/>
        <v>0</v>
      </c>
      <c r="CF15" s="106">
        <f t="shared" si="12"/>
        <v>0</v>
      </c>
      <c r="CG15" s="106">
        <f t="shared" si="12"/>
        <v>0</v>
      </c>
      <c r="CH15" s="106">
        <f t="shared" si="12"/>
        <v>0</v>
      </c>
      <c r="CI15" s="106">
        <f t="shared" si="17"/>
        <v>0</v>
      </c>
      <c r="CJ15" s="106">
        <f t="shared" si="17"/>
        <v>0</v>
      </c>
      <c r="CK15" s="106">
        <f t="shared" si="17"/>
        <v>0</v>
      </c>
      <c r="CL15" s="106">
        <f t="shared" si="17"/>
        <v>0</v>
      </c>
      <c r="CM15" s="106">
        <f t="shared" si="17"/>
        <v>0</v>
      </c>
      <c r="CN15" s="106">
        <f t="shared" si="17"/>
        <v>0</v>
      </c>
      <c r="CO15" s="106">
        <f t="shared" si="17"/>
        <v>0</v>
      </c>
      <c r="CP15" s="106">
        <f t="shared" si="17"/>
        <v>0</v>
      </c>
      <c r="CQ15" s="106">
        <f t="shared" si="17"/>
        <v>0</v>
      </c>
      <c r="CR15" s="106">
        <f t="shared" si="17"/>
        <v>0</v>
      </c>
      <c r="CS15" s="106">
        <f t="shared" si="17"/>
        <v>0</v>
      </c>
      <c r="CT15" s="106">
        <f t="shared" si="17"/>
        <v>0</v>
      </c>
      <c r="CU15" s="106">
        <f t="shared" si="17"/>
        <v>0</v>
      </c>
      <c r="CV15" s="106">
        <f t="shared" si="17"/>
        <v>0</v>
      </c>
      <c r="CW15" s="106">
        <f t="shared" si="17"/>
        <v>0</v>
      </c>
      <c r="CX15" s="106">
        <f t="shared" si="17"/>
        <v>0</v>
      </c>
      <c r="CY15" s="106">
        <f t="shared" si="18"/>
        <v>0</v>
      </c>
      <c r="CZ15" s="106">
        <f t="shared" si="18"/>
        <v>0</v>
      </c>
      <c r="DA15" s="106">
        <f t="shared" si="18"/>
        <v>0</v>
      </c>
      <c r="DB15" s="106">
        <f t="shared" si="18"/>
        <v>0</v>
      </c>
      <c r="DC15" s="106">
        <f t="shared" si="18"/>
        <v>0</v>
      </c>
      <c r="DD15" s="106">
        <f t="shared" si="18"/>
        <v>0</v>
      </c>
      <c r="DE15" s="106">
        <f t="shared" si="18"/>
        <v>0</v>
      </c>
      <c r="DF15" s="106">
        <f t="shared" si="18"/>
        <v>0</v>
      </c>
      <c r="DG15" s="106">
        <f t="shared" si="18"/>
        <v>0</v>
      </c>
      <c r="DH15" s="106">
        <f t="shared" si="18"/>
        <v>0</v>
      </c>
      <c r="DI15" s="106">
        <f t="shared" si="18"/>
        <v>0</v>
      </c>
      <c r="DJ15" s="106">
        <f t="shared" si="18"/>
        <v>0</v>
      </c>
      <c r="DK15" s="106">
        <f t="shared" si="18"/>
        <v>0</v>
      </c>
      <c r="DL15" s="106">
        <f t="shared" si="18"/>
        <v>0</v>
      </c>
      <c r="DM15" s="106">
        <f t="shared" si="18"/>
        <v>0</v>
      </c>
      <c r="DN15" s="106">
        <f t="shared" si="18"/>
        <v>0</v>
      </c>
      <c r="DO15" s="106">
        <f t="shared" si="19"/>
        <v>0</v>
      </c>
      <c r="DP15" s="106">
        <f t="shared" si="19"/>
        <v>0</v>
      </c>
      <c r="DQ15" s="106">
        <f t="shared" si="19"/>
        <v>0</v>
      </c>
      <c r="DR15" s="106">
        <f t="shared" si="19"/>
        <v>0</v>
      </c>
      <c r="DS15" s="106">
        <f t="shared" si="19"/>
        <v>0</v>
      </c>
      <c r="DT15" s="106">
        <f t="shared" si="19"/>
        <v>0</v>
      </c>
      <c r="DU15" s="106">
        <f t="shared" si="19"/>
        <v>0</v>
      </c>
      <c r="DV15" s="106">
        <f t="shared" si="19"/>
        <v>0</v>
      </c>
      <c r="DW15" s="106">
        <f t="shared" si="19"/>
        <v>0</v>
      </c>
      <c r="DX15" s="106">
        <f t="shared" si="19"/>
        <v>0</v>
      </c>
      <c r="DY15" s="106">
        <f t="shared" si="19"/>
        <v>0</v>
      </c>
      <c r="DZ15" s="106">
        <f t="shared" si="19"/>
        <v>0</v>
      </c>
      <c r="EA15" s="106">
        <f t="shared" si="19"/>
        <v>0</v>
      </c>
      <c r="EB15" s="106">
        <f t="shared" si="19"/>
        <v>0</v>
      </c>
      <c r="EC15" s="106">
        <f t="shared" si="19"/>
        <v>0</v>
      </c>
      <c r="ED15" s="106">
        <f t="shared" si="19"/>
        <v>0</v>
      </c>
      <c r="EE15" s="106">
        <f t="shared" si="13"/>
        <v>0</v>
      </c>
      <c r="EF15" s="106">
        <f t="shared" si="13"/>
        <v>0</v>
      </c>
      <c r="EG15" s="106">
        <f t="shared" si="6"/>
        <v>0</v>
      </c>
      <c r="EH15" s="106">
        <f t="shared" si="6"/>
        <v>0</v>
      </c>
      <c r="EI15" s="106">
        <f t="shared" si="6"/>
        <v>0</v>
      </c>
    </row>
    <row r="16" spans="1:165" x14ac:dyDescent="0.25">
      <c r="A16" s="110" t="str">
        <f t="shared" si="7"/>
        <v>OK</v>
      </c>
      <c r="B16" s="16"/>
      <c r="C16" s="103">
        <v>0</v>
      </c>
      <c r="D16" s="104">
        <f>C16/Ingresos!$A$23</f>
        <v>0</v>
      </c>
      <c r="E16" s="180">
        <v>1</v>
      </c>
      <c r="F16" s="180">
        <v>1</v>
      </c>
      <c r="G16" s="181">
        <f t="shared" si="8"/>
        <v>1</v>
      </c>
      <c r="H16" s="106">
        <f t="shared" si="9"/>
        <v>0</v>
      </c>
      <c r="I16" s="106">
        <f t="shared" si="9"/>
        <v>0</v>
      </c>
      <c r="J16" s="106">
        <f t="shared" si="9"/>
        <v>0</v>
      </c>
      <c r="K16" s="106">
        <f t="shared" si="9"/>
        <v>0</v>
      </c>
      <c r="L16" s="106">
        <f t="shared" si="9"/>
        <v>0</v>
      </c>
      <c r="M16" s="106">
        <f t="shared" si="9"/>
        <v>0</v>
      </c>
      <c r="N16" s="106">
        <f t="shared" si="9"/>
        <v>0</v>
      </c>
      <c r="O16" s="106">
        <f t="shared" si="9"/>
        <v>0</v>
      </c>
      <c r="P16" s="106">
        <f t="shared" si="9"/>
        <v>0</v>
      </c>
      <c r="Q16" s="106">
        <f t="shared" si="9"/>
        <v>0</v>
      </c>
      <c r="R16" s="106">
        <f t="shared" si="9"/>
        <v>0</v>
      </c>
      <c r="S16" s="106">
        <f t="shared" si="9"/>
        <v>0</v>
      </c>
      <c r="T16" s="106">
        <f t="shared" si="9"/>
        <v>0</v>
      </c>
      <c r="U16" s="106">
        <f t="shared" si="9"/>
        <v>0</v>
      </c>
      <c r="V16" s="106">
        <f t="shared" si="9"/>
        <v>0</v>
      </c>
      <c r="W16" s="106">
        <f t="shared" si="9"/>
        <v>0</v>
      </c>
      <c r="X16" s="106">
        <f t="shared" si="14"/>
        <v>0</v>
      </c>
      <c r="Y16" s="106">
        <f t="shared" si="14"/>
        <v>0</v>
      </c>
      <c r="Z16" s="106">
        <f t="shared" si="14"/>
        <v>0</v>
      </c>
      <c r="AA16" s="106">
        <f t="shared" si="14"/>
        <v>0</v>
      </c>
      <c r="AB16" s="106">
        <f t="shared" si="14"/>
        <v>0</v>
      </c>
      <c r="AC16" s="106">
        <f t="shared" si="14"/>
        <v>0</v>
      </c>
      <c r="AD16" s="106">
        <f t="shared" si="14"/>
        <v>0</v>
      </c>
      <c r="AE16" s="106">
        <f t="shared" si="14"/>
        <v>0</v>
      </c>
      <c r="AF16" s="106">
        <f t="shared" si="14"/>
        <v>0</v>
      </c>
      <c r="AG16" s="106">
        <f t="shared" si="14"/>
        <v>0</v>
      </c>
      <c r="AH16" s="106">
        <f t="shared" si="14"/>
        <v>0</v>
      </c>
      <c r="AI16" s="106">
        <f t="shared" si="14"/>
        <v>0</v>
      </c>
      <c r="AJ16" s="106">
        <f t="shared" si="14"/>
        <v>0</v>
      </c>
      <c r="AK16" s="106">
        <f t="shared" si="14"/>
        <v>0</v>
      </c>
      <c r="AL16" s="106">
        <f t="shared" si="14"/>
        <v>0</v>
      </c>
      <c r="AM16" s="106">
        <f t="shared" si="14"/>
        <v>0</v>
      </c>
      <c r="AN16" s="106">
        <f t="shared" si="15"/>
        <v>0</v>
      </c>
      <c r="AO16" s="106">
        <f t="shared" si="15"/>
        <v>0</v>
      </c>
      <c r="AP16" s="106">
        <f t="shared" si="15"/>
        <v>0</v>
      </c>
      <c r="AQ16" s="106">
        <f t="shared" si="15"/>
        <v>0</v>
      </c>
      <c r="AR16" s="106">
        <f t="shared" si="15"/>
        <v>0</v>
      </c>
      <c r="AS16" s="106">
        <f t="shared" si="15"/>
        <v>0</v>
      </c>
      <c r="AT16" s="106">
        <f t="shared" si="15"/>
        <v>0</v>
      </c>
      <c r="AU16" s="106">
        <f t="shared" si="15"/>
        <v>0</v>
      </c>
      <c r="AV16" s="106">
        <f t="shared" si="15"/>
        <v>0</v>
      </c>
      <c r="AW16" s="106">
        <f t="shared" si="15"/>
        <v>0</v>
      </c>
      <c r="AX16" s="106">
        <f t="shared" si="15"/>
        <v>0</v>
      </c>
      <c r="AY16" s="106">
        <f t="shared" si="15"/>
        <v>0</v>
      </c>
      <c r="AZ16" s="106">
        <f t="shared" si="15"/>
        <v>0</v>
      </c>
      <c r="BA16" s="106">
        <f t="shared" si="15"/>
        <v>0</v>
      </c>
      <c r="BB16" s="106">
        <f t="shared" si="15"/>
        <v>0</v>
      </c>
      <c r="BC16" s="106">
        <f t="shared" si="15"/>
        <v>0</v>
      </c>
      <c r="BD16" s="106">
        <f t="shared" si="16"/>
        <v>0</v>
      </c>
      <c r="BE16" s="106">
        <f t="shared" si="16"/>
        <v>0</v>
      </c>
      <c r="BF16" s="106">
        <f t="shared" si="16"/>
        <v>0</v>
      </c>
      <c r="BG16" s="106">
        <f t="shared" si="16"/>
        <v>0</v>
      </c>
      <c r="BH16" s="106">
        <f t="shared" si="16"/>
        <v>0</v>
      </c>
      <c r="BI16" s="106">
        <f t="shared" si="16"/>
        <v>0</v>
      </c>
      <c r="BJ16" s="106">
        <f t="shared" si="16"/>
        <v>0</v>
      </c>
      <c r="BK16" s="106">
        <f t="shared" si="16"/>
        <v>0</v>
      </c>
      <c r="BL16" s="106">
        <f t="shared" si="16"/>
        <v>0</v>
      </c>
      <c r="BM16" s="106">
        <f t="shared" si="16"/>
        <v>0</v>
      </c>
      <c r="BN16" s="106">
        <f t="shared" si="16"/>
        <v>0</v>
      </c>
      <c r="BO16" s="106">
        <f t="shared" si="16"/>
        <v>0</v>
      </c>
      <c r="BP16" s="106">
        <f t="shared" si="16"/>
        <v>0</v>
      </c>
      <c r="BQ16" s="106">
        <f t="shared" si="16"/>
        <v>0</v>
      </c>
      <c r="BR16" s="106">
        <f t="shared" si="16"/>
        <v>0</v>
      </c>
      <c r="BS16" s="106">
        <f t="shared" si="16"/>
        <v>0</v>
      </c>
      <c r="BT16" s="106">
        <f t="shared" si="12"/>
        <v>0</v>
      </c>
      <c r="BU16" s="106">
        <f t="shared" si="12"/>
        <v>0</v>
      </c>
      <c r="BV16" s="106">
        <f t="shared" si="12"/>
        <v>0</v>
      </c>
      <c r="BW16" s="106">
        <f t="shared" si="12"/>
        <v>0</v>
      </c>
      <c r="BX16" s="106">
        <f t="shared" si="12"/>
        <v>0</v>
      </c>
      <c r="BY16" s="106">
        <f t="shared" si="12"/>
        <v>0</v>
      </c>
      <c r="BZ16" s="106">
        <f t="shared" si="12"/>
        <v>0</v>
      </c>
      <c r="CA16" s="106">
        <f t="shared" si="12"/>
        <v>0</v>
      </c>
      <c r="CB16" s="106">
        <f t="shared" si="12"/>
        <v>0</v>
      </c>
      <c r="CC16" s="106">
        <f t="shared" si="12"/>
        <v>0</v>
      </c>
      <c r="CD16" s="106">
        <f t="shared" si="12"/>
        <v>0</v>
      </c>
      <c r="CE16" s="106">
        <f t="shared" si="12"/>
        <v>0</v>
      </c>
      <c r="CF16" s="106">
        <f t="shared" si="12"/>
        <v>0</v>
      </c>
      <c r="CG16" s="106">
        <f t="shared" si="12"/>
        <v>0</v>
      </c>
      <c r="CH16" s="106">
        <f t="shared" si="12"/>
        <v>0</v>
      </c>
      <c r="CI16" s="106">
        <f t="shared" si="17"/>
        <v>0</v>
      </c>
      <c r="CJ16" s="106">
        <f t="shared" si="17"/>
        <v>0</v>
      </c>
      <c r="CK16" s="106">
        <f t="shared" si="17"/>
        <v>0</v>
      </c>
      <c r="CL16" s="106">
        <f t="shared" si="17"/>
        <v>0</v>
      </c>
      <c r="CM16" s="106">
        <f t="shared" si="17"/>
        <v>0</v>
      </c>
      <c r="CN16" s="106">
        <f t="shared" si="17"/>
        <v>0</v>
      </c>
      <c r="CO16" s="106">
        <f t="shared" si="17"/>
        <v>0</v>
      </c>
      <c r="CP16" s="106">
        <f t="shared" si="17"/>
        <v>0</v>
      </c>
      <c r="CQ16" s="106">
        <f t="shared" si="17"/>
        <v>0</v>
      </c>
      <c r="CR16" s="106">
        <f t="shared" si="17"/>
        <v>0</v>
      </c>
      <c r="CS16" s="106">
        <f t="shared" si="17"/>
        <v>0</v>
      </c>
      <c r="CT16" s="106">
        <f t="shared" si="17"/>
        <v>0</v>
      </c>
      <c r="CU16" s="106">
        <f t="shared" si="17"/>
        <v>0</v>
      </c>
      <c r="CV16" s="106">
        <f t="shared" si="17"/>
        <v>0</v>
      </c>
      <c r="CW16" s="106">
        <f t="shared" si="17"/>
        <v>0</v>
      </c>
      <c r="CX16" s="106">
        <f t="shared" si="17"/>
        <v>0</v>
      </c>
      <c r="CY16" s="106">
        <f t="shared" si="18"/>
        <v>0</v>
      </c>
      <c r="CZ16" s="106">
        <f t="shared" si="18"/>
        <v>0</v>
      </c>
      <c r="DA16" s="106">
        <f t="shared" si="18"/>
        <v>0</v>
      </c>
      <c r="DB16" s="106">
        <f t="shared" si="18"/>
        <v>0</v>
      </c>
      <c r="DC16" s="106">
        <f t="shared" si="18"/>
        <v>0</v>
      </c>
      <c r="DD16" s="106">
        <f t="shared" si="18"/>
        <v>0</v>
      </c>
      <c r="DE16" s="106">
        <f t="shared" si="18"/>
        <v>0</v>
      </c>
      <c r="DF16" s="106">
        <f t="shared" si="18"/>
        <v>0</v>
      </c>
      <c r="DG16" s="106">
        <f t="shared" si="18"/>
        <v>0</v>
      </c>
      <c r="DH16" s="106">
        <f t="shared" si="18"/>
        <v>0</v>
      </c>
      <c r="DI16" s="106">
        <f t="shared" si="18"/>
        <v>0</v>
      </c>
      <c r="DJ16" s="106">
        <f t="shared" si="18"/>
        <v>0</v>
      </c>
      <c r="DK16" s="106">
        <f t="shared" si="18"/>
        <v>0</v>
      </c>
      <c r="DL16" s="106">
        <f t="shared" si="18"/>
        <v>0</v>
      </c>
      <c r="DM16" s="106">
        <f t="shared" si="18"/>
        <v>0</v>
      </c>
      <c r="DN16" s="106">
        <f t="shared" si="18"/>
        <v>0</v>
      </c>
      <c r="DO16" s="106">
        <f t="shared" si="19"/>
        <v>0</v>
      </c>
      <c r="DP16" s="106">
        <f t="shared" si="19"/>
        <v>0</v>
      </c>
      <c r="DQ16" s="106">
        <f t="shared" si="19"/>
        <v>0</v>
      </c>
      <c r="DR16" s="106">
        <f t="shared" si="19"/>
        <v>0</v>
      </c>
      <c r="DS16" s="106">
        <f t="shared" si="19"/>
        <v>0</v>
      </c>
      <c r="DT16" s="106">
        <f t="shared" si="19"/>
        <v>0</v>
      </c>
      <c r="DU16" s="106">
        <f t="shared" si="19"/>
        <v>0</v>
      </c>
      <c r="DV16" s="106">
        <f t="shared" si="19"/>
        <v>0</v>
      </c>
      <c r="DW16" s="106">
        <f t="shared" si="19"/>
        <v>0</v>
      </c>
      <c r="DX16" s="106">
        <f t="shared" si="19"/>
        <v>0</v>
      </c>
      <c r="DY16" s="106">
        <f t="shared" si="19"/>
        <v>0</v>
      </c>
      <c r="DZ16" s="106">
        <f t="shared" si="19"/>
        <v>0</v>
      </c>
      <c r="EA16" s="106">
        <f t="shared" si="19"/>
        <v>0</v>
      </c>
      <c r="EB16" s="106">
        <f t="shared" si="19"/>
        <v>0</v>
      </c>
      <c r="EC16" s="106">
        <f t="shared" si="19"/>
        <v>0</v>
      </c>
      <c r="ED16" s="106">
        <f t="shared" si="19"/>
        <v>0</v>
      </c>
      <c r="EE16" s="106">
        <f t="shared" si="13"/>
        <v>0</v>
      </c>
      <c r="EF16" s="106">
        <f t="shared" si="13"/>
        <v>0</v>
      </c>
      <c r="EG16" s="106">
        <f t="shared" si="6"/>
        <v>0</v>
      </c>
      <c r="EH16" s="106">
        <f t="shared" si="6"/>
        <v>0</v>
      </c>
      <c r="EI16" s="106">
        <f t="shared" si="6"/>
        <v>0</v>
      </c>
    </row>
    <row r="17" spans="1:139" x14ac:dyDescent="0.25">
      <c r="A17" s="110" t="str">
        <f t="shared" si="7"/>
        <v>OK</v>
      </c>
      <c r="B17" s="16"/>
      <c r="C17" s="103">
        <v>0</v>
      </c>
      <c r="D17" s="104">
        <f>C17/Ingresos!$A$23</f>
        <v>0</v>
      </c>
      <c r="E17" s="180">
        <v>1</v>
      </c>
      <c r="F17" s="180">
        <v>1</v>
      </c>
      <c r="G17" s="181">
        <f t="shared" si="8"/>
        <v>1</v>
      </c>
      <c r="H17" s="106">
        <f t="shared" si="9"/>
        <v>0</v>
      </c>
      <c r="I17" s="106">
        <f t="shared" si="9"/>
        <v>0</v>
      </c>
      <c r="J17" s="106">
        <f t="shared" si="9"/>
        <v>0</v>
      </c>
      <c r="K17" s="106">
        <f t="shared" si="9"/>
        <v>0</v>
      </c>
      <c r="L17" s="106">
        <f t="shared" si="9"/>
        <v>0</v>
      </c>
      <c r="M17" s="106">
        <f t="shared" si="9"/>
        <v>0</v>
      </c>
      <c r="N17" s="106">
        <f t="shared" si="9"/>
        <v>0</v>
      </c>
      <c r="O17" s="106">
        <f t="shared" si="9"/>
        <v>0</v>
      </c>
      <c r="P17" s="106">
        <f t="shared" si="9"/>
        <v>0</v>
      </c>
      <c r="Q17" s="106">
        <f t="shared" si="9"/>
        <v>0</v>
      </c>
      <c r="R17" s="106">
        <f t="shared" si="9"/>
        <v>0</v>
      </c>
      <c r="S17" s="106">
        <f t="shared" si="9"/>
        <v>0</v>
      </c>
      <c r="T17" s="106">
        <f t="shared" si="9"/>
        <v>0</v>
      </c>
      <c r="U17" s="106">
        <f t="shared" si="9"/>
        <v>0</v>
      </c>
      <c r="V17" s="106">
        <f t="shared" si="9"/>
        <v>0</v>
      </c>
      <c r="W17" s="106">
        <f t="shared" si="9"/>
        <v>0</v>
      </c>
      <c r="X17" s="106">
        <f t="shared" si="14"/>
        <v>0</v>
      </c>
      <c r="Y17" s="106">
        <f t="shared" si="14"/>
        <v>0</v>
      </c>
      <c r="Z17" s="106">
        <f t="shared" si="14"/>
        <v>0</v>
      </c>
      <c r="AA17" s="106">
        <f t="shared" si="14"/>
        <v>0</v>
      </c>
      <c r="AB17" s="106">
        <f t="shared" si="14"/>
        <v>0</v>
      </c>
      <c r="AC17" s="106">
        <f t="shared" si="14"/>
        <v>0</v>
      </c>
      <c r="AD17" s="106">
        <f t="shared" si="14"/>
        <v>0</v>
      </c>
      <c r="AE17" s="106">
        <f t="shared" si="14"/>
        <v>0</v>
      </c>
      <c r="AF17" s="106">
        <f t="shared" si="14"/>
        <v>0</v>
      </c>
      <c r="AG17" s="106">
        <f t="shared" si="14"/>
        <v>0</v>
      </c>
      <c r="AH17" s="106">
        <f t="shared" si="14"/>
        <v>0</v>
      </c>
      <c r="AI17" s="106">
        <f t="shared" si="14"/>
        <v>0</v>
      </c>
      <c r="AJ17" s="106">
        <f t="shared" si="14"/>
        <v>0</v>
      </c>
      <c r="AK17" s="106">
        <f t="shared" si="14"/>
        <v>0</v>
      </c>
      <c r="AL17" s="106">
        <f t="shared" si="14"/>
        <v>0</v>
      </c>
      <c r="AM17" s="106">
        <f t="shared" si="14"/>
        <v>0</v>
      </c>
      <c r="AN17" s="106">
        <f t="shared" si="15"/>
        <v>0</v>
      </c>
      <c r="AO17" s="106">
        <f t="shared" si="15"/>
        <v>0</v>
      </c>
      <c r="AP17" s="106">
        <f t="shared" si="15"/>
        <v>0</v>
      </c>
      <c r="AQ17" s="106">
        <f t="shared" si="15"/>
        <v>0</v>
      </c>
      <c r="AR17" s="106">
        <f t="shared" si="15"/>
        <v>0</v>
      </c>
      <c r="AS17" s="106">
        <f t="shared" si="15"/>
        <v>0</v>
      </c>
      <c r="AT17" s="106">
        <f t="shared" si="15"/>
        <v>0</v>
      </c>
      <c r="AU17" s="106">
        <f t="shared" si="15"/>
        <v>0</v>
      </c>
      <c r="AV17" s="106">
        <f t="shared" si="15"/>
        <v>0</v>
      </c>
      <c r="AW17" s="106">
        <f t="shared" si="15"/>
        <v>0</v>
      </c>
      <c r="AX17" s="106">
        <f t="shared" si="15"/>
        <v>0</v>
      </c>
      <c r="AY17" s="106">
        <f t="shared" si="15"/>
        <v>0</v>
      </c>
      <c r="AZ17" s="106">
        <f t="shared" si="15"/>
        <v>0</v>
      </c>
      <c r="BA17" s="106">
        <f t="shared" si="15"/>
        <v>0</v>
      </c>
      <c r="BB17" s="106">
        <f t="shared" si="15"/>
        <v>0</v>
      </c>
      <c r="BC17" s="106">
        <f t="shared" si="15"/>
        <v>0</v>
      </c>
      <c r="BD17" s="106">
        <f t="shared" si="16"/>
        <v>0</v>
      </c>
      <c r="BE17" s="106">
        <f t="shared" si="16"/>
        <v>0</v>
      </c>
      <c r="BF17" s="106">
        <f t="shared" si="16"/>
        <v>0</v>
      </c>
      <c r="BG17" s="106">
        <f t="shared" si="16"/>
        <v>0</v>
      </c>
      <c r="BH17" s="106">
        <f t="shared" si="16"/>
        <v>0</v>
      </c>
      <c r="BI17" s="106">
        <f t="shared" si="16"/>
        <v>0</v>
      </c>
      <c r="BJ17" s="106">
        <f t="shared" si="16"/>
        <v>0</v>
      </c>
      <c r="BK17" s="106">
        <f t="shared" si="16"/>
        <v>0</v>
      </c>
      <c r="BL17" s="106">
        <f t="shared" si="16"/>
        <v>0</v>
      </c>
      <c r="BM17" s="106">
        <f t="shared" si="16"/>
        <v>0</v>
      </c>
      <c r="BN17" s="106">
        <f t="shared" si="16"/>
        <v>0</v>
      </c>
      <c r="BO17" s="106">
        <f t="shared" si="16"/>
        <v>0</v>
      </c>
      <c r="BP17" s="106">
        <f t="shared" si="16"/>
        <v>0</v>
      </c>
      <c r="BQ17" s="106">
        <f t="shared" si="16"/>
        <v>0</v>
      </c>
      <c r="BR17" s="106">
        <f t="shared" si="16"/>
        <v>0</v>
      </c>
      <c r="BS17" s="106">
        <f t="shared" si="16"/>
        <v>0</v>
      </c>
      <c r="BT17" s="106">
        <f t="shared" si="12"/>
        <v>0</v>
      </c>
      <c r="BU17" s="106">
        <f t="shared" si="12"/>
        <v>0</v>
      </c>
      <c r="BV17" s="106">
        <f t="shared" si="12"/>
        <v>0</v>
      </c>
      <c r="BW17" s="106">
        <f t="shared" si="12"/>
        <v>0</v>
      </c>
      <c r="BX17" s="106">
        <f t="shared" si="12"/>
        <v>0</v>
      </c>
      <c r="BY17" s="106">
        <f t="shared" si="12"/>
        <v>0</v>
      </c>
      <c r="BZ17" s="106">
        <f t="shared" si="12"/>
        <v>0</v>
      </c>
      <c r="CA17" s="106">
        <f t="shared" si="12"/>
        <v>0</v>
      </c>
      <c r="CB17" s="106">
        <f t="shared" si="12"/>
        <v>0</v>
      </c>
      <c r="CC17" s="106">
        <f t="shared" si="12"/>
        <v>0</v>
      </c>
      <c r="CD17" s="106">
        <f t="shared" si="12"/>
        <v>0</v>
      </c>
      <c r="CE17" s="106">
        <f t="shared" si="12"/>
        <v>0</v>
      </c>
      <c r="CF17" s="106">
        <f t="shared" si="12"/>
        <v>0</v>
      </c>
      <c r="CG17" s="106">
        <f t="shared" si="12"/>
        <v>0</v>
      </c>
      <c r="CH17" s="106">
        <f t="shared" si="12"/>
        <v>0</v>
      </c>
      <c r="CI17" s="106">
        <f t="shared" si="17"/>
        <v>0</v>
      </c>
      <c r="CJ17" s="106">
        <f t="shared" si="17"/>
        <v>0</v>
      </c>
      <c r="CK17" s="106">
        <f t="shared" si="17"/>
        <v>0</v>
      </c>
      <c r="CL17" s="106">
        <f t="shared" si="17"/>
        <v>0</v>
      </c>
      <c r="CM17" s="106">
        <f t="shared" si="17"/>
        <v>0</v>
      </c>
      <c r="CN17" s="106">
        <f t="shared" si="17"/>
        <v>0</v>
      </c>
      <c r="CO17" s="106">
        <f t="shared" si="17"/>
        <v>0</v>
      </c>
      <c r="CP17" s="106">
        <f t="shared" si="17"/>
        <v>0</v>
      </c>
      <c r="CQ17" s="106">
        <f t="shared" si="17"/>
        <v>0</v>
      </c>
      <c r="CR17" s="106">
        <f t="shared" si="17"/>
        <v>0</v>
      </c>
      <c r="CS17" s="106">
        <f t="shared" si="17"/>
        <v>0</v>
      </c>
      <c r="CT17" s="106">
        <f t="shared" si="17"/>
        <v>0</v>
      </c>
      <c r="CU17" s="106">
        <f t="shared" si="17"/>
        <v>0</v>
      </c>
      <c r="CV17" s="106">
        <f t="shared" si="17"/>
        <v>0</v>
      </c>
      <c r="CW17" s="106">
        <f t="shared" si="17"/>
        <v>0</v>
      </c>
      <c r="CX17" s="106">
        <f t="shared" si="17"/>
        <v>0</v>
      </c>
      <c r="CY17" s="106">
        <f t="shared" si="18"/>
        <v>0</v>
      </c>
      <c r="CZ17" s="106">
        <f t="shared" si="18"/>
        <v>0</v>
      </c>
      <c r="DA17" s="106">
        <f t="shared" si="18"/>
        <v>0</v>
      </c>
      <c r="DB17" s="106">
        <f t="shared" si="18"/>
        <v>0</v>
      </c>
      <c r="DC17" s="106">
        <f t="shared" si="18"/>
        <v>0</v>
      </c>
      <c r="DD17" s="106">
        <f t="shared" si="18"/>
        <v>0</v>
      </c>
      <c r="DE17" s="106">
        <f t="shared" si="18"/>
        <v>0</v>
      </c>
      <c r="DF17" s="106">
        <f t="shared" si="18"/>
        <v>0</v>
      </c>
      <c r="DG17" s="106">
        <f t="shared" si="18"/>
        <v>0</v>
      </c>
      <c r="DH17" s="106">
        <f t="shared" si="18"/>
        <v>0</v>
      </c>
      <c r="DI17" s="106">
        <f t="shared" si="18"/>
        <v>0</v>
      </c>
      <c r="DJ17" s="106">
        <f t="shared" si="18"/>
        <v>0</v>
      </c>
      <c r="DK17" s="106">
        <f t="shared" si="18"/>
        <v>0</v>
      </c>
      <c r="DL17" s="106">
        <f t="shared" si="18"/>
        <v>0</v>
      </c>
      <c r="DM17" s="106">
        <f t="shared" si="18"/>
        <v>0</v>
      </c>
      <c r="DN17" s="106">
        <f t="shared" si="18"/>
        <v>0</v>
      </c>
      <c r="DO17" s="106">
        <f t="shared" si="19"/>
        <v>0</v>
      </c>
      <c r="DP17" s="106">
        <f t="shared" si="19"/>
        <v>0</v>
      </c>
      <c r="DQ17" s="106">
        <f t="shared" si="19"/>
        <v>0</v>
      </c>
      <c r="DR17" s="106">
        <f t="shared" si="19"/>
        <v>0</v>
      </c>
      <c r="DS17" s="106">
        <f t="shared" si="19"/>
        <v>0</v>
      </c>
      <c r="DT17" s="106">
        <f t="shared" si="19"/>
        <v>0</v>
      </c>
      <c r="DU17" s="106">
        <f t="shared" si="19"/>
        <v>0</v>
      </c>
      <c r="DV17" s="106">
        <f t="shared" si="19"/>
        <v>0</v>
      </c>
      <c r="DW17" s="106">
        <f t="shared" si="19"/>
        <v>0</v>
      </c>
      <c r="DX17" s="106">
        <f t="shared" si="19"/>
        <v>0</v>
      </c>
      <c r="DY17" s="106">
        <f t="shared" si="19"/>
        <v>0</v>
      </c>
      <c r="DZ17" s="106">
        <f t="shared" si="19"/>
        <v>0</v>
      </c>
      <c r="EA17" s="106">
        <f t="shared" si="19"/>
        <v>0</v>
      </c>
      <c r="EB17" s="106">
        <f t="shared" si="19"/>
        <v>0</v>
      </c>
      <c r="EC17" s="106">
        <f t="shared" si="19"/>
        <v>0</v>
      </c>
      <c r="ED17" s="106">
        <f t="shared" si="19"/>
        <v>0</v>
      </c>
      <c r="EE17" s="106">
        <f t="shared" si="13"/>
        <v>0</v>
      </c>
      <c r="EF17" s="106">
        <f t="shared" si="13"/>
        <v>0</v>
      </c>
      <c r="EG17" s="106">
        <f t="shared" si="6"/>
        <v>0</v>
      </c>
      <c r="EH17" s="106">
        <f t="shared" si="6"/>
        <v>0</v>
      </c>
      <c r="EI17" s="106">
        <f t="shared" si="6"/>
        <v>0</v>
      </c>
    </row>
    <row r="18" spans="1:139" x14ac:dyDescent="0.25">
      <c r="A18" s="110" t="str">
        <f t="shared" si="7"/>
        <v>OK</v>
      </c>
      <c r="B18" s="16"/>
      <c r="C18" s="103">
        <v>0</v>
      </c>
      <c r="D18" s="104">
        <f>C18/Ingresos!$A$23</f>
        <v>0</v>
      </c>
      <c r="E18" s="180">
        <v>1</v>
      </c>
      <c r="F18" s="180">
        <v>1</v>
      </c>
      <c r="G18" s="181">
        <f t="shared" si="8"/>
        <v>1</v>
      </c>
      <c r="H18" s="106">
        <f t="shared" si="9"/>
        <v>0</v>
      </c>
      <c r="I18" s="106">
        <f t="shared" si="9"/>
        <v>0</v>
      </c>
      <c r="J18" s="106">
        <f t="shared" si="9"/>
        <v>0</v>
      </c>
      <c r="K18" s="106">
        <f t="shared" si="9"/>
        <v>0</v>
      </c>
      <c r="L18" s="106">
        <f t="shared" si="9"/>
        <v>0</v>
      </c>
      <c r="M18" s="106">
        <f t="shared" si="9"/>
        <v>0</v>
      </c>
      <c r="N18" s="106">
        <f t="shared" si="9"/>
        <v>0</v>
      </c>
      <c r="O18" s="106">
        <f t="shared" si="9"/>
        <v>0</v>
      </c>
      <c r="P18" s="106">
        <f t="shared" si="9"/>
        <v>0</v>
      </c>
      <c r="Q18" s="106">
        <f t="shared" si="9"/>
        <v>0</v>
      </c>
      <c r="R18" s="106">
        <f t="shared" si="9"/>
        <v>0</v>
      </c>
      <c r="S18" s="106">
        <f t="shared" si="9"/>
        <v>0</v>
      </c>
      <c r="T18" s="106">
        <f t="shared" si="9"/>
        <v>0</v>
      </c>
      <c r="U18" s="106">
        <f t="shared" si="9"/>
        <v>0</v>
      </c>
      <c r="V18" s="106">
        <f t="shared" si="9"/>
        <v>0</v>
      </c>
      <c r="W18" s="106">
        <f t="shared" si="9"/>
        <v>0</v>
      </c>
      <c r="X18" s="106">
        <f t="shared" si="14"/>
        <v>0</v>
      </c>
      <c r="Y18" s="106">
        <f t="shared" si="14"/>
        <v>0</v>
      </c>
      <c r="Z18" s="106">
        <f t="shared" si="14"/>
        <v>0</v>
      </c>
      <c r="AA18" s="106">
        <f t="shared" si="14"/>
        <v>0</v>
      </c>
      <c r="AB18" s="106">
        <f t="shared" si="14"/>
        <v>0</v>
      </c>
      <c r="AC18" s="106">
        <f t="shared" si="14"/>
        <v>0</v>
      </c>
      <c r="AD18" s="106">
        <f t="shared" si="14"/>
        <v>0</v>
      </c>
      <c r="AE18" s="106">
        <f t="shared" si="14"/>
        <v>0</v>
      </c>
      <c r="AF18" s="106">
        <f t="shared" si="14"/>
        <v>0</v>
      </c>
      <c r="AG18" s="106">
        <f t="shared" si="14"/>
        <v>0</v>
      </c>
      <c r="AH18" s="106">
        <f t="shared" si="14"/>
        <v>0</v>
      </c>
      <c r="AI18" s="106">
        <f t="shared" si="14"/>
        <v>0</v>
      </c>
      <c r="AJ18" s="106">
        <f t="shared" si="14"/>
        <v>0</v>
      </c>
      <c r="AK18" s="106">
        <f t="shared" si="14"/>
        <v>0</v>
      </c>
      <c r="AL18" s="106">
        <f t="shared" si="14"/>
        <v>0</v>
      </c>
      <c r="AM18" s="106">
        <f t="shared" si="14"/>
        <v>0</v>
      </c>
      <c r="AN18" s="106">
        <f t="shared" si="15"/>
        <v>0</v>
      </c>
      <c r="AO18" s="106">
        <f t="shared" si="15"/>
        <v>0</v>
      </c>
      <c r="AP18" s="106">
        <f t="shared" si="15"/>
        <v>0</v>
      </c>
      <c r="AQ18" s="106">
        <f t="shared" si="15"/>
        <v>0</v>
      </c>
      <c r="AR18" s="106">
        <f t="shared" si="15"/>
        <v>0</v>
      </c>
      <c r="AS18" s="106">
        <f t="shared" si="15"/>
        <v>0</v>
      </c>
      <c r="AT18" s="106">
        <f t="shared" si="15"/>
        <v>0</v>
      </c>
      <c r="AU18" s="106">
        <f t="shared" si="15"/>
        <v>0</v>
      </c>
      <c r="AV18" s="106">
        <f t="shared" si="15"/>
        <v>0</v>
      </c>
      <c r="AW18" s="106">
        <f t="shared" si="15"/>
        <v>0</v>
      </c>
      <c r="AX18" s="106">
        <f t="shared" si="15"/>
        <v>0</v>
      </c>
      <c r="AY18" s="106">
        <f t="shared" si="15"/>
        <v>0</v>
      </c>
      <c r="AZ18" s="106">
        <f t="shared" si="15"/>
        <v>0</v>
      </c>
      <c r="BA18" s="106">
        <f t="shared" si="15"/>
        <v>0</v>
      </c>
      <c r="BB18" s="106">
        <f t="shared" si="15"/>
        <v>0</v>
      </c>
      <c r="BC18" s="106">
        <f t="shared" si="15"/>
        <v>0</v>
      </c>
      <c r="BD18" s="106">
        <f t="shared" si="16"/>
        <v>0</v>
      </c>
      <c r="BE18" s="106">
        <f t="shared" si="16"/>
        <v>0</v>
      </c>
      <c r="BF18" s="106">
        <f t="shared" si="16"/>
        <v>0</v>
      </c>
      <c r="BG18" s="106">
        <f t="shared" si="16"/>
        <v>0</v>
      </c>
      <c r="BH18" s="106">
        <f t="shared" si="16"/>
        <v>0</v>
      </c>
      <c r="BI18" s="106">
        <f t="shared" si="16"/>
        <v>0</v>
      </c>
      <c r="BJ18" s="106">
        <f t="shared" si="16"/>
        <v>0</v>
      </c>
      <c r="BK18" s="106">
        <f t="shared" si="16"/>
        <v>0</v>
      </c>
      <c r="BL18" s="106">
        <f t="shared" si="16"/>
        <v>0</v>
      </c>
      <c r="BM18" s="106">
        <f t="shared" si="16"/>
        <v>0</v>
      </c>
      <c r="BN18" s="106">
        <f t="shared" si="16"/>
        <v>0</v>
      </c>
      <c r="BO18" s="106">
        <f t="shared" si="16"/>
        <v>0</v>
      </c>
      <c r="BP18" s="106">
        <f t="shared" si="16"/>
        <v>0</v>
      </c>
      <c r="BQ18" s="106">
        <f t="shared" si="16"/>
        <v>0</v>
      </c>
      <c r="BR18" s="106">
        <f t="shared" si="16"/>
        <v>0</v>
      </c>
      <c r="BS18" s="106">
        <f t="shared" si="16"/>
        <v>0</v>
      </c>
      <c r="BT18" s="106">
        <f t="shared" si="12"/>
        <v>0</v>
      </c>
      <c r="BU18" s="106">
        <f t="shared" si="12"/>
        <v>0</v>
      </c>
      <c r="BV18" s="106">
        <f t="shared" si="12"/>
        <v>0</v>
      </c>
      <c r="BW18" s="106">
        <f t="shared" si="12"/>
        <v>0</v>
      </c>
      <c r="BX18" s="106">
        <f t="shared" si="12"/>
        <v>0</v>
      </c>
      <c r="BY18" s="106">
        <f t="shared" si="12"/>
        <v>0</v>
      </c>
      <c r="BZ18" s="106">
        <f t="shared" si="12"/>
        <v>0</v>
      </c>
      <c r="CA18" s="106">
        <f t="shared" si="12"/>
        <v>0</v>
      </c>
      <c r="CB18" s="106">
        <f t="shared" si="12"/>
        <v>0</v>
      </c>
      <c r="CC18" s="106">
        <f t="shared" si="12"/>
        <v>0</v>
      </c>
      <c r="CD18" s="106">
        <f t="shared" si="12"/>
        <v>0</v>
      </c>
      <c r="CE18" s="106">
        <f t="shared" si="12"/>
        <v>0</v>
      </c>
      <c r="CF18" s="106">
        <f t="shared" si="12"/>
        <v>0</v>
      </c>
      <c r="CG18" s="106">
        <f t="shared" si="12"/>
        <v>0</v>
      </c>
      <c r="CH18" s="106">
        <f t="shared" si="12"/>
        <v>0</v>
      </c>
      <c r="CI18" s="106">
        <f t="shared" si="17"/>
        <v>0</v>
      </c>
      <c r="CJ18" s="106">
        <f t="shared" si="17"/>
        <v>0</v>
      </c>
      <c r="CK18" s="106">
        <f t="shared" si="17"/>
        <v>0</v>
      </c>
      <c r="CL18" s="106">
        <f t="shared" si="17"/>
        <v>0</v>
      </c>
      <c r="CM18" s="106">
        <f t="shared" si="17"/>
        <v>0</v>
      </c>
      <c r="CN18" s="106">
        <f t="shared" si="17"/>
        <v>0</v>
      </c>
      <c r="CO18" s="106">
        <f t="shared" si="17"/>
        <v>0</v>
      </c>
      <c r="CP18" s="106">
        <f t="shared" si="17"/>
        <v>0</v>
      </c>
      <c r="CQ18" s="106">
        <f t="shared" si="17"/>
        <v>0</v>
      </c>
      <c r="CR18" s="106">
        <f t="shared" si="17"/>
        <v>0</v>
      </c>
      <c r="CS18" s="106">
        <f t="shared" si="17"/>
        <v>0</v>
      </c>
      <c r="CT18" s="106">
        <f t="shared" si="17"/>
        <v>0</v>
      </c>
      <c r="CU18" s="106">
        <f t="shared" si="17"/>
        <v>0</v>
      </c>
      <c r="CV18" s="106">
        <f t="shared" si="17"/>
        <v>0</v>
      </c>
      <c r="CW18" s="106">
        <f t="shared" si="17"/>
        <v>0</v>
      </c>
      <c r="CX18" s="106">
        <f t="shared" si="17"/>
        <v>0</v>
      </c>
      <c r="CY18" s="106">
        <f t="shared" si="18"/>
        <v>0</v>
      </c>
      <c r="CZ18" s="106">
        <f t="shared" si="18"/>
        <v>0</v>
      </c>
      <c r="DA18" s="106">
        <f t="shared" si="18"/>
        <v>0</v>
      </c>
      <c r="DB18" s="106">
        <f t="shared" si="18"/>
        <v>0</v>
      </c>
      <c r="DC18" s="106">
        <f t="shared" si="18"/>
        <v>0</v>
      </c>
      <c r="DD18" s="106">
        <f t="shared" si="18"/>
        <v>0</v>
      </c>
      <c r="DE18" s="106">
        <f t="shared" si="18"/>
        <v>0</v>
      </c>
      <c r="DF18" s="106">
        <f t="shared" si="18"/>
        <v>0</v>
      </c>
      <c r="DG18" s="106">
        <f t="shared" si="18"/>
        <v>0</v>
      </c>
      <c r="DH18" s="106">
        <f t="shared" si="18"/>
        <v>0</v>
      </c>
      <c r="DI18" s="106">
        <f t="shared" si="18"/>
        <v>0</v>
      </c>
      <c r="DJ18" s="106">
        <f t="shared" si="18"/>
        <v>0</v>
      </c>
      <c r="DK18" s="106">
        <f t="shared" si="18"/>
        <v>0</v>
      </c>
      <c r="DL18" s="106">
        <f t="shared" si="18"/>
        <v>0</v>
      </c>
      <c r="DM18" s="106">
        <f t="shared" si="18"/>
        <v>0</v>
      </c>
      <c r="DN18" s="106">
        <f t="shared" si="18"/>
        <v>0</v>
      </c>
      <c r="DO18" s="106">
        <f t="shared" si="19"/>
        <v>0</v>
      </c>
      <c r="DP18" s="106">
        <f t="shared" si="19"/>
        <v>0</v>
      </c>
      <c r="DQ18" s="106">
        <f t="shared" si="19"/>
        <v>0</v>
      </c>
      <c r="DR18" s="106">
        <f t="shared" si="19"/>
        <v>0</v>
      </c>
      <c r="DS18" s="106">
        <f t="shared" si="19"/>
        <v>0</v>
      </c>
      <c r="DT18" s="106">
        <f t="shared" si="19"/>
        <v>0</v>
      </c>
      <c r="DU18" s="106">
        <f t="shared" si="19"/>
        <v>0</v>
      </c>
      <c r="DV18" s="106">
        <f t="shared" si="19"/>
        <v>0</v>
      </c>
      <c r="DW18" s="106">
        <f t="shared" si="19"/>
        <v>0</v>
      </c>
      <c r="DX18" s="106">
        <f t="shared" si="19"/>
        <v>0</v>
      </c>
      <c r="DY18" s="106">
        <f t="shared" si="19"/>
        <v>0</v>
      </c>
      <c r="DZ18" s="106">
        <f t="shared" si="19"/>
        <v>0</v>
      </c>
      <c r="EA18" s="106">
        <f t="shared" si="19"/>
        <v>0</v>
      </c>
      <c r="EB18" s="106">
        <f t="shared" si="19"/>
        <v>0</v>
      </c>
      <c r="EC18" s="106">
        <f t="shared" si="19"/>
        <v>0</v>
      </c>
      <c r="ED18" s="106">
        <f t="shared" si="19"/>
        <v>0</v>
      </c>
      <c r="EE18" s="106">
        <f t="shared" si="13"/>
        <v>0</v>
      </c>
      <c r="EF18" s="106">
        <f t="shared" si="13"/>
        <v>0</v>
      </c>
      <c r="EG18" s="106">
        <f t="shared" si="6"/>
        <v>0</v>
      </c>
      <c r="EH18" s="106">
        <f t="shared" si="6"/>
        <v>0</v>
      </c>
      <c r="EI18" s="106">
        <f t="shared" si="6"/>
        <v>0</v>
      </c>
    </row>
    <row r="19" spans="1:139" x14ac:dyDescent="0.25">
      <c r="A19" s="110" t="str">
        <f t="shared" si="7"/>
        <v>OK</v>
      </c>
      <c r="B19" s="16"/>
      <c r="C19" s="103">
        <v>0</v>
      </c>
      <c r="D19" s="104">
        <f>C19/Ingresos!$A$23</f>
        <v>0</v>
      </c>
      <c r="E19" s="180">
        <v>1</v>
      </c>
      <c r="F19" s="180">
        <v>1</v>
      </c>
      <c r="G19" s="181">
        <f t="shared" si="8"/>
        <v>1</v>
      </c>
      <c r="H19" s="106">
        <f t="shared" si="9"/>
        <v>0</v>
      </c>
      <c r="I19" s="106">
        <f t="shared" si="9"/>
        <v>0</v>
      </c>
      <c r="J19" s="106">
        <f t="shared" si="9"/>
        <v>0</v>
      </c>
      <c r="K19" s="106">
        <f t="shared" si="9"/>
        <v>0</v>
      </c>
      <c r="L19" s="106">
        <f t="shared" si="9"/>
        <v>0</v>
      </c>
      <c r="M19" s="106">
        <f t="shared" si="9"/>
        <v>0</v>
      </c>
      <c r="N19" s="106">
        <f t="shared" si="9"/>
        <v>0</v>
      </c>
      <c r="O19" s="106">
        <f t="shared" si="9"/>
        <v>0</v>
      </c>
      <c r="P19" s="106">
        <f t="shared" si="9"/>
        <v>0</v>
      </c>
      <c r="Q19" s="106">
        <f t="shared" si="9"/>
        <v>0</v>
      </c>
      <c r="R19" s="106">
        <f t="shared" si="9"/>
        <v>0</v>
      </c>
      <c r="S19" s="106">
        <f t="shared" si="9"/>
        <v>0</v>
      </c>
      <c r="T19" s="106">
        <f t="shared" si="9"/>
        <v>0</v>
      </c>
      <c r="U19" s="106">
        <f t="shared" si="9"/>
        <v>0</v>
      </c>
      <c r="V19" s="106">
        <f t="shared" si="9"/>
        <v>0</v>
      </c>
      <c r="W19" s="106">
        <f t="shared" si="9"/>
        <v>0</v>
      </c>
      <c r="X19" s="106">
        <f t="shared" si="14"/>
        <v>0</v>
      </c>
      <c r="Y19" s="106">
        <f t="shared" si="14"/>
        <v>0</v>
      </c>
      <c r="Z19" s="106">
        <f t="shared" si="14"/>
        <v>0</v>
      </c>
      <c r="AA19" s="106">
        <f t="shared" si="14"/>
        <v>0</v>
      </c>
      <c r="AB19" s="106">
        <f t="shared" si="14"/>
        <v>0</v>
      </c>
      <c r="AC19" s="106">
        <f t="shared" si="14"/>
        <v>0</v>
      </c>
      <c r="AD19" s="106">
        <f t="shared" si="14"/>
        <v>0</v>
      </c>
      <c r="AE19" s="106">
        <f t="shared" si="14"/>
        <v>0</v>
      </c>
      <c r="AF19" s="106">
        <f t="shared" si="14"/>
        <v>0</v>
      </c>
      <c r="AG19" s="106">
        <f t="shared" si="14"/>
        <v>0</v>
      </c>
      <c r="AH19" s="106">
        <f t="shared" si="14"/>
        <v>0</v>
      </c>
      <c r="AI19" s="106">
        <f t="shared" si="14"/>
        <v>0</v>
      </c>
      <c r="AJ19" s="106">
        <f t="shared" si="14"/>
        <v>0</v>
      </c>
      <c r="AK19" s="106">
        <f t="shared" si="14"/>
        <v>0</v>
      </c>
      <c r="AL19" s="106">
        <f t="shared" si="14"/>
        <v>0</v>
      </c>
      <c r="AM19" s="106">
        <f t="shared" si="14"/>
        <v>0</v>
      </c>
      <c r="AN19" s="106">
        <f t="shared" si="15"/>
        <v>0</v>
      </c>
      <c r="AO19" s="106">
        <f t="shared" si="15"/>
        <v>0</v>
      </c>
      <c r="AP19" s="106">
        <f t="shared" si="15"/>
        <v>0</v>
      </c>
      <c r="AQ19" s="106">
        <f t="shared" si="15"/>
        <v>0</v>
      </c>
      <c r="AR19" s="106">
        <f t="shared" si="15"/>
        <v>0</v>
      </c>
      <c r="AS19" s="106">
        <f t="shared" si="15"/>
        <v>0</v>
      </c>
      <c r="AT19" s="106">
        <f t="shared" si="15"/>
        <v>0</v>
      </c>
      <c r="AU19" s="106">
        <f t="shared" si="15"/>
        <v>0</v>
      </c>
      <c r="AV19" s="106">
        <f t="shared" si="15"/>
        <v>0</v>
      </c>
      <c r="AW19" s="106">
        <f t="shared" si="15"/>
        <v>0</v>
      </c>
      <c r="AX19" s="106">
        <f t="shared" si="15"/>
        <v>0</v>
      </c>
      <c r="AY19" s="106">
        <f t="shared" si="15"/>
        <v>0</v>
      </c>
      <c r="AZ19" s="106">
        <f t="shared" si="15"/>
        <v>0</v>
      </c>
      <c r="BA19" s="106">
        <f t="shared" si="15"/>
        <v>0</v>
      </c>
      <c r="BB19" s="106">
        <f t="shared" si="15"/>
        <v>0</v>
      </c>
      <c r="BC19" s="106">
        <f t="shared" si="15"/>
        <v>0</v>
      </c>
      <c r="BD19" s="106">
        <f t="shared" si="16"/>
        <v>0</v>
      </c>
      <c r="BE19" s="106">
        <f t="shared" si="16"/>
        <v>0</v>
      </c>
      <c r="BF19" s="106">
        <f t="shared" si="16"/>
        <v>0</v>
      </c>
      <c r="BG19" s="106">
        <f t="shared" si="16"/>
        <v>0</v>
      </c>
      <c r="BH19" s="106">
        <f t="shared" si="16"/>
        <v>0</v>
      </c>
      <c r="BI19" s="106">
        <f t="shared" si="16"/>
        <v>0</v>
      </c>
      <c r="BJ19" s="106">
        <f t="shared" si="16"/>
        <v>0</v>
      </c>
      <c r="BK19" s="106">
        <f t="shared" si="16"/>
        <v>0</v>
      </c>
      <c r="BL19" s="106">
        <f t="shared" si="16"/>
        <v>0</v>
      </c>
      <c r="BM19" s="106">
        <f t="shared" si="16"/>
        <v>0</v>
      </c>
      <c r="BN19" s="106">
        <f t="shared" si="16"/>
        <v>0</v>
      </c>
      <c r="BO19" s="106">
        <f t="shared" si="16"/>
        <v>0</v>
      </c>
      <c r="BP19" s="106">
        <f t="shared" si="16"/>
        <v>0</v>
      </c>
      <c r="BQ19" s="106">
        <f t="shared" si="16"/>
        <v>0</v>
      </c>
      <c r="BR19" s="106">
        <f t="shared" si="16"/>
        <v>0</v>
      </c>
      <c r="BS19" s="106">
        <f t="shared" si="16"/>
        <v>0</v>
      </c>
      <c r="BT19" s="106">
        <f t="shared" si="12"/>
        <v>0</v>
      </c>
      <c r="BU19" s="106">
        <f t="shared" si="12"/>
        <v>0</v>
      </c>
      <c r="BV19" s="106">
        <f t="shared" si="12"/>
        <v>0</v>
      </c>
      <c r="BW19" s="106">
        <f t="shared" si="12"/>
        <v>0</v>
      </c>
      <c r="BX19" s="106">
        <f t="shared" si="12"/>
        <v>0</v>
      </c>
      <c r="BY19" s="106">
        <f t="shared" si="12"/>
        <v>0</v>
      </c>
      <c r="BZ19" s="106">
        <f t="shared" si="12"/>
        <v>0</v>
      </c>
      <c r="CA19" s="106">
        <f t="shared" si="12"/>
        <v>0</v>
      </c>
      <c r="CB19" s="106">
        <f t="shared" si="12"/>
        <v>0</v>
      </c>
      <c r="CC19" s="106">
        <f t="shared" si="12"/>
        <v>0</v>
      </c>
      <c r="CD19" s="106">
        <f t="shared" si="12"/>
        <v>0</v>
      </c>
      <c r="CE19" s="106">
        <f t="shared" si="12"/>
        <v>0</v>
      </c>
      <c r="CF19" s="106">
        <f t="shared" si="12"/>
        <v>0</v>
      </c>
      <c r="CG19" s="106">
        <f t="shared" si="12"/>
        <v>0</v>
      </c>
      <c r="CH19" s="106">
        <f t="shared" si="12"/>
        <v>0</v>
      </c>
      <c r="CI19" s="106">
        <f t="shared" si="17"/>
        <v>0</v>
      </c>
      <c r="CJ19" s="106">
        <f t="shared" si="17"/>
        <v>0</v>
      </c>
      <c r="CK19" s="106">
        <f t="shared" si="17"/>
        <v>0</v>
      </c>
      <c r="CL19" s="106">
        <f t="shared" si="17"/>
        <v>0</v>
      </c>
      <c r="CM19" s="106">
        <f t="shared" si="17"/>
        <v>0</v>
      </c>
      <c r="CN19" s="106">
        <f t="shared" si="17"/>
        <v>0</v>
      </c>
      <c r="CO19" s="106">
        <f t="shared" si="17"/>
        <v>0</v>
      </c>
      <c r="CP19" s="106">
        <f t="shared" si="17"/>
        <v>0</v>
      </c>
      <c r="CQ19" s="106">
        <f t="shared" si="17"/>
        <v>0</v>
      </c>
      <c r="CR19" s="106">
        <f t="shared" si="17"/>
        <v>0</v>
      </c>
      <c r="CS19" s="106">
        <f t="shared" si="17"/>
        <v>0</v>
      </c>
      <c r="CT19" s="106">
        <f t="shared" si="17"/>
        <v>0</v>
      </c>
      <c r="CU19" s="106">
        <f t="shared" si="17"/>
        <v>0</v>
      </c>
      <c r="CV19" s="106">
        <f t="shared" si="17"/>
        <v>0</v>
      </c>
      <c r="CW19" s="106">
        <f t="shared" si="17"/>
        <v>0</v>
      </c>
      <c r="CX19" s="106">
        <f t="shared" si="17"/>
        <v>0</v>
      </c>
      <c r="CY19" s="106">
        <f t="shared" si="18"/>
        <v>0</v>
      </c>
      <c r="CZ19" s="106">
        <f t="shared" si="18"/>
        <v>0</v>
      </c>
      <c r="DA19" s="106">
        <f t="shared" si="18"/>
        <v>0</v>
      </c>
      <c r="DB19" s="106">
        <f t="shared" si="18"/>
        <v>0</v>
      </c>
      <c r="DC19" s="106">
        <f t="shared" si="18"/>
        <v>0</v>
      </c>
      <c r="DD19" s="106">
        <f t="shared" si="18"/>
        <v>0</v>
      </c>
      <c r="DE19" s="106">
        <f t="shared" si="18"/>
        <v>0</v>
      </c>
      <c r="DF19" s="106">
        <f t="shared" si="18"/>
        <v>0</v>
      </c>
      <c r="DG19" s="106">
        <f t="shared" si="18"/>
        <v>0</v>
      </c>
      <c r="DH19" s="106">
        <f t="shared" si="18"/>
        <v>0</v>
      </c>
      <c r="DI19" s="106">
        <f t="shared" si="18"/>
        <v>0</v>
      </c>
      <c r="DJ19" s="106">
        <f t="shared" si="18"/>
        <v>0</v>
      </c>
      <c r="DK19" s="106">
        <f t="shared" si="18"/>
        <v>0</v>
      </c>
      <c r="DL19" s="106">
        <f t="shared" si="18"/>
        <v>0</v>
      </c>
      <c r="DM19" s="106">
        <f t="shared" si="18"/>
        <v>0</v>
      </c>
      <c r="DN19" s="106">
        <f t="shared" si="18"/>
        <v>0</v>
      </c>
      <c r="DO19" s="106">
        <f t="shared" si="19"/>
        <v>0</v>
      </c>
      <c r="DP19" s="106">
        <f t="shared" si="19"/>
        <v>0</v>
      </c>
      <c r="DQ19" s="106">
        <f t="shared" si="19"/>
        <v>0</v>
      </c>
      <c r="DR19" s="106">
        <f t="shared" si="19"/>
        <v>0</v>
      </c>
      <c r="DS19" s="106">
        <f t="shared" si="19"/>
        <v>0</v>
      </c>
      <c r="DT19" s="106">
        <f t="shared" si="19"/>
        <v>0</v>
      </c>
      <c r="DU19" s="106">
        <f t="shared" si="19"/>
        <v>0</v>
      </c>
      <c r="DV19" s="106">
        <f t="shared" si="19"/>
        <v>0</v>
      </c>
      <c r="DW19" s="106">
        <f t="shared" si="19"/>
        <v>0</v>
      </c>
      <c r="DX19" s="106">
        <f t="shared" si="19"/>
        <v>0</v>
      </c>
      <c r="DY19" s="106">
        <f t="shared" si="19"/>
        <v>0</v>
      </c>
      <c r="DZ19" s="106">
        <f t="shared" si="19"/>
        <v>0</v>
      </c>
      <c r="EA19" s="106">
        <f t="shared" si="19"/>
        <v>0</v>
      </c>
      <c r="EB19" s="106">
        <f t="shared" si="19"/>
        <v>0</v>
      </c>
      <c r="EC19" s="106">
        <f t="shared" si="19"/>
        <v>0</v>
      </c>
      <c r="ED19" s="106">
        <f t="shared" si="19"/>
        <v>0</v>
      </c>
      <c r="EE19" s="106">
        <f t="shared" si="13"/>
        <v>0</v>
      </c>
      <c r="EF19" s="106">
        <f t="shared" si="13"/>
        <v>0</v>
      </c>
      <c r="EG19" s="106">
        <f t="shared" si="6"/>
        <v>0</v>
      </c>
      <c r="EH19" s="106">
        <f t="shared" si="6"/>
        <v>0</v>
      </c>
      <c r="EI19" s="106">
        <f t="shared" si="6"/>
        <v>0</v>
      </c>
    </row>
    <row r="20" spans="1:139" x14ac:dyDescent="0.25">
      <c r="A20" s="110" t="str">
        <f t="shared" si="7"/>
        <v>OK</v>
      </c>
      <c r="B20" s="16"/>
      <c r="C20" s="103">
        <v>0</v>
      </c>
      <c r="D20" s="104">
        <f>C20/Ingresos!$A$23</f>
        <v>0</v>
      </c>
      <c r="E20" s="180">
        <v>1</v>
      </c>
      <c r="F20" s="180">
        <v>1</v>
      </c>
      <c r="G20" s="181">
        <f t="shared" si="8"/>
        <v>1</v>
      </c>
      <c r="H20" s="106">
        <f t="shared" si="9"/>
        <v>0</v>
      </c>
      <c r="I20" s="106">
        <f t="shared" si="9"/>
        <v>0</v>
      </c>
      <c r="J20" s="106">
        <f t="shared" si="9"/>
        <v>0</v>
      </c>
      <c r="K20" s="106">
        <f t="shared" si="9"/>
        <v>0</v>
      </c>
      <c r="L20" s="106">
        <f t="shared" si="9"/>
        <v>0</v>
      </c>
      <c r="M20" s="106">
        <f t="shared" si="9"/>
        <v>0</v>
      </c>
      <c r="N20" s="106">
        <f t="shared" si="9"/>
        <v>0</v>
      </c>
      <c r="O20" s="106">
        <f t="shared" si="9"/>
        <v>0</v>
      </c>
      <c r="P20" s="106">
        <f t="shared" si="9"/>
        <v>0</v>
      </c>
      <c r="Q20" s="106">
        <f t="shared" si="9"/>
        <v>0</v>
      </c>
      <c r="R20" s="106">
        <f t="shared" si="9"/>
        <v>0</v>
      </c>
      <c r="S20" s="106">
        <f t="shared" si="9"/>
        <v>0</v>
      </c>
      <c r="T20" s="106">
        <f t="shared" si="9"/>
        <v>0</v>
      </c>
      <c r="U20" s="106">
        <f t="shared" si="9"/>
        <v>0</v>
      </c>
      <c r="V20" s="106">
        <f t="shared" si="9"/>
        <v>0</v>
      </c>
      <c r="W20" s="106">
        <f t="shared" si="9"/>
        <v>0</v>
      </c>
      <c r="X20" s="106">
        <f t="shared" si="14"/>
        <v>0</v>
      </c>
      <c r="Y20" s="106">
        <f t="shared" si="14"/>
        <v>0</v>
      </c>
      <c r="Z20" s="106">
        <f t="shared" si="14"/>
        <v>0</v>
      </c>
      <c r="AA20" s="106">
        <f t="shared" si="14"/>
        <v>0</v>
      </c>
      <c r="AB20" s="106">
        <f t="shared" si="14"/>
        <v>0</v>
      </c>
      <c r="AC20" s="106">
        <f t="shared" si="14"/>
        <v>0</v>
      </c>
      <c r="AD20" s="106">
        <f t="shared" si="14"/>
        <v>0</v>
      </c>
      <c r="AE20" s="106">
        <f t="shared" si="14"/>
        <v>0</v>
      </c>
      <c r="AF20" s="106">
        <f t="shared" si="14"/>
        <v>0</v>
      </c>
      <c r="AG20" s="106">
        <f t="shared" si="14"/>
        <v>0</v>
      </c>
      <c r="AH20" s="106">
        <f t="shared" si="14"/>
        <v>0</v>
      </c>
      <c r="AI20" s="106">
        <f t="shared" si="14"/>
        <v>0</v>
      </c>
      <c r="AJ20" s="106">
        <f t="shared" si="14"/>
        <v>0</v>
      </c>
      <c r="AK20" s="106">
        <f t="shared" si="14"/>
        <v>0</v>
      </c>
      <c r="AL20" s="106">
        <f t="shared" si="14"/>
        <v>0</v>
      </c>
      <c r="AM20" s="106">
        <f t="shared" si="14"/>
        <v>0</v>
      </c>
      <c r="AN20" s="106">
        <f t="shared" si="15"/>
        <v>0</v>
      </c>
      <c r="AO20" s="106">
        <f t="shared" si="15"/>
        <v>0</v>
      </c>
      <c r="AP20" s="106">
        <f t="shared" si="15"/>
        <v>0</v>
      </c>
      <c r="AQ20" s="106">
        <f t="shared" si="15"/>
        <v>0</v>
      </c>
      <c r="AR20" s="106">
        <f t="shared" si="15"/>
        <v>0</v>
      </c>
      <c r="AS20" s="106">
        <f t="shared" si="15"/>
        <v>0</v>
      </c>
      <c r="AT20" s="106">
        <f t="shared" si="15"/>
        <v>0</v>
      </c>
      <c r="AU20" s="106">
        <f t="shared" si="15"/>
        <v>0</v>
      </c>
      <c r="AV20" s="106">
        <f t="shared" si="15"/>
        <v>0</v>
      </c>
      <c r="AW20" s="106">
        <f t="shared" si="15"/>
        <v>0</v>
      </c>
      <c r="AX20" s="106">
        <f t="shared" si="15"/>
        <v>0</v>
      </c>
      <c r="AY20" s="106">
        <f t="shared" si="15"/>
        <v>0</v>
      </c>
      <c r="AZ20" s="106">
        <f t="shared" si="15"/>
        <v>0</v>
      </c>
      <c r="BA20" s="106">
        <f t="shared" si="15"/>
        <v>0</v>
      </c>
      <c r="BB20" s="106">
        <f t="shared" si="15"/>
        <v>0</v>
      </c>
      <c r="BC20" s="106">
        <f t="shared" si="15"/>
        <v>0</v>
      </c>
      <c r="BD20" s="106">
        <f t="shared" si="16"/>
        <v>0</v>
      </c>
      <c r="BE20" s="106">
        <f t="shared" si="16"/>
        <v>0</v>
      </c>
      <c r="BF20" s="106">
        <f t="shared" si="16"/>
        <v>0</v>
      </c>
      <c r="BG20" s="106">
        <f t="shared" si="16"/>
        <v>0</v>
      </c>
      <c r="BH20" s="106">
        <f t="shared" si="16"/>
        <v>0</v>
      </c>
      <c r="BI20" s="106">
        <f t="shared" si="16"/>
        <v>0</v>
      </c>
      <c r="BJ20" s="106">
        <f t="shared" si="16"/>
        <v>0</v>
      </c>
      <c r="BK20" s="106">
        <f t="shared" si="16"/>
        <v>0</v>
      </c>
      <c r="BL20" s="106">
        <f t="shared" si="16"/>
        <v>0</v>
      </c>
      <c r="BM20" s="106">
        <f t="shared" si="16"/>
        <v>0</v>
      </c>
      <c r="BN20" s="106">
        <f t="shared" si="16"/>
        <v>0</v>
      </c>
      <c r="BO20" s="106">
        <f t="shared" si="16"/>
        <v>0</v>
      </c>
      <c r="BP20" s="106">
        <f t="shared" si="16"/>
        <v>0</v>
      </c>
      <c r="BQ20" s="106">
        <f t="shared" si="16"/>
        <v>0</v>
      </c>
      <c r="BR20" s="106">
        <f t="shared" si="16"/>
        <v>0</v>
      </c>
      <c r="BS20" s="106">
        <f t="shared" si="16"/>
        <v>0</v>
      </c>
      <c r="BT20" s="106">
        <f t="shared" si="12"/>
        <v>0</v>
      </c>
      <c r="BU20" s="106">
        <f t="shared" si="12"/>
        <v>0</v>
      </c>
      <c r="BV20" s="106">
        <f t="shared" si="12"/>
        <v>0</v>
      </c>
      <c r="BW20" s="106">
        <f t="shared" si="12"/>
        <v>0</v>
      </c>
      <c r="BX20" s="106">
        <f t="shared" si="12"/>
        <v>0</v>
      </c>
      <c r="BY20" s="106">
        <f t="shared" si="12"/>
        <v>0</v>
      </c>
      <c r="BZ20" s="106">
        <f t="shared" si="12"/>
        <v>0</v>
      </c>
      <c r="CA20" s="106">
        <f t="shared" si="12"/>
        <v>0</v>
      </c>
      <c r="CB20" s="106">
        <f t="shared" si="12"/>
        <v>0</v>
      </c>
      <c r="CC20" s="106">
        <f t="shared" si="12"/>
        <v>0</v>
      </c>
      <c r="CD20" s="106">
        <f t="shared" si="12"/>
        <v>0</v>
      </c>
      <c r="CE20" s="106">
        <f t="shared" si="12"/>
        <v>0</v>
      </c>
      <c r="CF20" s="106">
        <f t="shared" si="12"/>
        <v>0</v>
      </c>
      <c r="CG20" s="106">
        <f t="shared" si="12"/>
        <v>0</v>
      </c>
      <c r="CH20" s="106">
        <f t="shared" si="12"/>
        <v>0</v>
      </c>
      <c r="CI20" s="106">
        <f t="shared" si="17"/>
        <v>0</v>
      </c>
      <c r="CJ20" s="106">
        <f t="shared" si="17"/>
        <v>0</v>
      </c>
      <c r="CK20" s="106">
        <f t="shared" si="17"/>
        <v>0</v>
      </c>
      <c r="CL20" s="106">
        <f t="shared" si="17"/>
        <v>0</v>
      </c>
      <c r="CM20" s="106">
        <f t="shared" si="17"/>
        <v>0</v>
      </c>
      <c r="CN20" s="106">
        <f t="shared" si="17"/>
        <v>0</v>
      </c>
      <c r="CO20" s="106">
        <f t="shared" si="17"/>
        <v>0</v>
      </c>
      <c r="CP20" s="106">
        <f t="shared" si="17"/>
        <v>0</v>
      </c>
      <c r="CQ20" s="106">
        <f t="shared" si="17"/>
        <v>0</v>
      </c>
      <c r="CR20" s="106">
        <f t="shared" si="17"/>
        <v>0</v>
      </c>
      <c r="CS20" s="106">
        <f t="shared" si="17"/>
        <v>0</v>
      </c>
      <c r="CT20" s="106">
        <f t="shared" si="17"/>
        <v>0</v>
      </c>
      <c r="CU20" s="106">
        <f t="shared" si="17"/>
        <v>0</v>
      </c>
      <c r="CV20" s="106">
        <f t="shared" si="17"/>
        <v>0</v>
      </c>
      <c r="CW20" s="106">
        <f t="shared" si="17"/>
        <v>0</v>
      </c>
      <c r="CX20" s="106">
        <f t="shared" si="17"/>
        <v>0</v>
      </c>
      <c r="CY20" s="106">
        <f t="shared" si="18"/>
        <v>0</v>
      </c>
      <c r="CZ20" s="106">
        <f t="shared" si="18"/>
        <v>0</v>
      </c>
      <c r="DA20" s="106">
        <f t="shared" si="18"/>
        <v>0</v>
      </c>
      <c r="DB20" s="106">
        <f t="shared" si="18"/>
        <v>0</v>
      </c>
      <c r="DC20" s="106">
        <f t="shared" si="18"/>
        <v>0</v>
      </c>
      <c r="DD20" s="106">
        <f t="shared" si="18"/>
        <v>0</v>
      </c>
      <c r="DE20" s="106">
        <f t="shared" si="18"/>
        <v>0</v>
      </c>
      <c r="DF20" s="106">
        <f t="shared" si="18"/>
        <v>0</v>
      </c>
      <c r="DG20" s="106">
        <f t="shared" si="18"/>
        <v>0</v>
      </c>
      <c r="DH20" s="106">
        <f t="shared" si="18"/>
        <v>0</v>
      </c>
      <c r="DI20" s="106">
        <f t="shared" si="18"/>
        <v>0</v>
      </c>
      <c r="DJ20" s="106">
        <f t="shared" si="18"/>
        <v>0</v>
      </c>
      <c r="DK20" s="106">
        <f t="shared" si="18"/>
        <v>0</v>
      </c>
      <c r="DL20" s="106">
        <f t="shared" si="18"/>
        <v>0</v>
      </c>
      <c r="DM20" s="106">
        <f t="shared" si="18"/>
        <v>0</v>
      </c>
      <c r="DN20" s="106">
        <f t="shared" si="18"/>
        <v>0</v>
      </c>
      <c r="DO20" s="106">
        <f t="shared" si="19"/>
        <v>0</v>
      </c>
      <c r="DP20" s="106">
        <f t="shared" si="19"/>
        <v>0</v>
      </c>
      <c r="DQ20" s="106">
        <f t="shared" si="19"/>
        <v>0</v>
      </c>
      <c r="DR20" s="106">
        <f t="shared" si="19"/>
        <v>0</v>
      </c>
      <c r="DS20" s="106">
        <f t="shared" si="19"/>
        <v>0</v>
      </c>
      <c r="DT20" s="106">
        <f t="shared" si="19"/>
        <v>0</v>
      </c>
      <c r="DU20" s="106">
        <f t="shared" si="19"/>
        <v>0</v>
      </c>
      <c r="DV20" s="106">
        <f t="shared" si="19"/>
        <v>0</v>
      </c>
      <c r="DW20" s="106">
        <f t="shared" si="19"/>
        <v>0</v>
      </c>
      <c r="DX20" s="106">
        <f t="shared" si="19"/>
        <v>0</v>
      </c>
      <c r="DY20" s="106">
        <f t="shared" si="19"/>
        <v>0</v>
      </c>
      <c r="DZ20" s="106">
        <f t="shared" si="19"/>
        <v>0</v>
      </c>
      <c r="EA20" s="106">
        <f t="shared" si="19"/>
        <v>0</v>
      </c>
      <c r="EB20" s="106">
        <f t="shared" si="19"/>
        <v>0</v>
      </c>
      <c r="EC20" s="106">
        <f t="shared" si="19"/>
        <v>0</v>
      </c>
      <c r="ED20" s="106">
        <f t="shared" si="19"/>
        <v>0</v>
      </c>
      <c r="EE20" s="106">
        <f t="shared" si="13"/>
        <v>0</v>
      </c>
      <c r="EF20" s="106">
        <f t="shared" si="13"/>
        <v>0</v>
      </c>
      <c r="EG20" s="106">
        <f t="shared" si="6"/>
        <v>0</v>
      </c>
      <c r="EH20" s="106">
        <f t="shared" si="6"/>
        <v>0</v>
      </c>
      <c r="EI20" s="106">
        <f t="shared" si="6"/>
        <v>0</v>
      </c>
    </row>
    <row r="21" spans="1:139" x14ac:dyDescent="0.25">
      <c r="A21" s="110" t="str">
        <f t="shared" si="7"/>
        <v>OK</v>
      </c>
      <c r="B21" s="14" t="s">
        <v>31</v>
      </c>
      <c r="C21" s="95">
        <f>SUM(C5:C20)</f>
        <v>1482800000</v>
      </c>
      <c r="D21" s="95">
        <f>SUM(D5:D20)</f>
        <v>4236571.4285714282</v>
      </c>
      <c r="E21" s="182">
        <f t="array" ref="E21">MIN(IF($C$5:$C$20&gt;0,E5:E20))</f>
        <v>2</v>
      </c>
      <c r="F21" s="182" cm="1">
        <f t="array" ref="F21">MAX(IF($C$5:$C$20&gt;0,F5:F20))</f>
        <v>12</v>
      </c>
      <c r="G21" s="183">
        <f t="shared" si="8"/>
        <v>11</v>
      </c>
      <c r="H21" s="107">
        <f>SUM(H5:H20)</f>
        <v>0</v>
      </c>
      <c r="I21" s="108">
        <f t="shared" ref="I21:BT21" si="20">SUM(I5:I20)</f>
        <v>73504545.454545453</v>
      </c>
      <c r="J21" s="108">
        <f t="shared" si="20"/>
        <v>233504545.45454547</v>
      </c>
      <c r="K21" s="108">
        <f t="shared" si="20"/>
        <v>233504545.45454547</v>
      </c>
      <c r="L21" s="108">
        <f t="shared" si="20"/>
        <v>233504545.45454547</v>
      </c>
      <c r="M21" s="108">
        <f t="shared" si="20"/>
        <v>235379545.45454547</v>
      </c>
      <c r="N21" s="108">
        <f t="shared" si="20"/>
        <v>235379545.45454547</v>
      </c>
      <c r="O21" s="108">
        <f t="shared" si="20"/>
        <v>75379545.454545453</v>
      </c>
      <c r="P21" s="108">
        <f t="shared" si="20"/>
        <v>75379545.454545453</v>
      </c>
      <c r="Q21" s="108">
        <f t="shared" si="20"/>
        <v>29087878.787878789</v>
      </c>
      <c r="R21" s="108">
        <f t="shared" si="20"/>
        <v>29087878.787878789</v>
      </c>
      <c r="S21" s="108">
        <f t="shared" si="20"/>
        <v>29087878.787878789</v>
      </c>
      <c r="T21" s="108">
        <f t="shared" si="20"/>
        <v>0</v>
      </c>
      <c r="U21" s="108">
        <f t="shared" si="20"/>
        <v>0</v>
      </c>
      <c r="V21" s="108">
        <f t="shared" si="20"/>
        <v>0</v>
      </c>
      <c r="W21" s="108">
        <f t="shared" si="20"/>
        <v>0</v>
      </c>
      <c r="X21" s="108">
        <f t="shared" si="20"/>
        <v>0</v>
      </c>
      <c r="Y21" s="108">
        <f t="shared" si="20"/>
        <v>0</v>
      </c>
      <c r="Z21" s="108">
        <f t="shared" si="20"/>
        <v>0</v>
      </c>
      <c r="AA21" s="108">
        <f t="shared" si="20"/>
        <v>0</v>
      </c>
      <c r="AB21" s="108">
        <f t="shared" si="20"/>
        <v>0</v>
      </c>
      <c r="AC21" s="108">
        <f t="shared" si="20"/>
        <v>0</v>
      </c>
      <c r="AD21" s="108">
        <f t="shared" si="20"/>
        <v>0</v>
      </c>
      <c r="AE21" s="108">
        <f t="shared" si="20"/>
        <v>0</v>
      </c>
      <c r="AF21" s="108">
        <f t="shared" si="20"/>
        <v>0</v>
      </c>
      <c r="AG21" s="108">
        <f t="shared" si="20"/>
        <v>0</v>
      </c>
      <c r="AH21" s="108">
        <f t="shared" si="20"/>
        <v>0</v>
      </c>
      <c r="AI21" s="108">
        <f t="shared" si="20"/>
        <v>0</v>
      </c>
      <c r="AJ21" s="108">
        <f t="shared" si="20"/>
        <v>0</v>
      </c>
      <c r="AK21" s="108">
        <f t="shared" si="20"/>
        <v>0</v>
      </c>
      <c r="AL21" s="108">
        <f t="shared" si="20"/>
        <v>0</v>
      </c>
      <c r="AM21" s="108">
        <f t="shared" si="20"/>
        <v>0</v>
      </c>
      <c r="AN21" s="108">
        <f t="shared" si="20"/>
        <v>0</v>
      </c>
      <c r="AO21" s="108">
        <f t="shared" si="20"/>
        <v>0</v>
      </c>
      <c r="AP21" s="108">
        <f t="shared" si="20"/>
        <v>0</v>
      </c>
      <c r="AQ21" s="108">
        <f t="shared" si="20"/>
        <v>0</v>
      </c>
      <c r="AR21" s="108">
        <f t="shared" si="20"/>
        <v>0</v>
      </c>
      <c r="AS21" s="108">
        <f t="shared" si="20"/>
        <v>0</v>
      </c>
      <c r="AT21" s="108">
        <f t="shared" si="20"/>
        <v>0</v>
      </c>
      <c r="AU21" s="108">
        <f t="shared" si="20"/>
        <v>0</v>
      </c>
      <c r="AV21" s="108">
        <f t="shared" si="20"/>
        <v>0</v>
      </c>
      <c r="AW21" s="108">
        <f t="shared" si="20"/>
        <v>0</v>
      </c>
      <c r="AX21" s="108">
        <f t="shared" si="20"/>
        <v>0</v>
      </c>
      <c r="AY21" s="108">
        <f t="shared" si="20"/>
        <v>0</v>
      </c>
      <c r="AZ21" s="108">
        <f t="shared" si="20"/>
        <v>0</v>
      </c>
      <c r="BA21" s="108">
        <f t="shared" si="20"/>
        <v>0</v>
      </c>
      <c r="BB21" s="108">
        <f t="shared" si="20"/>
        <v>0</v>
      </c>
      <c r="BC21" s="108">
        <f t="shared" si="20"/>
        <v>0</v>
      </c>
      <c r="BD21" s="108">
        <f t="shared" si="20"/>
        <v>0</v>
      </c>
      <c r="BE21" s="108">
        <f t="shared" si="20"/>
        <v>0</v>
      </c>
      <c r="BF21" s="108">
        <f t="shared" si="20"/>
        <v>0</v>
      </c>
      <c r="BG21" s="108">
        <f t="shared" si="20"/>
        <v>0</v>
      </c>
      <c r="BH21" s="108">
        <f t="shared" si="20"/>
        <v>0</v>
      </c>
      <c r="BI21" s="108">
        <f t="shared" si="20"/>
        <v>0</v>
      </c>
      <c r="BJ21" s="108">
        <f t="shared" si="20"/>
        <v>0</v>
      </c>
      <c r="BK21" s="108">
        <f t="shared" si="20"/>
        <v>0</v>
      </c>
      <c r="BL21" s="108">
        <f t="shared" si="20"/>
        <v>0</v>
      </c>
      <c r="BM21" s="108">
        <f t="shared" si="20"/>
        <v>0</v>
      </c>
      <c r="BN21" s="108">
        <f t="shared" si="20"/>
        <v>0</v>
      </c>
      <c r="BO21" s="108">
        <f t="shared" si="20"/>
        <v>0</v>
      </c>
      <c r="BP21" s="108">
        <f t="shared" si="20"/>
        <v>0</v>
      </c>
      <c r="BQ21" s="108">
        <f t="shared" si="20"/>
        <v>0</v>
      </c>
      <c r="BR21" s="108">
        <f t="shared" si="20"/>
        <v>0</v>
      </c>
      <c r="BS21" s="108">
        <f t="shared" si="20"/>
        <v>0</v>
      </c>
      <c r="BT21" s="108">
        <f t="shared" si="20"/>
        <v>0</v>
      </c>
      <c r="BU21" s="108">
        <f t="shared" ref="BU21:EF21" si="21">SUM(BU5:BU20)</f>
        <v>0</v>
      </c>
      <c r="BV21" s="108">
        <f t="shared" si="21"/>
        <v>0</v>
      </c>
      <c r="BW21" s="108">
        <f t="shared" si="21"/>
        <v>0</v>
      </c>
      <c r="BX21" s="108">
        <f t="shared" si="21"/>
        <v>0</v>
      </c>
      <c r="BY21" s="108">
        <f t="shared" si="21"/>
        <v>0</v>
      </c>
      <c r="BZ21" s="108">
        <f t="shared" si="21"/>
        <v>0</v>
      </c>
      <c r="CA21" s="108">
        <f t="shared" si="21"/>
        <v>0</v>
      </c>
      <c r="CB21" s="108">
        <f t="shared" si="21"/>
        <v>0</v>
      </c>
      <c r="CC21" s="108">
        <f t="shared" si="21"/>
        <v>0</v>
      </c>
      <c r="CD21" s="108">
        <f t="shared" si="21"/>
        <v>0</v>
      </c>
      <c r="CE21" s="108">
        <f t="shared" si="21"/>
        <v>0</v>
      </c>
      <c r="CF21" s="108">
        <f t="shared" si="21"/>
        <v>0</v>
      </c>
      <c r="CG21" s="108">
        <f t="shared" si="21"/>
        <v>0</v>
      </c>
      <c r="CH21" s="108">
        <f t="shared" si="21"/>
        <v>0</v>
      </c>
      <c r="CI21" s="108">
        <f t="shared" si="21"/>
        <v>0</v>
      </c>
      <c r="CJ21" s="108">
        <f t="shared" si="21"/>
        <v>0</v>
      </c>
      <c r="CK21" s="108">
        <f t="shared" si="21"/>
        <v>0</v>
      </c>
      <c r="CL21" s="108">
        <f t="shared" si="21"/>
        <v>0</v>
      </c>
      <c r="CM21" s="108">
        <f t="shared" si="21"/>
        <v>0</v>
      </c>
      <c r="CN21" s="108">
        <f t="shared" si="21"/>
        <v>0</v>
      </c>
      <c r="CO21" s="108">
        <f t="shared" si="21"/>
        <v>0</v>
      </c>
      <c r="CP21" s="108">
        <f t="shared" si="21"/>
        <v>0</v>
      </c>
      <c r="CQ21" s="108">
        <f t="shared" si="21"/>
        <v>0</v>
      </c>
      <c r="CR21" s="108">
        <f t="shared" si="21"/>
        <v>0</v>
      </c>
      <c r="CS21" s="108">
        <f t="shared" si="21"/>
        <v>0</v>
      </c>
      <c r="CT21" s="108">
        <f t="shared" si="21"/>
        <v>0</v>
      </c>
      <c r="CU21" s="108">
        <f t="shared" si="21"/>
        <v>0</v>
      </c>
      <c r="CV21" s="108">
        <f t="shared" si="21"/>
        <v>0</v>
      </c>
      <c r="CW21" s="108">
        <f t="shared" si="21"/>
        <v>0</v>
      </c>
      <c r="CX21" s="108">
        <f t="shared" si="21"/>
        <v>0</v>
      </c>
      <c r="CY21" s="108">
        <f t="shared" si="21"/>
        <v>0</v>
      </c>
      <c r="CZ21" s="108">
        <f t="shared" si="21"/>
        <v>0</v>
      </c>
      <c r="DA21" s="108">
        <f t="shared" si="21"/>
        <v>0</v>
      </c>
      <c r="DB21" s="108">
        <f t="shared" si="21"/>
        <v>0</v>
      </c>
      <c r="DC21" s="108">
        <f t="shared" si="21"/>
        <v>0</v>
      </c>
      <c r="DD21" s="108">
        <f t="shared" si="21"/>
        <v>0</v>
      </c>
      <c r="DE21" s="108">
        <f t="shared" si="21"/>
        <v>0</v>
      </c>
      <c r="DF21" s="108">
        <f t="shared" si="21"/>
        <v>0</v>
      </c>
      <c r="DG21" s="108">
        <f t="shared" si="21"/>
        <v>0</v>
      </c>
      <c r="DH21" s="108">
        <f t="shared" si="21"/>
        <v>0</v>
      </c>
      <c r="DI21" s="108">
        <f t="shared" si="21"/>
        <v>0</v>
      </c>
      <c r="DJ21" s="108">
        <f t="shared" si="21"/>
        <v>0</v>
      </c>
      <c r="DK21" s="108">
        <f t="shared" si="21"/>
        <v>0</v>
      </c>
      <c r="DL21" s="108">
        <f t="shared" si="21"/>
        <v>0</v>
      </c>
      <c r="DM21" s="108">
        <f t="shared" si="21"/>
        <v>0</v>
      </c>
      <c r="DN21" s="108">
        <f t="shared" si="21"/>
        <v>0</v>
      </c>
      <c r="DO21" s="108">
        <f t="shared" si="21"/>
        <v>0</v>
      </c>
      <c r="DP21" s="108">
        <f t="shared" si="21"/>
        <v>0</v>
      </c>
      <c r="DQ21" s="108">
        <f t="shared" si="21"/>
        <v>0</v>
      </c>
      <c r="DR21" s="108">
        <f t="shared" si="21"/>
        <v>0</v>
      </c>
      <c r="DS21" s="108">
        <f t="shared" si="21"/>
        <v>0</v>
      </c>
      <c r="DT21" s="108">
        <f t="shared" si="21"/>
        <v>0</v>
      </c>
      <c r="DU21" s="108">
        <f t="shared" si="21"/>
        <v>0</v>
      </c>
      <c r="DV21" s="108">
        <f t="shared" si="21"/>
        <v>0</v>
      </c>
      <c r="DW21" s="108">
        <f t="shared" si="21"/>
        <v>0</v>
      </c>
      <c r="DX21" s="108">
        <f t="shared" si="21"/>
        <v>0</v>
      </c>
      <c r="DY21" s="108">
        <f t="shared" si="21"/>
        <v>0</v>
      </c>
      <c r="DZ21" s="108">
        <f t="shared" si="21"/>
        <v>0</v>
      </c>
      <c r="EA21" s="108">
        <f t="shared" si="21"/>
        <v>0</v>
      </c>
      <c r="EB21" s="108">
        <f t="shared" si="21"/>
        <v>0</v>
      </c>
      <c r="EC21" s="108">
        <f t="shared" si="21"/>
        <v>0</v>
      </c>
      <c r="ED21" s="108">
        <f t="shared" si="21"/>
        <v>0</v>
      </c>
      <c r="EE21" s="108">
        <f t="shared" si="21"/>
        <v>0</v>
      </c>
      <c r="EF21" s="108">
        <f t="shared" si="21"/>
        <v>0</v>
      </c>
      <c r="EG21" s="108">
        <f>SUM(EG5:EG20)</f>
        <v>0</v>
      </c>
      <c r="EH21" s="108">
        <f>SUM(EH5:EH20)</f>
        <v>0</v>
      </c>
      <c r="EI21" s="109">
        <f>SUM(EI5:EI20)</f>
        <v>0</v>
      </c>
    </row>
    <row r="22" spans="1:139" x14ac:dyDescent="0.25">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row>
    <row r="23" spans="1:139" x14ac:dyDescent="0.25">
      <c r="B23" s="2" t="s">
        <v>138</v>
      </c>
      <c r="C23" s="43"/>
      <c r="D23" s="43"/>
      <c r="E23" s="43"/>
      <c r="F23" s="43"/>
      <c r="G23" s="3"/>
      <c r="EI23" s="1">
        <v>0</v>
      </c>
    </row>
    <row r="24" spans="1:139" x14ac:dyDescent="0.25">
      <c r="A24" s="2" t="s">
        <v>32</v>
      </c>
      <c r="B24" s="102" t="s">
        <v>21</v>
      </c>
      <c r="C24" s="90" t="s">
        <v>15</v>
      </c>
      <c r="D24" s="90" t="s">
        <v>139</v>
      </c>
      <c r="E24" s="90" t="s">
        <v>140</v>
      </c>
      <c r="F24" s="90" t="s">
        <v>141</v>
      </c>
      <c r="G24" s="91" t="s">
        <v>142</v>
      </c>
    </row>
    <row r="25" spans="1:139" x14ac:dyDescent="0.25">
      <c r="A25" s="110" t="str">
        <f>IF(ABS(SUM(H25:EI25)-C25)&lt;0.0001,"OK","ERROR")</f>
        <v>OK</v>
      </c>
      <c r="B25" s="16" t="s">
        <v>86</v>
      </c>
      <c r="C25" s="36">
        <v>1225000000</v>
      </c>
      <c r="D25" s="104">
        <f>C25/Ingresos!$A$23</f>
        <v>3500000</v>
      </c>
      <c r="E25" s="180">
        <v>2</v>
      </c>
      <c r="F25" s="180">
        <v>8</v>
      </c>
      <c r="G25" s="181">
        <f>F25-E25+1</f>
        <v>7</v>
      </c>
      <c r="H25" s="106">
        <f>IF(AND(H$1&gt;=$E25,H$1&lt;=$F25),$C25/$G25,0)</f>
        <v>0</v>
      </c>
      <c r="I25" s="106">
        <f t="shared" ref="I25:BT28" si="22">IF(AND(I$1&gt;=$E25,I$1&lt;=$F25),$C25/$G25,0)</f>
        <v>175000000</v>
      </c>
      <c r="J25" s="106">
        <f t="shared" si="22"/>
        <v>175000000</v>
      </c>
      <c r="K25" s="106">
        <f t="shared" si="22"/>
        <v>175000000</v>
      </c>
      <c r="L25" s="106">
        <f t="shared" si="22"/>
        <v>175000000</v>
      </c>
      <c r="M25" s="106">
        <f t="shared" si="22"/>
        <v>175000000</v>
      </c>
      <c r="N25" s="106">
        <f t="shared" si="22"/>
        <v>175000000</v>
      </c>
      <c r="O25" s="106">
        <f t="shared" si="22"/>
        <v>175000000</v>
      </c>
      <c r="P25" s="106">
        <f t="shared" si="22"/>
        <v>0</v>
      </c>
      <c r="Q25" s="106">
        <f t="shared" si="22"/>
        <v>0</v>
      </c>
      <c r="R25" s="106">
        <f t="shared" si="22"/>
        <v>0</v>
      </c>
      <c r="S25" s="106">
        <f t="shared" si="22"/>
        <v>0</v>
      </c>
      <c r="T25" s="106">
        <f t="shared" si="22"/>
        <v>0</v>
      </c>
      <c r="U25" s="106">
        <f t="shared" si="22"/>
        <v>0</v>
      </c>
      <c r="V25" s="106">
        <f t="shared" si="22"/>
        <v>0</v>
      </c>
      <c r="W25" s="106">
        <f t="shared" si="22"/>
        <v>0</v>
      </c>
      <c r="X25" s="106">
        <f t="shared" si="22"/>
        <v>0</v>
      </c>
      <c r="Y25" s="106">
        <f t="shared" si="22"/>
        <v>0</v>
      </c>
      <c r="Z25" s="106">
        <f t="shared" si="22"/>
        <v>0</v>
      </c>
      <c r="AA25" s="106">
        <f t="shared" si="22"/>
        <v>0</v>
      </c>
      <c r="AB25" s="106">
        <f t="shared" si="22"/>
        <v>0</v>
      </c>
      <c r="AC25" s="106">
        <f t="shared" si="22"/>
        <v>0</v>
      </c>
      <c r="AD25" s="106">
        <f t="shared" si="22"/>
        <v>0</v>
      </c>
      <c r="AE25" s="106">
        <f t="shared" si="22"/>
        <v>0</v>
      </c>
      <c r="AF25" s="106">
        <f t="shared" si="22"/>
        <v>0</v>
      </c>
      <c r="AG25" s="106">
        <f t="shared" si="22"/>
        <v>0</v>
      </c>
      <c r="AH25" s="106">
        <f t="shared" si="22"/>
        <v>0</v>
      </c>
      <c r="AI25" s="106">
        <f t="shared" si="22"/>
        <v>0</v>
      </c>
      <c r="AJ25" s="106">
        <f t="shared" si="22"/>
        <v>0</v>
      </c>
      <c r="AK25" s="106">
        <f t="shared" si="22"/>
        <v>0</v>
      </c>
      <c r="AL25" s="106">
        <f t="shared" si="22"/>
        <v>0</v>
      </c>
      <c r="AM25" s="106">
        <f t="shared" si="22"/>
        <v>0</v>
      </c>
      <c r="AN25" s="106">
        <f t="shared" si="22"/>
        <v>0</v>
      </c>
      <c r="AO25" s="106">
        <f t="shared" si="22"/>
        <v>0</v>
      </c>
      <c r="AP25" s="106">
        <f t="shared" si="22"/>
        <v>0</v>
      </c>
      <c r="AQ25" s="106">
        <f t="shared" si="22"/>
        <v>0</v>
      </c>
      <c r="AR25" s="106">
        <f t="shared" si="22"/>
        <v>0</v>
      </c>
      <c r="AS25" s="106">
        <f t="shared" si="22"/>
        <v>0</v>
      </c>
      <c r="AT25" s="106">
        <f t="shared" si="22"/>
        <v>0</v>
      </c>
      <c r="AU25" s="106">
        <f t="shared" si="22"/>
        <v>0</v>
      </c>
      <c r="AV25" s="106">
        <f t="shared" si="22"/>
        <v>0</v>
      </c>
      <c r="AW25" s="106">
        <f t="shared" si="22"/>
        <v>0</v>
      </c>
      <c r="AX25" s="106">
        <f t="shared" si="22"/>
        <v>0</v>
      </c>
      <c r="AY25" s="106">
        <f t="shared" si="22"/>
        <v>0</v>
      </c>
      <c r="AZ25" s="106">
        <f t="shared" si="22"/>
        <v>0</v>
      </c>
      <c r="BA25" s="106">
        <f t="shared" si="22"/>
        <v>0</v>
      </c>
      <c r="BB25" s="106">
        <f t="shared" si="22"/>
        <v>0</v>
      </c>
      <c r="BC25" s="106">
        <f t="shared" si="22"/>
        <v>0</v>
      </c>
      <c r="BD25" s="106">
        <f t="shared" si="22"/>
        <v>0</v>
      </c>
      <c r="BE25" s="106">
        <f t="shared" si="22"/>
        <v>0</v>
      </c>
      <c r="BF25" s="106">
        <f t="shared" si="22"/>
        <v>0</v>
      </c>
      <c r="BG25" s="106">
        <f t="shared" si="22"/>
        <v>0</v>
      </c>
      <c r="BH25" s="106">
        <f t="shared" si="22"/>
        <v>0</v>
      </c>
      <c r="BI25" s="106">
        <f t="shared" si="22"/>
        <v>0</v>
      </c>
      <c r="BJ25" s="106">
        <f t="shared" si="22"/>
        <v>0</v>
      </c>
      <c r="BK25" s="106">
        <f t="shared" si="22"/>
        <v>0</v>
      </c>
      <c r="BL25" s="106">
        <f t="shared" si="22"/>
        <v>0</v>
      </c>
      <c r="BM25" s="106">
        <f t="shared" si="22"/>
        <v>0</v>
      </c>
      <c r="BN25" s="106">
        <f t="shared" si="22"/>
        <v>0</v>
      </c>
      <c r="BO25" s="106">
        <f t="shared" si="22"/>
        <v>0</v>
      </c>
      <c r="BP25" s="106">
        <f t="shared" si="22"/>
        <v>0</v>
      </c>
      <c r="BQ25" s="106">
        <f t="shared" si="22"/>
        <v>0</v>
      </c>
      <c r="BR25" s="106">
        <f t="shared" si="22"/>
        <v>0</v>
      </c>
      <c r="BS25" s="106">
        <f t="shared" si="22"/>
        <v>0</v>
      </c>
      <c r="BT25" s="106">
        <f t="shared" si="22"/>
        <v>0</v>
      </c>
      <c r="BU25" s="106">
        <f t="shared" ref="BU25:EF28" si="23">IF(AND(BU$1&gt;=$E25,BU$1&lt;=$F25),$C25/$G25,0)</f>
        <v>0</v>
      </c>
      <c r="BV25" s="106">
        <f t="shared" si="23"/>
        <v>0</v>
      </c>
      <c r="BW25" s="106">
        <f t="shared" si="23"/>
        <v>0</v>
      </c>
      <c r="BX25" s="106">
        <f t="shared" si="23"/>
        <v>0</v>
      </c>
      <c r="BY25" s="106">
        <f t="shared" si="23"/>
        <v>0</v>
      </c>
      <c r="BZ25" s="106">
        <f t="shared" si="23"/>
        <v>0</v>
      </c>
      <c r="CA25" s="106">
        <f t="shared" si="23"/>
        <v>0</v>
      </c>
      <c r="CB25" s="106">
        <f t="shared" si="23"/>
        <v>0</v>
      </c>
      <c r="CC25" s="106">
        <f t="shared" si="23"/>
        <v>0</v>
      </c>
      <c r="CD25" s="106">
        <f t="shared" si="23"/>
        <v>0</v>
      </c>
      <c r="CE25" s="106">
        <f t="shared" si="23"/>
        <v>0</v>
      </c>
      <c r="CF25" s="106">
        <f t="shared" si="23"/>
        <v>0</v>
      </c>
      <c r="CG25" s="106">
        <f t="shared" si="23"/>
        <v>0</v>
      </c>
      <c r="CH25" s="106">
        <f t="shared" si="23"/>
        <v>0</v>
      </c>
      <c r="CI25" s="106">
        <f t="shared" si="23"/>
        <v>0</v>
      </c>
      <c r="CJ25" s="106">
        <f t="shared" si="23"/>
        <v>0</v>
      </c>
      <c r="CK25" s="106">
        <f t="shared" si="23"/>
        <v>0</v>
      </c>
      <c r="CL25" s="106">
        <f t="shared" si="23"/>
        <v>0</v>
      </c>
      <c r="CM25" s="106">
        <f t="shared" si="23"/>
        <v>0</v>
      </c>
      <c r="CN25" s="106">
        <f t="shared" si="23"/>
        <v>0</v>
      </c>
      <c r="CO25" s="106">
        <f t="shared" si="23"/>
        <v>0</v>
      </c>
      <c r="CP25" s="106">
        <f t="shared" si="23"/>
        <v>0</v>
      </c>
      <c r="CQ25" s="106">
        <f t="shared" si="23"/>
        <v>0</v>
      </c>
      <c r="CR25" s="106">
        <f t="shared" si="23"/>
        <v>0</v>
      </c>
      <c r="CS25" s="106">
        <f t="shared" si="23"/>
        <v>0</v>
      </c>
      <c r="CT25" s="106">
        <f t="shared" si="23"/>
        <v>0</v>
      </c>
      <c r="CU25" s="106">
        <f t="shared" si="23"/>
        <v>0</v>
      </c>
      <c r="CV25" s="106">
        <f t="shared" si="23"/>
        <v>0</v>
      </c>
      <c r="CW25" s="106">
        <f t="shared" si="23"/>
        <v>0</v>
      </c>
      <c r="CX25" s="106">
        <f t="shared" si="23"/>
        <v>0</v>
      </c>
      <c r="CY25" s="106">
        <f t="shared" si="23"/>
        <v>0</v>
      </c>
      <c r="CZ25" s="106">
        <f t="shared" si="23"/>
        <v>0</v>
      </c>
      <c r="DA25" s="106">
        <f t="shared" si="23"/>
        <v>0</v>
      </c>
      <c r="DB25" s="106">
        <f t="shared" si="23"/>
        <v>0</v>
      </c>
      <c r="DC25" s="106">
        <f t="shared" si="23"/>
        <v>0</v>
      </c>
      <c r="DD25" s="106">
        <f t="shared" si="23"/>
        <v>0</v>
      </c>
      <c r="DE25" s="106">
        <f t="shared" si="23"/>
        <v>0</v>
      </c>
      <c r="DF25" s="106">
        <f t="shared" si="23"/>
        <v>0</v>
      </c>
      <c r="DG25" s="106">
        <f t="shared" si="23"/>
        <v>0</v>
      </c>
      <c r="DH25" s="106">
        <f t="shared" si="23"/>
        <v>0</v>
      </c>
      <c r="DI25" s="106">
        <f t="shared" si="23"/>
        <v>0</v>
      </c>
      <c r="DJ25" s="106">
        <f t="shared" si="23"/>
        <v>0</v>
      </c>
      <c r="DK25" s="106">
        <f t="shared" si="23"/>
        <v>0</v>
      </c>
      <c r="DL25" s="106">
        <f t="shared" si="23"/>
        <v>0</v>
      </c>
      <c r="DM25" s="106">
        <f t="shared" si="23"/>
        <v>0</v>
      </c>
      <c r="DN25" s="106">
        <f t="shared" si="23"/>
        <v>0</v>
      </c>
      <c r="DO25" s="106">
        <f t="shared" si="23"/>
        <v>0</v>
      </c>
      <c r="DP25" s="106">
        <f t="shared" si="23"/>
        <v>0</v>
      </c>
      <c r="DQ25" s="106">
        <f t="shared" si="23"/>
        <v>0</v>
      </c>
      <c r="DR25" s="106">
        <f t="shared" si="23"/>
        <v>0</v>
      </c>
      <c r="DS25" s="106">
        <f t="shared" si="23"/>
        <v>0</v>
      </c>
      <c r="DT25" s="106">
        <f t="shared" si="23"/>
        <v>0</v>
      </c>
      <c r="DU25" s="106">
        <f t="shared" si="23"/>
        <v>0</v>
      </c>
      <c r="DV25" s="106">
        <f t="shared" si="23"/>
        <v>0</v>
      </c>
      <c r="DW25" s="106">
        <f t="shared" si="23"/>
        <v>0</v>
      </c>
      <c r="DX25" s="106">
        <f t="shared" si="23"/>
        <v>0</v>
      </c>
      <c r="DY25" s="106">
        <f t="shared" si="23"/>
        <v>0</v>
      </c>
      <c r="DZ25" s="106">
        <f t="shared" si="23"/>
        <v>0</v>
      </c>
      <c r="EA25" s="106">
        <f t="shared" si="23"/>
        <v>0</v>
      </c>
      <c r="EB25" s="106">
        <f t="shared" si="23"/>
        <v>0</v>
      </c>
      <c r="EC25" s="106">
        <f t="shared" si="23"/>
        <v>0</v>
      </c>
      <c r="ED25" s="106">
        <f t="shared" si="23"/>
        <v>0</v>
      </c>
      <c r="EE25" s="106">
        <f t="shared" si="23"/>
        <v>0</v>
      </c>
      <c r="EF25" s="106">
        <f t="shared" si="23"/>
        <v>0</v>
      </c>
      <c r="EG25" s="106">
        <f t="shared" ref="EG25:EI40" si="24">IF(AND(EG$1&gt;=$E25,EG$1&lt;=$F25),$C25/$G25,0)</f>
        <v>0</v>
      </c>
      <c r="EH25" s="106">
        <f t="shared" si="24"/>
        <v>0</v>
      </c>
      <c r="EI25" s="106">
        <f t="shared" si="24"/>
        <v>0</v>
      </c>
    </row>
    <row r="26" spans="1:139" x14ac:dyDescent="0.25">
      <c r="A26" s="110" t="str">
        <f t="shared" ref="A26:A41" si="25">IF(ABS(SUM(H26:EI26)-C26)&lt;0.0001,"OK","ERROR")</f>
        <v>OK</v>
      </c>
      <c r="B26" s="16" t="s">
        <v>87</v>
      </c>
      <c r="C26" s="36">
        <v>1312500000</v>
      </c>
      <c r="D26" s="104">
        <f>C26/Ingresos!$A$23</f>
        <v>3750000</v>
      </c>
      <c r="E26" s="180">
        <v>2</v>
      </c>
      <c r="F26" s="180">
        <v>8</v>
      </c>
      <c r="G26" s="181">
        <f t="shared" ref="G26:G41" si="26">F26-E26+1</f>
        <v>7</v>
      </c>
      <c r="H26" s="106">
        <f t="shared" ref="H26:W40" si="27">IF(AND(H$1&gt;=$E26,H$1&lt;=$F26),$C26/$G26,0)</f>
        <v>0</v>
      </c>
      <c r="I26" s="106">
        <f t="shared" si="22"/>
        <v>187500000</v>
      </c>
      <c r="J26" s="106">
        <f t="shared" si="22"/>
        <v>187500000</v>
      </c>
      <c r="K26" s="106">
        <f t="shared" si="22"/>
        <v>187500000</v>
      </c>
      <c r="L26" s="106">
        <f t="shared" si="22"/>
        <v>187500000</v>
      </c>
      <c r="M26" s="106">
        <f t="shared" si="22"/>
        <v>187500000</v>
      </c>
      <c r="N26" s="106">
        <f t="shared" si="22"/>
        <v>187500000</v>
      </c>
      <c r="O26" s="106">
        <f t="shared" si="22"/>
        <v>187500000</v>
      </c>
      <c r="P26" s="106">
        <f t="shared" si="22"/>
        <v>0</v>
      </c>
      <c r="Q26" s="106">
        <f t="shared" si="22"/>
        <v>0</v>
      </c>
      <c r="R26" s="106">
        <f t="shared" si="22"/>
        <v>0</v>
      </c>
      <c r="S26" s="106">
        <f t="shared" si="22"/>
        <v>0</v>
      </c>
      <c r="T26" s="106">
        <f t="shared" si="22"/>
        <v>0</v>
      </c>
      <c r="U26" s="106">
        <f t="shared" si="22"/>
        <v>0</v>
      </c>
      <c r="V26" s="106">
        <f t="shared" si="22"/>
        <v>0</v>
      </c>
      <c r="W26" s="106">
        <f t="shared" si="22"/>
        <v>0</v>
      </c>
      <c r="X26" s="106">
        <f t="shared" si="22"/>
        <v>0</v>
      </c>
      <c r="Y26" s="106">
        <f t="shared" si="22"/>
        <v>0</v>
      </c>
      <c r="Z26" s="106">
        <f t="shared" si="22"/>
        <v>0</v>
      </c>
      <c r="AA26" s="106">
        <f t="shared" si="22"/>
        <v>0</v>
      </c>
      <c r="AB26" s="106">
        <f t="shared" si="22"/>
        <v>0</v>
      </c>
      <c r="AC26" s="106">
        <f t="shared" si="22"/>
        <v>0</v>
      </c>
      <c r="AD26" s="106">
        <f t="shared" si="22"/>
        <v>0</v>
      </c>
      <c r="AE26" s="106">
        <f t="shared" si="22"/>
        <v>0</v>
      </c>
      <c r="AF26" s="106">
        <f t="shared" si="22"/>
        <v>0</v>
      </c>
      <c r="AG26" s="106">
        <f t="shared" si="22"/>
        <v>0</v>
      </c>
      <c r="AH26" s="106">
        <f t="shared" si="22"/>
        <v>0</v>
      </c>
      <c r="AI26" s="106">
        <f t="shared" si="22"/>
        <v>0</v>
      </c>
      <c r="AJ26" s="106">
        <f t="shared" si="22"/>
        <v>0</v>
      </c>
      <c r="AK26" s="106">
        <f t="shared" si="22"/>
        <v>0</v>
      </c>
      <c r="AL26" s="106">
        <f t="shared" si="22"/>
        <v>0</v>
      </c>
      <c r="AM26" s="106">
        <f t="shared" si="22"/>
        <v>0</v>
      </c>
      <c r="AN26" s="106">
        <f t="shared" si="22"/>
        <v>0</v>
      </c>
      <c r="AO26" s="106">
        <f t="shared" si="22"/>
        <v>0</v>
      </c>
      <c r="AP26" s="106">
        <f t="shared" si="22"/>
        <v>0</v>
      </c>
      <c r="AQ26" s="106">
        <f t="shared" si="22"/>
        <v>0</v>
      </c>
      <c r="AR26" s="106">
        <f t="shared" si="22"/>
        <v>0</v>
      </c>
      <c r="AS26" s="106">
        <f t="shared" si="22"/>
        <v>0</v>
      </c>
      <c r="AT26" s="106">
        <f t="shared" si="22"/>
        <v>0</v>
      </c>
      <c r="AU26" s="106">
        <f t="shared" si="22"/>
        <v>0</v>
      </c>
      <c r="AV26" s="106">
        <f t="shared" si="22"/>
        <v>0</v>
      </c>
      <c r="AW26" s="106">
        <f t="shared" si="22"/>
        <v>0</v>
      </c>
      <c r="AX26" s="106">
        <f t="shared" si="22"/>
        <v>0</v>
      </c>
      <c r="AY26" s="106">
        <f t="shared" si="22"/>
        <v>0</v>
      </c>
      <c r="AZ26" s="106">
        <f t="shared" si="22"/>
        <v>0</v>
      </c>
      <c r="BA26" s="106">
        <f t="shared" si="22"/>
        <v>0</v>
      </c>
      <c r="BB26" s="106">
        <f t="shared" si="22"/>
        <v>0</v>
      </c>
      <c r="BC26" s="106">
        <f t="shared" si="22"/>
        <v>0</v>
      </c>
      <c r="BD26" s="106">
        <f t="shared" si="22"/>
        <v>0</v>
      </c>
      <c r="BE26" s="106">
        <f t="shared" si="22"/>
        <v>0</v>
      </c>
      <c r="BF26" s="106">
        <f t="shared" si="22"/>
        <v>0</v>
      </c>
      <c r="BG26" s="106">
        <f t="shared" si="22"/>
        <v>0</v>
      </c>
      <c r="BH26" s="106">
        <f t="shared" si="22"/>
        <v>0</v>
      </c>
      <c r="BI26" s="106">
        <f t="shared" si="22"/>
        <v>0</v>
      </c>
      <c r="BJ26" s="106">
        <f t="shared" si="22"/>
        <v>0</v>
      </c>
      <c r="BK26" s="106">
        <f t="shared" si="22"/>
        <v>0</v>
      </c>
      <c r="BL26" s="106">
        <f t="shared" si="22"/>
        <v>0</v>
      </c>
      <c r="BM26" s="106">
        <f t="shared" si="22"/>
        <v>0</v>
      </c>
      <c r="BN26" s="106">
        <f t="shared" si="22"/>
        <v>0</v>
      </c>
      <c r="BO26" s="106">
        <f t="shared" si="22"/>
        <v>0</v>
      </c>
      <c r="BP26" s="106">
        <f t="shared" si="22"/>
        <v>0</v>
      </c>
      <c r="BQ26" s="106">
        <f t="shared" si="22"/>
        <v>0</v>
      </c>
      <c r="BR26" s="106">
        <f t="shared" si="22"/>
        <v>0</v>
      </c>
      <c r="BS26" s="106">
        <f t="shared" si="22"/>
        <v>0</v>
      </c>
      <c r="BT26" s="106">
        <f t="shared" si="22"/>
        <v>0</v>
      </c>
      <c r="BU26" s="106">
        <f t="shared" si="23"/>
        <v>0</v>
      </c>
      <c r="BV26" s="106">
        <f t="shared" si="23"/>
        <v>0</v>
      </c>
      <c r="BW26" s="106">
        <f t="shared" si="23"/>
        <v>0</v>
      </c>
      <c r="BX26" s="106">
        <f t="shared" si="23"/>
        <v>0</v>
      </c>
      <c r="BY26" s="106">
        <f t="shared" si="23"/>
        <v>0</v>
      </c>
      <c r="BZ26" s="106">
        <f t="shared" si="23"/>
        <v>0</v>
      </c>
      <c r="CA26" s="106">
        <f t="shared" si="23"/>
        <v>0</v>
      </c>
      <c r="CB26" s="106">
        <f t="shared" si="23"/>
        <v>0</v>
      </c>
      <c r="CC26" s="106">
        <f t="shared" si="23"/>
        <v>0</v>
      </c>
      <c r="CD26" s="106">
        <f t="shared" si="23"/>
        <v>0</v>
      </c>
      <c r="CE26" s="106">
        <f t="shared" si="23"/>
        <v>0</v>
      </c>
      <c r="CF26" s="106">
        <f t="shared" si="23"/>
        <v>0</v>
      </c>
      <c r="CG26" s="106">
        <f t="shared" si="23"/>
        <v>0</v>
      </c>
      <c r="CH26" s="106">
        <f t="shared" si="23"/>
        <v>0</v>
      </c>
      <c r="CI26" s="106">
        <f t="shared" si="23"/>
        <v>0</v>
      </c>
      <c r="CJ26" s="106">
        <f t="shared" si="23"/>
        <v>0</v>
      </c>
      <c r="CK26" s="106">
        <f t="shared" si="23"/>
        <v>0</v>
      </c>
      <c r="CL26" s="106">
        <f t="shared" si="23"/>
        <v>0</v>
      </c>
      <c r="CM26" s="106">
        <f t="shared" si="23"/>
        <v>0</v>
      </c>
      <c r="CN26" s="106">
        <f t="shared" si="23"/>
        <v>0</v>
      </c>
      <c r="CO26" s="106">
        <f t="shared" si="23"/>
        <v>0</v>
      </c>
      <c r="CP26" s="106">
        <f t="shared" si="23"/>
        <v>0</v>
      </c>
      <c r="CQ26" s="106">
        <f t="shared" si="23"/>
        <v>0</v>
      </c>
      <c r="CR26" s="106">
        <f t="shared" si="23"/>
        <v>0</v>
      </c>
      <c r="CS26" s="106">
        <f t="shared" si="23"/>
        <v>0</v>
      </c>
      <c r="CT26" s="106">
        <f t="shared" si="23"/>
        <v>0</v>
      </c>
      <c r="CU26" s="106">
        <f t="shared" si="23"/>
        <v>0</v>
      </c>
      <c r="CV26" s="106">
        <f t="shared" si="23"/>
        <v>0</v>
      </c>
      <c r="CW26" s="106">
        <f t="shared" si="23"/>
        <v>0</v>
      </c>
      <c r="CX26" s="106">
        <f t="shared" si="23"/>
        <v>0</v>
      </c>
      <c r="CY26" s="106">
        <f t="shared" si="23"/>
        <v>0</v>
      </c>
      <c r="CZ26" s="106">
        <f t="shared" si="23"/>
        <v>0</v>
      </c>
      <c r="DA26" s="106">
        <f t="shared" si="23"/>
        <v>0</v>
      </c>
      <c r="DB26" s="106">
        <f t="shared" si="23"/>
        <v>0</v>
      </c>
      <c r="DC26" s="106">
        <f t="shared" si="23"/>
        <v>0</v>
      </c>
      <c r="DD26" s="106">
        <f t="shared" si="23"/>
        <v>0</v>
      </c>
      <c r="DE26" s="106">
        <f t="shared" si="23"/>
        <v>0</v>
      </c>
      <c r="DF26" s="106">
        <f t="shared" si="23"/>
        <v>0</v>
      </c>
      <c r="DG26" s="106">
        <f t="shared" si="23"/>
        <v>0</v>
      </c>
      <c r="DH26" s="106">
        <f t="shared" si="23"/>
        <v>0</v>
      </c>
      <c r="DI26" s="106">
        <f t="shared" si="23"/>
        <v>0</v>
      </c>
      <c r="DJ26" s="106">
        <f t="shared" si="23"/>
        <v>0</v>
      </c>
      <c r="DK26" s="106">
        <f t="shared" si="23"/>
        <v>0</v>
      </c>
      <c r="DL26" s="106">
        <f t="shared" si="23"/>
        <v>0</v>
      </c>
      <c r="DM26" s="106">
        <f t="shared" si="23"/>
        <v>0</v>
      </c>
      <c r="DN26" s="106">
        <f t="shared" si="23"/>
        <v>0</v>
      </c>
      <c r="DO26" s="106">
        <f t="shared" si="23"/>
        <v>0</v>
      </c>
      <c r="DP26" s="106">
        <f t="shared" si="23"/>
        <v>0</v>
      </c>
      <c r="DQ26" s="106">
        <f t="shared" si="23"/>
        <v>0</v>
      </c>
      <c r="DR26" s="106">
        <f t="shared" si="23"/>
        <v>0</v>
      </c>
      <c r="DS26" s="106">
        <f t="shared" si="23"/>
        <v>0</v>
      </c>
      <c r="DT26" s="106">
        <f t="shared" si="23"/>
        <v>0</v>
      </c>
      <c r="DU26" s="106">
        <f t="shared" si="23"/>
        <v>0</v>
      </c>
      <c r="DV26" s="106">
        <f t="shared" si="23"/>
        <v>0</v>
      </c>
      <c r="DW26" s="106">
        <f t="shared" si="23"/>
        <v>0</v>
      </c>
      <c r="DX26" s="106">
        <f t="shared" si="23"/>
        <v>0</v>
      </c>
      <c r="DY26" s="106">
        <f t="shared" si="23"/>
        <v>0</v>
      </c>
      <c r="DZ26" s="106">
        <f t="shared" si="23"/>
        <v>0</v>
      </c>
      <c r="EA26" s="106">
        <f t="shared" si="23"/>
        <v>0</v>
      </c>
      <c r="EB26" s="106">
        <f t="shared" si="23"/>
        <v>0</v>
      </c>
      <c r="EC26" s="106">
        <f t="shared" si="23"/>
        <v>0</v>
      </c>
      <c r="ED26" s="106">
        <f t="shared" si="23"/>
        <v>0</v>
      </c>
      <c r="EE26" s="106">
        <f t="shared" si="23"/>
        <v>0</v>
      </c>
      <c r="EF26" s="106">
        <f t="shared" si="23"/>
        <v>0</v>
      </c>
      <c r="EG26" s="106">
        <f t="shared" si="24"/>
        <v>0</v>
      </c>
      <c r="EH26" s="106">
        <f t="shared" si="24"/>
        <v>0</v>
      </c>
      <c r="EI26" s="106">
        <f t="shared" si="24"/>
        <v>0</v>
      </c>
    </row>
    <row r="27" spans="1:139" x14ac:dyDescent="0.25">
      <c r="A27" s="110" t="str">
        <f t="shared" si="25"/>
        <v>OK</v>
      </c>
      <c r="B27" s="16" t="s">
        <v>88</v>
      </c>
      <c r="C27" s="36">
        <v>1050000000</v>
      </c>
      <c r="D27" s="104">
        <f>C27/Ingresos!$A$23</f>
        <v>3000000</v>
      </c>
      <c r="E27" s="180">
        <v>2</v>
      </c>
      <c r="F27" s="180">
        <v>8</v>
      </c>
      <c r="G27" s="181">
        <f t="shared" si="26"/>
        <v>7</v>
      </c>
      <c r="H27" s="106">
        <f t="shared" si="27"/>
        <v>0</v>
      </c>
      <c r="I27" s="106">
        <f t="shared" si="22"/>
        <v>150000000</v>
      </c>
      <c r="J27" s="106">
        <f t="shared" si="22"/>
        <v>150000000</v>
      </c>
      <c r="K27" s="106">
        <f t="shared" si="22"/>
        <v>150000000</v>
      </c>
      <c r="L27" s="106">
        <f t="shared" si="22"/>
        <v>150000000</v>
      </c>
      <c r="M27" s="106">
        <f t="shared" si="22"/>
        <v>150000000</v>
      </c>
      <c r="N27" s="106">
        <f t="shared" si="22"/>
        <v>150000000</v>
      </c>
      <c r="O27" s="106">
        <f t="shared" si="22"/>
        <v>150000000</v>
      </c>
      <c r="P27" s="106">
        <f t="shared" si="22"/>
        <v>0</v>
      </c>
      <c r="Q27" s="106">
        <f t="shared" si="22"/>
        <v>0</v>
      </c>
      <c r="R27" s="106">
        <f t="shared" si="22"/>
        <v>0</v>
      </c>
      <c r="S27" s="106">
        <f t="shared" si="22"/>
        <v>0</v>
      </c>
      <c r="T27" s="106">
        <f t="shared" si="22"/>
        <v>0</v>
      </c>
      <c r="U27" s="106">
        <f t="shared" si="22"/>
        <v>0</v>
      </c>
      <c r="V27" s="106">
        <f t="shared" si="22"/>
        <v>0</v>
      </c>
      <c r="W27" s="106">
        <f t="shared" si="22"/>
        <v>0</v>
      </c>
      <c r="X27" s="106">
        <f t="shared" si="22"/>
        <v>0</v>
      </c>
      <c r="Y27" s="106">
        <f t="shared" si="22"/>
        <v>0</v>
      </c>
      <c r="Z27" s="106">
        <f t="shared" si="22"/>
        <v>0</v>
      </c>
      <c r="AA27" s="106">
        <f t="shared" si="22"/>
        <v>0</v>
      </c>
      <c r="AB27" s="106">
        <f t="shared" si="22"/>
        <v>0</v>
      </c>
      <c r="AC27" s="106">
        <f t="shared" si="22"/>
        <v>0</v>
      </c>
      <c r="AD27" s="106">
        <f t="shared" si="22"/>
        <v>0</v>
      </c>
      <c r="AE27" s="106">
        <f t="shared" si="22"/>
        <v>0</v>
      </c>
      <c r="AF27" s="106">
        <f t="shared" si="22"/>
        <v>0</v>
      </c>
      <c r="AG27" s="106">
        <f t="shared" si="22"/>
        <v>0</v>
      </c>
      <c r="AH27" s="106">
        <f t="shared" si="22"/>
        <v>0</v>
      </c>
      <c r="AI27" s="106">
        <f t="shared" si="22"/>
        <v>0</v>
      </c>
      <c r="AJ27" s="106">
        <f t="shared" si="22"/>
        <v>0</v>
      </c>
      <c r="AK27" s="106">
        <f t="shared" si="22"/>
        <v>0</v>
      </c>
      <c r="AL27" s="106">
        <f t="shared" si="22"/>
        <v>0</v>
      </c>
      <c r="AM27" s="106">
        <f t="shared" si="22"/>
        <v>0</v>
      </c>
      <c r="AN27" s="106">
        <f t="shared" si="22"/>
        <v>0</v>
      </c>
      <c r="AO27" s="106">
        <f t="shared" si="22"/>
        <v>0</v>
      </c>
      <c r="AP27" s="106">
        <f t="shared" si="22"/>
        <v>0</v>
      </c>
      <c r="AQ27" s="106">
        <f t="shared" si="22"/>
        <v>0</v>
      </c>
      <c r="AR27" s="106">
        <f t="shared" si="22"/>
        <v>0</v>
      </c>
      <c r="AS27" s="106">
        <f t="shared" si="22"/>
        <v>0</v>
      </c>
      <c r="AT27" s="106">
        <f t="shared" si="22"/>
        <v>0</v>
      </c>
      <c r="AU27" s="106">
        <f t="shared" si="22"/>
        <v>0</v>
      </c>
      <c r="AV27" s="106">
        <f t="shared" si="22"/>
        <v>0</v>
      </c>
      <c r="AW27" s="106">
        <f t="shared" si="22"/>
        <v>0</v>
      </c>
      <c r="AX27" s="106">
        <f t="shared" si="22"/>
        <v>0</v>
      </c>
      <c r="AY27" s="106">
        <f t="shared" si="22"/>
        <v>0</v>
      </c>
      <c r="AZ27" s="106">
        <f t="shared" si="22"/>
        <v>0</v>
      </c>
      <c r="BA27" s="106">
        <f t="shared" si="22"/>
        <v>0</v>
      </c>
      <c r="BB27" s="106">
        <f t="shared" si="22"/>
        <v>0</v>
      </c>
      <c r="BC27" s="106">
        <f t="shared" si="22"/>
        <v>0</v>
      </c>
      <c r="BD27" s="106">
        <f t="shared" si="22"/>
        <v>0</v>
      </c>
      <c r="BE27" s="106">
        <f t="shared" si="22"/>
        <v>0</v>
      </c>
      <c r="BF27" s="106">
        <f t="shared" si="22"/>
        <v>0</v>
      </c>
      <c r="BG27" s="106">
        <f t="shared" si="22"/>
        <v>0</v>
      </c>
      <c r="BH27" s="106">
        <f t="shared" si="22"/>
        <v>0</v>
      </c>
      <c r="BI27" s="106">
        <f t="shared" si="22"/>
        <v>0</v>
      </c>
      <c r="BJ27" s="106">
        <f t="shared" si="22"/>
        <v>0</v>
      </c>
      <c r="BK27" s="106">
        <f t="shared" si="22"/>
        <v>0</v>
      </c>
      <c r="BL27" s="106">
        <f t="shared" si="22"/>
        <v>0</v>
      </c>
      <c r="BM27" s="106">
        <f t="shared" si="22"/>
        <v>0</v>
      </c>
      <c r="BN27" s="106">
        <f t="shared" si="22"/>
        <v>0</v>
      </c>
      <c r="BO27" s="106">
        <f t="shared" si="22"/>
        <v>0</v>
      </c>
      <c r="BP27" s="106">
        <f t="shared" si="22"/>
        <v>0</v>
      </c>
      <c r="BQ27" s="106">
        <f t="shared" si="22"/>
        <v>0</v>
      </c>
      <c r="BR27" s="106">
        <f t="shared" si="22"/>
        <v>0</v>
      </c>
      <c r="BS27" s="106">
        <f t="shared" si="22"/>
        <v>0</v>
      </c>
      <c r="BT27" s="106">
        <f t="shared" si="22"/>
        <v>0</v>
      </c>
      <c r="BU27" s="106">
        <f t="shared" si="23"/>
        <v>0</v>
      </c>
      <c r="BV27" s="106">
        <f t="shared" si="23"/>
        <v>0</v>
      </c>
      <c r="BW27" s="106">
        <f t="shared" si="23"/>
        <v>0</v>
      </c>
      <c r="BX27" s="106">
        <f t="shared" si="23"/>
        <v>0</v>
      </c>
      <c r="BY27" s="106">
        <f t="shared" si="23"/>
        <v>0</v>
      </c>
      <c r="BZ27" s="106">
        <f t="shared" si="23"/>
        <v>0</v>
      </c>
      <c r="CA27" s="106">
        <f t="shared" si="23"/>
        <v>0</v>
      </c>
      <c r="CB27" s="106">
        <f t="shared" si="23"/>
        <v>0</v>
      </c>
      <c r="CC27" s="106">
        <f t="shared" si="23"/>
        <v>0</v>
      </c>
      <c r="CD27" s="106">
        <f t="shared" si="23"/>
        <v>0</v>
      </c>
      <c r="CE27" s="106">
        <f t="shared" si="23"/>
        <v>0</v>
      </c>
      <c r="CF27" s="106">
        <f t="shared" si="23"/>
        <v>0</v>
      </c>
      <c r="CG27" s="106">
        <f t="shared" si="23"/>
        <v>0</v>
      </c>
      <c r="CH27" s="106">
        <f t="shared" si="23"/>
        <v>0</v>
      </c>
      <c r="CI27" s="106">
        <f t="shared" si="23"/>
        <v>0</v>
      </c>
      <c r="CJ27" s="106">
        <f t="shared" si="23"/>
        <v>0</v>
      </c>
      <c r="CK27" s="106">
        <f t="shared" si="23"/>
        <v>0</v>
      </c>
      <c r="CL27" s="106">
        <f t="shared" si="23"/>
        <v>0</v>
      </c>
      <c r="CM27" s="106">
        <f t="shared" si="23"/>
        <v>0</v>
      </c>
      <c r="CN27" s="106">
        <f t="shared" si="23"/>
        <v>0</v>
      </c>
      <c r="CO27" s="106">
        <f t="shared" si="23"/>
        <v>0</v>
      </c>
      <c r="CP27" s="106">
        <f t="shared" si="23"/>
        <v>0</v>
      </c>
      <c r="CQ27" s="106">
        <f t="shared" si="23"/>
        <v>0</v>
      </c>
      <c r="CR27" s="106">
        <f t="shared" si="23"/>
        <v>0</v>
      </c>
      <c r="CS27" s="106">
        <f t="shared" si="23"/>
        <v>0</v>
      </c>
      <c r="CT27" s="106">
        <f t="shared" si="23"/>
        <v>0</v>
      </c>
      <c r="CU27" s="106">
        <f t="shared" si="23"/>
        <v>0</v>
      </c>
      <c r="CV27" s="106">
        <f t="shared" si="23"/>
        <v>0</v>
      </c>
      <c r="CW27" s="106">
        <f t="shared" si="23"/>
        <v>0</v>
      </c>
      <c r="CX27" s="106">
        <f t="shared" si="23"/>
        <v>0</v>
      </c>
      <c r="CY27" s="106">
        <f t="shared" si="23"/>
        <v>0</v>
      </c>
      <c r="CZ27" s="106">
        <f t="shared" si="23"/>
        <v>0</v>
      </c>
      <c r="DA27" s="106">
        <f t="shared" si="23"/>
        <v>0</v>
      </c>
      <c r="DB27" s="106">
        <f t="shared" si="23"/>
        <v>0</v>
      </c>
      <c r="DC27" s="106">
        <f t="shared" si="23"/>
        <v>0</v>
      </c>
      <c r="DD27" s="106">
        <f t="shared" si="23"/>
        <v>0</v>
      </c>
      <c r="DE27" s="106">
        <f t="shared" si="23"/>
        <v>0</v>
      </c>
      <c r="DF27" s="106">
        <f t="shared" si="23"/>
        <v>0</v>
      </c>
      <c r="DG27" s="106">
        <f t="shared" si="23"/>
        <v>0</v>
      </c>
      <c r="DH27" s="106">
        <f t="shared" si="23"/>
        <v>0</v>
      </c>
      <c r="DI27" s="106">
        <f t="shared" si="23"/>
        <v>0</v>
      </c>
      <c r="DJ27" s="106">
        <f t="shared" si="23"/>
        <v>0</v>
      </c>
      <c r="DK27" s="106">
        <f t="shared" si="23"/>
        <v>0</v>
      </c>
      <c r="DL27" s="106">
        <f t="shared" si="23"/>
        <v>0</v>
      </c>
      <c r="DM27" s="106">
        <f t="shared" si="23"/>
        <v>0</v>
      </c>
      <c r="DN27" s="106">
        <f t="shared" si="23"/>
        <v>0</v>
      </c>
      <c r="DO27" s="106">
        <f t="shared" si="23"/>
        <v>0</v>
      </c>
      <c r="DP27" s="106">
        <f t="shared" si="23"/>
        <v>0</v>
      </c>
      <c r="DQ27" s="106">
        <f t="shared" si="23"/>
        <v>0</v>
      </c>
      <c r="DR27" s="106">
        <f t="shared" si="23"/>
        <v>0</v>
      </c>
      <c r="DS27" s="106">
        <f t="shared" si="23"/>
        <v>0</v>
      </c>
      <c r="DT27" s="106">
        <f t="shared" si="23"/>
        <v>0</v>
      </c>
      <c r="DU27" s="106">
        <f t="shared" si="23"/>
        <v>0</v>
      </c>
      <c r="DV27" s="106">
        <f t="shared" si="23"/>
        <v>0</v>
      </c>
      <c r="DW27" s="106">
        <f t="shared" si="23"/>
        <v>0</v>
      </c>
      <c r="DX27" s="106">
        <f t="shared" si="23"/>
        <v>0</v>
      </c>
      <c r="DY27" s="106">
        <f t="shared" si="23"/>
        <v>0</v>
      </c>
      <c r="DZ27" s="106">
        <f t="shared" si="23"/>
        <v>0</v>
      </c>
      <c r="EA27" s="106">
        <f t="shared" si="23"/>
        <v>0</v>
      </c>
      <c r="EB27" s="106">
        <f t="shared" si="23"/>
        <v>0</v>
      </c>
      <c r="EC27" s="106">
        <f t="shared" si="23"/>
        <v>0</v>
      </c>
      <c r="ED27" s="106">
        <f t="shared" si="23"/>
        <v>0</v>
      </c>
      <c r="EE27" s="106">
        <f t="shared" si="23"/>
        <v>0</v>
      </c>
      <c r="EF27" s="106">
        <f t="shared" si="23"/>
        <v>0</v>
      </c>
      <c r="EG27" s="106">
        <f t="shared" si="24"/>
        <v>0</v>
      </c>
      <c r="EH27" s="106">
        <f t="shared" si="24"/>
        <v>0</v>
      </c>
      <c r="EI27" s="106">
        <f t="shared" si="24"/>
        <v>0</v>
      </c>
    </row>
    <row r="28" spans="1:139" x14ac:dyDescent="0.25">
      <c r="A28" s="110" t="str">
        <f t="shared" si="25"/>
        <v>OK</v>
      </c>
      <c r="B28" s="16" t="s">
        <v>89</v>
      </c>
      <c r="C28" s="36">
        <v>1260000000</v>
      </c>
      <c r="D28" s="104">
        <f>C28/Ingresos!$A$23</f>
        <v>3600000</v>
      </c>
      <c r="E28" s="180">
        <v>2</v>
      </c>
      <c r="F28" s="180">
        <v>8</v>
      </c>
      <c r="G28" s="181">
        <f t="shared" si="26"/>
        <v>7</v>
      </c>
      <c r="H28" s="106">
        <f t="shared" si="27"/>
        <v>0</v>
      </c>
      <c r="I28" s="106">
        <f t="shared" si="22"/>
        <v>180000000</v>
      </c>
      <c r="J28" s="106">
        <f t="shared" si="22"/>
        <v>180000000</v>
      </c>
      <c r="K28" s="106">
        <f t="shared" si="22"/>
        <v>180000000</v>
      </c>
      <c r="L28" s="106">
        <f t="shared" si="22"/>
        <v>180000000</v>
      </c>
      <c r="M28" s="106">
        <f t="shared" si="22"/>
        <v>180000000</v>
      </c>
      <c r="N28" s="106">
        <f t="shared" si="22"/>
        <v>180000000</v>
      </c>
      <c r="O28" s="106">
        <f t="shared" si="22"/>
        <v>180000000</v>
      </c>
      <c r="P28" s="106">
        <f t="shared" si="22"/>
        <v>0</v>
      </c>
      <c r="Q28" s="106">
        <f t="shared" si="22"/>
        <v>0</v>
      </c>
      <c r="R28" s="106">
        <f t="shared" si="22"/>
        <v>0</v>
      </c>
      <c r="S28" s="106">
        <f t="shared" si="22"/>
        <v>0</v>
      </c>
      <c r="T28" s="106">
        <f t="shared" si="22"/>
        <v>0</v>
      </c>
      <c r="U28" s="106">
        <f t="shared" si="22"/>
        <v>0</v>
      </c>
      <c r="V28" s="106">
        <f t="shared" si="22"/>
        <v>0</v>
      </c>
      <c r="W28" s="106">
        <f t="shared" si="22"/>
        <v>0</v>
      </c>
      <c r="X28" s="106">
        <f t="shared" si="22"/>
        <v>0</v>
      </c>
      <c r="Y28" s="106">
        <f t="shared" si="22"/>
        <v>0</v>
      </c>
      <c r="Z28" s="106">
        <f t="shared" si="22"/>
        <v>0</v>
      </c>
      <c r="AA28" s="106">
        <f t="shared" si="22"/>
        <v>0</v>
      </c>
      <c r="AB28" s="106">
        <f t="shared" si="22"/>
        <v>0</v>
      </c>
      <c r="AC28" s="106">
        <f t="shared" si="22"/>
        <v>0</v>
      </c>
      <c r="AD28" s="106">
        <f t="shared" si="22"/>
        <v>0</v>
      </c>
      <c r="AE28" s="106">
        <f t="shared" si="22"/>
        <v>0</v>
      </c>
      <c r="AF28" s="106">
        <f t="shared" si="22"/>
        <v>0</v>
      </c>
      <c r="AG28" s="106">
        <f t="shared" si="22"/>
        <v>0</v>
      </c>
      <c r="AH28" s="106">
        <f t="shared" si="22"/>
        <v>0</v>
      </c>
      <c r="AI28" s="106">
        <f t="shared" si="22"/>
        <v>0</v>
      </c>
      <c r="AJ28" s="106">
        <f t="shared" si="22"/>
        <v>0</v>
      </c>
      <c r="AK28" s="106">
        <f t="shared" si="22"/>
        <v>0</v>
      </c>
      <c r="AL28" s="106">
        <f t="shared" si="22"/>
        <v>0</v>
      </c>
      <c r="AM28" s="106">
        <f t="shared" si="22"/>
        <v>0</v>
      </c>
      <c r="AN28" s="106">
        <f t="shared" si="22"/>
        <v>0</v>
      </c>
      <c r="AO28" s="106">
        <f t="shared" si="22"/>
        <v>0</v>
      </c>
      <c r="AP28" s="106">
        <f t="shared" si="22"/>
        <v>0</v>
      </c>
      <c r="AQ28" s="106">
        <f t="shared" si="22"/>
        <v>0</v>
      </c>
      <c r="AR28" s="106">
        <f t="shared" si="22"/>
        <v>0</v>
      </c>
      <c r="AS28" s="106">
        <f t="shared" si="22"/>
        <v>0</v>
      </c>
      <c r="AT28" s="106">
        <f t="shared" si="22"/>
        <v>0</v>
      </c>
      <c r="AU28" s="106">
        <f t="shared" si="22"/>
        <v>0</v>
      </c>
      <c r="AV28" s="106">
        <f t="shared" si="22"/>
        <v>0</v>
      </c>
      <c r="AW28" s="106">
        <f t="shared" si="22"/>
        <v>0</v>
      </c>
      <c r="AX28" s="106">
        <f t="shared" si="22"/>
        <v>0</v>
      </c>
      <c r="AY28" s="106">
        <f t="shared" si="22"/>
        <v>0</v>
      </c>
      <c r="AZ28" s="106">
        <f t="shared" si="22"/>
        <v>0</v>
      </c>
      <c r="BA28" s="106">
        <f t="shared" si="22"/>
        <v>0</v>
      </c>
      <c r="BB28" s="106">
        <f t="shared" si="22"/>
        <v>0</v>
      </c>
      <c r="BC28" s="106">
        <f t="shared" si="22"/>
        <v>0</v>
      </c>
      <c r="BD28" s="106">
        <f t="shared" si="22"/>
        <v>0</v>
      </c>
      <c r="BE28" s="106">
        <f t="shared" si="22"/>
        <v>0</v>
      </c>
      <c r="BF28" s="106">
        <f t="shared" si="22"/>
        <v>0</v>
      </c>
      <c r="BG28" s="106">
        <f t="shared" si="22"/>
        <v>0</v>
      </c>
      <c r="BH28" s="106">
        <f t="shared" si="22"/>
        <v>0</v>
      </c>
      <c r="BI28" s="106">
        <f t="shared" si="22"/>
        <v>0</v>
      </c>
      <c r="BJ28" s="106">
        <f t="shared" si="22"/>
        <v>0</v>
      </c>
      <c r="BK28" s="106">
        <f t="shared" si="22"/>
        <v>0</v>
      </c>
      <c r="BL28" s="106">
        <f t="shared" si="22"/>
        <v>0</v>
      </c>
      <c r="BM28" s="106">
        <f t="shared" si="22"/>
        <v>0</v>
      </c>
      <c r="BN28" s="106">
        <f t="shared" si="22"/>
        <v>0</v>
      </c>
      <c r="BO28" s="106">
        <f t="shared" si="22"/>
        <v>0</v>
      </c>
      <c r="BP28" s="106">
        <f t="shared" si="22"/>
        <v>0</v>
      </c>
      <c r="BQ28" s="106">
        <f t="shared" si="22"/>
        <v>0</v>
      </c>
      <c r="BR28" s="106">
        <f t="shared" si="22"/>
        <v>0</v>
      </c>
      <c r="BS28" s="106">
        <f t="shared" si="22"/>
        <v>0</v>
      </c>
      <c r="BT28" s="106">
        <f>IF(AND(BT$1&gt;=$E28,BT$1&lt;=$F28),$C28/$G28,0)</f>
        <v>0</v>
      </c>
      <c r="BU28" s="106">
        <f t="shared" si="23"/>
        <v>0</v>
      </c>
      <c r="BV28" s="106">
        <f t="shared" si="23"/>
        <v>0</v>
      </c>
      <c r="BW28" s="106">
        <f t="shared" si="23"/>
        <v>0</v>
      </c>
      <c r="BX28" s="106">
        <f t="shared" si="23"/>
        <v>0</v>
      </c>
      <c r="BY28" s="106">
        <f t="shared" si="23"/>
        <v>0</v>
      </c>
      <c r="BZ28" s="106">
        <f t="shared" si="23"/>
        <v>0</v>
      </c>
      <c r="CA28" s="106">
        <f t="shared" si="23"/>
        <v>0</v>
      </c>
      <c r="CB28" s="106">
        <f t="shared" si="23"/>
        <v>0</v>
      </c>
      <c r="CC28" s="106">
        <f t="shared" si="23"/>
        <v>0</v>
      </c>
      <c r="CD28" s="106">
        <f t="shared" si="23"/>
        <v>0</v>
      </c>
      <c r="CE28" s="106">
        <f t="shared" si="23"/>
        <v>0</v>
      </c>
      <c r="CF28" s="106">
        <f t="shared" si="23"/>
        <v>0</v>
      </c>
      <c r="CG28" s="106">
        <f t="shared" si="23"/>
        <v>0</v>
      </c>
      <c r="CH28" s="106">
        <f t="shared" si="23"/>
        <v>0</v>
      </c>
      <c r="CI28" s="106">
        <f t="shared" si="23"/>
        <v>0</v>
      </c>
      <c r="CJ28" s="106">
        <f t="shared" si="23"/>
        <v>0</v>
      </c>
      <c r="CK28" s="106">
        <f t="shared" si="23"/>
        <v>0</v>
      </c>
      <c r="CL28" s="106">
        <f t="shared" si="23"/>
        <v>0</v>
      </c>
      <c r="CM28" s="106">
        <f t="shared" si="23"/>
        <v>0</v>
      </c>
      <c r="CN28" s="106">
        <f t="shared" si="23"/>
        <v>0</v>
      </c>
      <c r="CO28" s="106">
        <f t="shared" si="23"/>
        <v>0</v>
      </c>
      <c r="CP28" s="106">
        <f t="shared" si="23"/>
        <v>0</v>
      </c>
      <c r="CQ28" s="106">
        <f t="shared" si="23"/>
        <v>0</v>
      </c>
      <c r="CR28" s="106">
        <f t="shared" si="23"/>
        <v>0</v>
      </c>
      <c r="CS28" s="106">
        <f t="shared" si="23"/>
        <v>0</v>
      </c>
      <c r="CT28" s="106">
        <f t="shared" si="23"/>
        <v>0</v>
      </c>
      <c r="CU28" s="106">
        <f t="shared" si="23"/>
        <v>0</v>
      </c>
      <c r="CV28" s="106">
        <f t="shared" si="23"/>
        <v>0</v>
      </c>
      <c r="CW28" s="106">
        <f t="shared" si="23"/>
        <v>0</v>
      </c>
      <c r="CX28" s="106">
        <f t="shared" si="23"/>
        <v>0</v>
      </c>
      <c r="CY28" s="106">
        <f t="shared" si="23"/>
        <v>0</v>
      </c>
      <c r="CZ28" s="106">
        <f t="shared" si="23"/>
        <v>0</v>
      </c>
      <c r="DA28" s="106">
        <f t="shared" si="23"/>
        <v>0</v>
      </c>
      <c r="DB28" s="106">
        <f t="shared" si="23"/>
        <v>0</v>
      </c>
      <c r="DC28" s="106">
        <f t="shared" si="23"/>
        <v>0</v>
      </c>
      <c r="DD28" s="106">
        <f t="shared" si="23"/>
        <v>0</v>
      </c>
      <c r="DE28" s="106">
        <f t="shared" si="23"/>
        <v>0</v>
      </c>
      <c r="DF28" s="106">
        <f t="shared" si="23"/>
        <v>0</v>
      </c>
      <c r="DG28" s="106">
        <f t="shared" si="23"/>
        <v>0</v>
      </c>
      <c r="DH28" s="106">
        <f t="shared" si="23"/>
        <v>0</v>
      </c>
      <c r="DI28" s="106">
        <f t="shared" si="23"/>
        <v>0</v>
      </c>
      <c r="DJ28" s="106">
        <f t="shared" si="23"/>
        <v>0</v>
      </c>
      <c r="DK28" s="106">
        <f t="shared" si="23"/>
        <v>0</v>
      </c>
      <c r="DL28" s="106">
        <f t="shared" si="23"/>
        <v>0</v>
      </c>
      <c r="DM28" s="106">
        <f t="shared" si="23"/>
        <v>0</v>
      </c>
      <c r="DN28" s="106">
        <f t="shared" si="23"/>
        <v>0</v>
      </c>
      <c r="DO28" s="106">
        <f t="shared" si="23"/>
        <v>0</v>
      </c>
      <c r="DP28" s="106">
        <f t="shared" si="23"/>
        <v>0</v>
      </c>
      <c r="DQ28" s="106">
        <f t="shared" si="23"/>
        <v>0</v>
      </c>
      <c r="DR28" s="106">
        <f t="shared" si="23"/>
        <v>0</v>
      </c>
      <c r="DS28" s="106">
        <f t="shared" si="23"/>
        <v>0</v>
      </c>
      <c r="DT28" s="106">
        <f t="shared" si="23"/>
        <v>0</v>
      </c>
      <c r="DU28" s="106">
        <f t="shared" si="23"/>
        <v>0</v>
      </c>
      <c r="DV28" s="106">
        <f t="shared" si="23"/>
        <v>0</v>
      </c>
      <c r="DW28" s="106">
        <f t="shared" si="23"/>
        <v>0</v>
      </c>
      <c r="DX28" s="106">
        <f t="shared" si="23"/>
        <v>0</v>
      </c>
      <c r="DY28" s="106">
        <f t="shared" si="23"/>
        <v>0</v>
      </c>
      <c r="DZ28" s="106">
        <f t="shared" si="23"/>
        <v>0</v>
      </c>
      <c r="EA28" s="106">
        <f t="shared" si="23"/>
        <v>0</v>
      </c>
      <c r="EB28" s="106">
        <f t="shared" si="23"/>
        <v>0</v>
      </c>
      <c r="EC28" s="106">
        <f t="shared" si="23"/>
        <v>0</v>
      </c>
      <c r="ED28" s="106">
        <f t="shared" si="23"/>
        <v>0</v>
      </c>
      <c r="EE28" s="106">
        <f t="shared" si="23"/>
        <v>0</v>
      </c>
      <c r="EF28" s="106">
        <f t="shared" ref="EF28:EF40" si="28">IF(AND(EF$1&gt;=$E28,EF$1&lt;=$F28),$C28/$G28,0)</f>
        <v>0</v>
      </c>
      <c r="EG28" s="106">
        <f t="shared" si="24"/>
        <v>0</v>
      </c>
      <c r="EH28" s="106">
        <f t="shared" si="24"/>
        <v>0</v>
      </c>
      <c r="EI28" s="106">
        <f t="shared" si="24"/>
        <v>0</v>
      </c>
    </row>
    <row r="29" spans="1:139" x14ac:dyDescent="0.25">
      <c r="A29" s="110" t="str">
        <f t="shared" si="25"/>
        <v>OK</v>
      </c>
      <c r="B29" s="16" t="s">
        <v>90</v>
      </c>
      <c r="C29" s="36">
        <v>157500000</v>
      </c>
      <c r="D29" s="104">
        <f>C29/Ingresos!$A$23</f>
        <v>450000</v>
      </c>
      <c r="E29" s="180">
        <v>3</v>
      </c>
      <c r="F29" s="180">
        <v>8</v>
      </c>
      <c r="G29" s="181">
        <f t="shared" si="26"/>
        <v>6</v>
      </c>
      <c r="H29" s="106">
        <f t="shared" si="27"/>
        <v>0</v>
      </c>
      <c r="I29" s="106">
        <f t="shared" si="27"/>
        <v>0</v>
      </c>
      <c r="J29" s="106">
        <f t="shared" si="27"/>
        <v>26250000</v>
      </c>
      <c r="K29" s="106">
        <f t="shared" si="27"/>
        <v>26250000</v>
      </c>
      <c r="L29" s="106">
        <f t="shared" si="27"/>
        <v>26250000</v>
      </c>
      <c r="M29" s="106">
        <f t="shared" si="27"/>
        <v>26250000</v>
      </c>
      <c r="N29" s="106">
        <f t="shared" si="27"/>
        <v>26250000</v>
      </c>
      <c r="O29" s="106">
        <f t="shared" si="27"/>
        <v>26250000</v>
      </c>
      <c r="P29" s="106">
        <f t="shared" si="27"/>
        <v>0</v>
      </c>
      <c r="Q29" s="106">
        <f t="shared" si="27"/>
        <v>0</v>
      </c>
      <c r="R29" s="106">
        <f t="shared" si="27"/>
        <v>0</v>
      </c>
      <c r="S29" s="106">
        <f t="shared" si="27"/>
        <v>0</v>
      </c>
      <c r="T29" s="106">
        <f t="shared" si="27"/>
        <v>0</v>
      </c>
      <c r="U29" s="106">
        <f t="shared" si="27"/>
        <v>0</v>
      </c>
      <c r="V29" s="106">
        <f t="shared" si="27"/>
        <v>0</v>
      </c>
      <c r="W29" s="106">
        <f t="shared" si="27"/>
        <v>0</v>
      </c>
      <c r="X29" s="106">
        <f t="shared" ref="X29:CI32" si="29">IF(AND(X$1&gt;=$E29,X$1&lt;=$F29),$C29/$G29,0)</f>
        <v>0</v>
      </c>
      <c r="Y29" s="106">
        <f t="shared" si="29"/>
        <v>0</v>
      </c>
      <c r="Z29" s="106">
        <f t="shared" si="29"/>
        <v>0</v>
      </c>
      <c r="AA29" s="106">
        <f t="shared" si="29"/>
        <v>0</v>
      </c>
      <c r="AB29" s="106">
        <f t="shared" si="29"/>
        <v>0</v>
      </c>
      <c r="AC29" s="106">
        <f t="shared" si="29"/>
        <v>0</v>
      </c>
      <c r="AD29" s="106">
        <f t="shared" si="29"/>
        <v>0</v>
      </c>
      <c r="AE29" s="106">
        <f t="shared" si="29"/>
        <v>0</v>
      </c>
      <c r="AF29" s="106">
        <f t="shared" si="29"/>
        <v>0</v>
      </c>
      <c r="AG29" s="106">
        <f t="shared" si="29"/>
        <v>0</v>
      </c>
      <c r="AH29" s="106">
        <f t="shared" si="29"/>
        <v>0</v>
      </c>
      <c r="AI29" s="106">
        <f t="shared" si="29"/>
        <v>0</v>
      </c>
      <c r="AJ29" s="106">
        <f t="shared" si="29"/>
        <v>0</v>
      </c>
      <c r="AK29" s="106">
        <f t="shared" si="29"/>
        <v>0</v>
      </c>
      <c r="AL29" s="106">
        <f t="shared" si="29"/>
        <v>0</v>
      </c>
      <c r="AM29" s="106">
        <f t="shared" si="29"/>
        <v>0</v>
      </c>
      <c r="AN29" s="106">
        <f t="shared" si="29"/>
        <v>0</v>
      </c>
      <c r="AO29" s="106">
        <f t="shared" si="29"/>
        <v>0</v>
      </c>
      <c r="AP29" s="106">
        <f t="shared" si="29"/>
        <v>0</v>
      </c>
      <c r="AQ29" s="106">
        <f t="shared" si="29"/>
        <v>0</v>
      </c>
      <c r="AR29" s="106">
        <f t="shared" si="29"/>
        <v>0</v>
      </c>
      <c r="AS29" s="106">
        <f t="shared" si="29"/>
        <v>0</v>
      </c>
      <c r="AT29" s="106">
        <f t="shared" si="29"/>
        <v>0</v>
      </c>
      <c r="AU29" s="106">
        <f t="shared" si="29"/>
        <v>0</v>
      </c>
      <c r="AV29" s="106">
        <f t="shared" si="29"/>
        <v>0</v>
      </c>
      <c r="AW29" s="106">
        <f t="shared" si="29"/>
        <v>0</v>
      </c>
      <c r="AX29" s="106">
        <f t="shared" si="29"/>
        <v>0</v>
      </c>
      <c r="AY29" s="106">
        <f t="shared" si="29"/>
        <v>0</v>
      </c>
      <c r="AZ29" s="106">
        <f t="shared" si="29"/>
        <v>0</v>
      </c>
      <c r="BA29" s="106">
        <f t="shared" si="29"/>
        <v>0</v>
      </c>
      <c r="BB29" s="106">
        <f t="shared" si="29"/>
        <v>0</v>
      </c>
      <c r="BC29" s="106">
        <f t="shared" si="29"/>
        <v>0</v>
      </c>
      <c r="BD29" s="106">
        <f t="shared" si="29"/>
        <v>0</v>
      </c>
      <c r="BE29" s="106">
        <f t="shared" si="29"/>
        <v>0</v>
      </c>
      <c r="BF29" s="106">
        <f t="shared" si="29"/>
        <v>0</v>
      </c>
      <c r="BG29" s="106">
        <f t="shared" si="29"/>
        <v>0</v>
      </c>
      <c r="BH29" s="106">
        <f t="shared" si="29"/>
        <v>0</v>
      </c>
      <c r="BI29" s="106">
        <f t="shared" si="29"/>
        <v>0</v>
      </c>
      <c r="BJ29" s="106">
        <f t="shared" si="29"/>
        <v>0</v>
      </c>
      <c r="BK29" s="106">
        <f t="shared" si="29"/>
        <v>0</v>
      </c>
      <c r="BL29" s="106">
        <f t="shared" si="29"/>
        <v>0</v>
      </c>
      <c r="BM29" s="106">
        <f t="shared" si="29"/>
        <v>0</v>
      </c>
      <c r="BN29" s="106">
        <f t="shared" si="29"/>
        <v>0</v>
      </c>
      <c r="BO29" s="106">
        <f t="shared" si="29"/>
        <v>0</v>
      </c>
      <c r="BP29" s="106">
        <f t="shared" si="29"/>
        <v>0</v>
      </c>
      <c r="BQ29" s="106">
        <f t="shared" si="29"/>
        <v>0</v>
      </c>
      <c r="BR29" s="106">
        <f t="shared" si="29"/>
        <v>0</v>
      </c>
      <c r="BS29" s="106">
        <f t="shared" si="29"/>
        <v>0</v>
      </c>
      <c r="BT29" s="106">
        <f t="shared" si="29"/>
        <v>0</v>
      </c>
      <c r="BU29" s="106">
        <f t="shared" si="29"/>
        <v>0</v>
      </c>
      <c r="BV29" s="106">
        <f t="shared" si="29"/>
        <v>0</v>
      </c>
      <c r="BW29" s="106">
        <f t="shared" si="29"/>
        <v>0</v>
      </c>
      <c r="BX29" s="106">
        <f t="shared" si="29"/>
        <v>0</v>
      </c>
      <c r="BY29" s="106">
        <f t="shared" si="29"/>
        <v>0</v>
      </c>
      <c r="BZ29" s="106">
        <f t="shared" si="29"/>
        <v>0</v>
      </c>
      <c r="CA29" s="106">
        <f t="shared" si="29"/>
        <v>0</v>
      </c>
      <c r="CB29" s="106">
        <f t="shared" si="29"/>
        <v>0</v>
      </c>
      <c r="CC29" s="106">
        <f t="shared" si="29"/>
        <v>0</v>
      </c>
      <c r="CD29" s="106">
        <f t="shared" si="29"/>
        <v>0</v>
      </c>
      <c r="CE29" s="106">
        <f t="shared" si="29"/>
        <v>0</v>
      </c>
      <c r="CF29" s="106">
        <f t="shared" si="29"/>
        <v>0</v>
      </c>
      <c r="CG29" s="106">
        <f t="shared" si="29"/>
        <v>0</v>
      </c>
      <c r="CH29" s="106">
        <f t="shared" si="29"/>
        <v>0</v>
      </c>
      <c r="CI29" s="106">
        <f t="shared" si="29"/>
        <v>0</v>
      </c>
      <c r="CJ29" s="106">
        <f t="shared" ref="CJ29:CS31" si="30">IF(AND(CJ$1&gt;=$E29,CJ$1&lt;=$F29),$C29/$G29,0)</f>
        <v>0</v>
      </c>
      <c r="CK29" s="106">
        <f t="shared" si="30"/>
        <v>0</v>
      </c>
      <c r="CL29" s="106">
        <f t="shared" si="30"/>
        <v>0</v>
      </c>
      <c r="CM29" s="106">
        <f t="shared" si="30"/>
        <v>0</v>
      </c>
      <c r="CN29" s="106">
        <f t="shared" si="30"/>
        <v>0</v>
      </c>
      <c r="CO29" s="106">
        <f t="shared" si="30"/>
        <v>0</v>
      </c>
      <c r="CP29" s="106">
        <f t="shared" si="30"/>
        <v>0</v>
      </c>
      <c r="CQ29" s="106">
        <f t="shared" si="30"/>
        <v>0</v>
      </c>
      <c r="CR29" s="106">
        <f t="shared" si="30"/>
        <v>0</v>
      </c>
      <c r="CS29" s="106">
        <f t="shared" si="30"/>
        <v>0</v>
      </c>
      <c r="CT29" s="106">
        <f t="shared" ref="CT29:DC31" si="31">IF(AND(CT$1&gt;=$E29,CT$1&lt;=$F29),$C29/$G29,0)</f>
        <v>0</v>
      </c>
      <c r="CU29" s="106">
        <f t="shared" si="31"/>
        <v>0</v>
      </c>
      <c r="CV29" s="106">
        <f t="shared" si="31"/>
        <v>0</v>
      </c>
      <c r="CW29" s="106">
        <f t="shared" si="31"/>
        <v>0</v>
      </c>
      <c r="CX29" s="106">
        <f t="shared" si="31"/>
        <v>0</v>
      </c>
      <c r="CY29" s="106">
        <f t="shared" si="31"/>
        <v>0</v>
      </c>
      <c r="CZ29" s="106">
        <f t="shared" si="31"/>
        <v>0</v>
      </c>
      <c r="DA29" s="106">
        <f t="shared" si="31"/>
        <v>0</v>
      </c>
      <c r="DB29" s="106">
        <f t="shared" si="31"/>
        <v>0</v>
      </c>
      <c r="DC29" s="106">
        <f t="shared" si="31"/>
        <v>0</v>
      </c>
      <c r="DD29" s="106">
        <f t="shared" ref="DD29:DM31" si="32">IF(AND(DD$1&gt;=$E29,DD$1&lt;=$F29),$C29/$G29,0)</f>
        <v>0</v>
      </c>
      <c r="DE29" s="106">
        <f t="shared" si="32"/>
        <v>0</v>
      </c>
      <c r="DF29" s="106">
        <f t="shared" si="32"/>
        <v>0</v>
      </c>
      <c r="DG29" s="106">
        <f t="shared" si="32"/>
        <v>0</v>
      </c>
      <c r="DH29" s="106">
        <f t="shared" si="32"/>
        <v>0</v>
      </c>
      <c r="DI29" s="106">
        <f t="shared" si="32"/>
        <v>0</v>
      </c>
      <c r="DJ29" s="106">
        <f t="shared" si="32"/>
        <v>0</v>
      </c>
      <c r="DK29" s="106">
        <f t="shared" si="32"/>
        <v>0</v>
      </c>
      <c r="DL29" s="106">
        <f t="shared" si="32"/>
        <v>0</v>
      </c>
      <c r="DM29" s="106">
        <f t="shared" si="32"/>
        <v>0</v>
      </c>
      <c r="DN29" s="106">
        <f t="shared" ref="DN29:DW31" si="33">IF(AND(DN$1&gt;=$E29,DN$1&lt;=$F29),$C29/$G29,0)</f>
        <v>0</v>
      </c>
      <c r="DO29" s="106">
        <f t="shared" si="33"/>
        <v>0</v>
      </c>
      <c r="DP29" s="106">
        <f t="shared" si="33"/>
        <v>0</v>
      </c>
      <c r="DQ29" s="106">
        <f t="shared" si="33"/>
        <v>0</v>
      </c>
      <c r="DR29" s="106">
        <f t="shared" si="33"/>
        <v>0</v>
      </c>
      <c r="DS29" s="106">
        <f t="shared" si="33"/>
        <v>0</v>
      </c>
      <c r="DT29" s="106">
        <f t="shared" si="33"/>
        <v>0</v>
      </c>
      <c r="DU29" s="106">
        <f t="shared" si="33"/>
        <v>0</v>
      </c>
      <c r="DV29" s="106">
        <f t="shared" si="33"/>
        <v>0</v>
      </c>
      <c r="DW29" s="106">
        <f t="shared" si="33"/>
        <v>0</v>
      </c>
      <c r="DX29" s="106">
        <f t="shared" ref="DX29:EE31" si="34">IF(AND(DX$1&gt;=$E29,DX$1&lt;=$F29),$C29/$G29,0)</f>
        <v>0</v>
      </c>
      <c r="DY29" s="106">
        <f t="shared" si="34"/>
        <v>0</v>
      </c>
      <c r="DZ29" s="106">
        <f t="shared" si="34"/>
        <v>0</v>
      </c>
      <c r="EA29" s="106">
        <f t="shared" si="34"/>
        <v>0</v>
      </c>
      <c r="EB29" s="106">
        <f t="shared" si="34"/>
        <v>0</v>
      </c>
      <c r="EC29" s="106">
        <f t="shared" si="34"/>
        <v>0</v>
      </c>
      <c r="ED29" s="106">
        <f t="shared" si="34"/>
        <v>0</v>
      </c>
      <c r="EE29" s="106">
        <f t="shared" si="34"/>
        <v>0</v>
      </c>
      <c r="EF29" s="106">
        <f t="shared" si="28"/>
        <v>0</v>
      </c>
      <c r="EG29" s="106">
        <f t="shared" si="24"/>
        <v>0</v>
      </c>
      <c r="EH29" s="106">
        <f t="shared" si="24"/>
        <v>0</v>
      </c>
      <c r="EI29" s="106">
        <f t="shared" si="24"/>
        <v>0</v>
      </c>
    </row>
    <row r="30" spans="1:139" x14ac:dyDescent="0.25">
      <c r="A30" s="110" t="str">
        <f t="shared" si="25"/>
        <v>OK</v>
      </c>
      <c r="B30" s="16" t="s">
        <v>91</v>
      </c>
      <c r="C30" s="36">
        <v>262500000</v>
      </c>
      <c r="D30" s="104">
        <f>C30/Ingresos!$A$23</f>
        <v>750000</v>
      </c>
      <c r="E30" s="180">
        <v>4</v>
      </c>
      <c r="F30" s="180">
        <v>8</v>
      </c>
      <c r="G30" s="181">
        <f t="shared" si="26"/>
        <v>5</v>
      </c>
      <c r="H30" s="106">
        <f t="shared" si="27"/>
        <v>0</v>
      </c>
      <c r="I30" s="106">
        <f t="shared" si="27"/>
        <v>0</v>
      </c>
      <c r="J30" s="106">
        <f t="shared" si="27"/>
        <v>0</v>
      </c>
      <c r="K30" s="106">
        <f t="shared" si="27"/>
        <v>52500000</v>
      </c>
      <c r="L30" s="106">
        <f t="shared" si="27"/>
        <v>52500000</v>
      </c>
      <c r="M30" s="106">
        <f t="shared" si="27"/>
        <v>52500000</v>
      </c>
      <c r="N30" s="106">
        <f t="shared" si="27"/>
        <v>52500000</v>
      </c>
      <c r="O30" s="106">
        <f t="shared" si="27"/>
        <v>52500000</v>
      </c>
      <c r="P30" s="106">
        <f t="shared" si="27"/>
        <v>0</v>
      </c>
      <c r="Q30" s="106">
        <f t="shared" si="27"/>
        <v>0</v>
      </c>
      <c r="R30" s="106">
        <f t="shared" si="27"/>
        <v>0</v>
      </c>
      <c r="S30" s="106">
        <f t="shared" si="27"/>
        <v>0</v>
      </c>
      <c r="T30" s="106">
        <f t="shared" si="27"/>
        <v>0</v>
      </c>
      <c r="U30" s="106">
        <f t="shared" si="27"/>
        <v>0</v>
      </c>
      <c r="V30" s="106">
        <f t="shared" si="27"/>
        <v>0</v>
      </c>
      <c r="W30" s="106">
        <f t="shared" si="27"/>
        <v>0</v>
      </c>
      <c r="X30" s="106">
        <f t="shared" si="29"/>
        <v>0</v>
      </c>
      <c r="Y30" s="106">
        <f t="shared" si="29"/>
        <v>0</v>
      </c>
      <c r="Z30" s="106">
        <f t="shared" si="29"/>
        <v>0</v>
      </c>
      <c r="AA30" s="106">
        <f t="shared" si="29"/>
        <v>0</v>
      </c>
      <c r="AB30" s="106">
        <f t="shared" si="29"/>
        <v>0</v>
      </c>
      <c r="AC30" s="106">
        <f t="shared" si="29"/>
        <v>0</v>
      </c>
      <c r="AD30" s="106">
        <f t="shared" si="29"/>
        <v>0</v>
      </c>
      <c r="AE30" s="106">
        <f t="shared" si="29"/>
        <v>0</v>
      </c>
      <c r="AF30" s="106">
        <f t="shared" si="29"/>
        <v>0</v>
      </c>
      <c r="AG30" s="106">
        <f t="shared" si="29"/>
        <v>0</v>
      </c>
      <c r="AH30" s="106">
        <f t="shared" si="29"/>
        <v>0</v>
      </c>
      <c r="AI30" s="106">
        <f t="shared" si="29"/>
        <v>0</v>
      </c>
      <c r="AJ30" s="106">
        <f t="shared" si="29"/>
        <v>0</v>
      </c>
      <c r="AK30" s="106">
        <f t="shared" si="29"/>
        <v>0</v>
      </c>
      <c r="AL30" s="106">
        <f t="shared" si="29"/>
        <v>0</v>
      </c>
      <c r="AM30" s="106">
        <f t="shared" si="29"/>
        <v>0</v>
      </c>
      <c r="AN30" s="106">
        <f t="shared" si="29"/>
        <v>0</v>
      </c>
      <c r="AO30" s="106">
        <f t="shared" si="29"/>
        <v>0</v>
      </c>
      <c r="AP30" s="106">
        <f t="shared" si="29"/>
        <v>0</v>
      </c>
      <c r="AQ30" s="106">
        <f t="shared" si="29"/>
        <v>0</v>
      </c>
      <c r="AR30" s="106">
        <f t="shared" si="29"/>
        <v>0</v>
      </c>
      <c r="AS30" s="106">
        <f t="shared" si="29"/>
        <v>0</v>
      </c>
      <c r="AT30" s="106">
        <f t="shared" si="29"/>
        <v>0</v>
      </c>
      <c r="AU30" s="106">
        <f t="shared" si="29"/>
        <v>0</v>
      </c>
      <c r="AV30" s="106">
        <f t="shared" si="29"/>
        <v>0</v>
      </c>
      <c r="AW30" s="106">
        <f t="shared" si="29"/>
        <v>0</v>
      </c>
      <c r="AX30" s="106">
        <f t="shared" si="29"/>
        <v>0</v>
      </c>
      <c r="AY30" s="106">
        <f t="shared" si="29"/>
        <v>0</v>
      </c>
      <c r="AZ30" s="106">
        <f t="shared" si="29"/>
        <v>0</v>
      </c>
      <c r="BA30" s="106">
        <f t="shared" si="29"/>
        <v>0</v>
      </c>
      <c r="BB30" s="106">
        <f t="shared" si="29"/>
        <v>0</v>
      </c>
      <c r="BC30" s="106">
        <f t="shared" si="29"/>
        <v>0</v>
      </c>
      <c r="BD30" s="106">
        <f t="shared" si="29"/>
        <v>0</v>
      </c>
      <c r="BE30" s="106">
        <f t="shared" si="29"/>
        <v>0</v>
      </c>
      <c r="BF30" s="106">
        <f t="shared" si="29"/>
        <v>0</v>
      </c>
      <c r="BG30" s="106">
        <f t="shared" si="29"/>
        <v>0</v>
      </c>
      <c r="BH30" s="106">
        <f t="shared" si="29"/>
        <v>0</v>
      </c>
      <c r="BI30" s="106">
        <f t="shared" si="29"/>
        <v>0</v>
      </c>
      <c r="BJ30" s="106">
        <f t="shared" si="29"/>
        <v>0</v>
      </c>
      <c r="BK30" s="106">
        <f t="shared" si="29"/>
        <v>0</v>
      </c>
      <c r="BL30" s="106">
        <f t="shared" si="29"/>
        <v>0</v>
      </c>
      <c r="BM30" s="106">
        <f t="shared" si="29"/>
        <v>0</v>
      </c>
      <c r="BN30" s="106">
        <f t="shared" si="29"/>
        <v>0</v>
      </c>
      <c r="BO30" s="106">
        <f t="shared" si="29"/>
        <v>0</v>
      </c>
      <c r="BP30" s="106">
        <f t="shared" si="29"/>
        <v>0</v>
      </c>
      <c r="BQ30" s="106">
        <f t="shared" si="29"/>
        <v>0</v>
      </c>
      <c r="BR30" s="106">
        <f t="shared" si="29"/>
        <v>0</v>
      </c>
      <c r="BS30" s="106">
        <f t="shared" si="29"/>
        <v>0</v>
      </c>
      <c r="BT30" s="106">
        <f t="shared" si="29"/>
        <v>0</v>
      </c>
      <c r="BU30" s="106">
        <f t="shared" si="29"/>
        <v>0</v>
      </c>
      <c r="BV30" s="106">
        <f t="shared" si="29"/>
        <v>0</v>
      </c>
      <c r="BW30" s="106">
        <f t="shared" si="29"/>
        <v>0</v>
      </c>
      <c r="BX30" s="106">
        <f t="shared" si="29"/>
        <v>0</v>
      </c>
      <c r="BY30" s="106">
        <f t="shared" si="29"/>
        <v>0</v>
      </c>
      <c r="BZ30" s="106">
        <f t="shared" si="29"/>
        <v>0</v>
      </c>
      <c r="CA30" s="106">
        <f t="shared" si="29"/>
        <v>0</v>
      </c>
      <c r="CB30" s="106">
        <f t="shared" si="29"/>
        <v>0</v>
      </c>
      <c r="CC30" s="106">
        <f t="shared" si="29"/>
        <v>0</v>
      </c>
      <c r="CD30" s="106">
        <f t="shared" si="29"/>
        <v>0</v>
      </c>
      <c r="CE30" s="106">
        <f t="shared" si="29"/>
        <v>0</v>
      </c>
      <c r="CF30" s="106">
        <f t="shared" si="29"/>
        <v>0</v>
      </c>
      <c r="CG30" s="106">
        <f t="shared" si="29"/>
        <v>0</v>
      </c>
      <c r="CH30" s="106">
        <f t="shared" si="29"/>
        <v>0</v>
      </c>
      <c r="CI30" s="106">
        <f t="shared" si="29"/>
        <v>0</v>
      </c>
      <c r="CJ30" s="106">
        <f t="shared" si="30"/>
        <v>0</v>
      </c>
      <c r="CK30" s="106">
        <f t="shared" si="30"/>
        <v>0</v>
      </c>
      <c r="CL30" s="106">
        <f t="shared" si="30"/>
        <v>0</v>
      </c>
      <c r="CM30" s="106">
        <f t="shared" si="30"/>
        <v>0</v>
      </c>
      <c r="CN30" s="106">
        <f t="shared" si="30"/>
        <v>0</v>
      </c>
      <c r="CO30" s="106">
        <f t="shared" si="30"/>
        <v>0</v>
      </c>
      <c r="CP30" s="106">
        <f t="shared" si="30"/>
        <v>0</v>
      </c>
      <c r="CQ30" s="106">
        <f t="shared" si="30"/>
        <v>0</v>
      </c>
      <c r="CR30" s="106">
        <f t="shared" si="30"/>
        <v>0</v>
      </c>
      <c r="CS30" s="106">
        <f t="shared" si="30"/>
        <v>0</v>
      </c>
      <c r="CT30" s="106">
        <f t="shared" si="31"/>
        <v>0</v>
      </c>
      <c r="CU30" s="106">
        <f t="shared" si="31"/>
        <v>0</v>
      </c>
      <c r="CV30" s="106">
        <f t="shared" si="31"/>
        <v>0</v>
      </c>
      <c r="CW30" s="106">
        <f t="shared" si="31"/>
        <v>0</v>
      </c>
      <c r="CX30" s="106">
        <f t="shared" si="31"/>
        <v>0</v>
      </c>
      <c r="CY30" s="106">
        <f t="shared" si="31"/>
        <v>0</v>
      </c>
      <c r="CZ30" s="106">
        <f t="shared" si="31"/>
        <v>0</v>
      </c>
      <c r="DA30" s="106">
        <f t="shared" si="31"/>
        <v>0</v>
      </c>
      <c r="DB30" s="106">
        <f t="shared" si="31"/>
        <v>0</v>
      </c>
      <c r="DC30" s="106">
        <f t="shared" si="31"/>
        <v>0</v>
      </c>
      <c r="DD30" s="106">
        <f t="shared" si="32"/>
        <v>0</v>
      </c>
      <c r="DE30" s="106">
        <f t="shared" si="32"/>
        <v>0</v>
      </c>
      <c r="DF30" s="106">
        <f t="shared" si="32"/>
        <v>0</v>
      </c>
      <c r="DG30" s="106">
        <f t="shared" si="32"/>
        <v>0</v>
      </c>
      <c r="DH30" s="106">
        <f t="shared" si="32"/>
        <v>0</v>
      </c>
      <c r="DI30" s="106">
        <f t="shared" si="32"/>
        <v>0</v>
      </c>
      <c r="DJ30" s="106">
        <f t="shared" si="32"/>
        <v>0</v>
      </c>
      <c r="DK30" s="106">
        <f t="shared" si="32"/>
        <v>0</v>
      </c>
      <c r="DL30" s="106">
        <f t="shared" si="32"/>
        <v>0</v>
      </c>
      <c r="DM30" s="106">
        <f t="shared" si="32"/>
        <v>0</v>
      </c>
      <c r="DN30" s="106">
        <f t="shared" si="33"/>
        <v>0</v>
      </c>
      <c r="DO30" s="106">
        <f t="shared" si="33"/>
        <v>0</v>
      </c>
      <c r="DP30" s="106">
        <f t="shared" si="33"/>
        <v>0</v>
      </c>
      <c r="DQ30" s="106">
        <f t="shared" si="33"/>
        <v>0</v>
      </c>
      <c r="DR30" s="106">
        <f t="shared" si="33"/>
        <v>0</v>
      </c>
      <c r="DS30" s="106">
        <f t="shared" si="33"/>
        <v>0</v>
      </c>
      <c r="DT30" s="106">
        <f t="shared" si="33"/>
        <v>0</v>
      </c>
      <c r="DU30" s="106">
        <f t="shared" si="33"/>
        <v>0</v>
      </c>
      <c r="DV30" s="106">
        <f t="shared" si="33"/>
        <v>0</v>
      </c>
      <c r="DW30" s="106">
        <f t="shared" si="33"/>
        <v>0</v>
      </c>
      <c r="DX30" s="106">
        <f t="shared" si="34"/>
        <v>0</v>
      </c>
      <c r="DY30" s="106">
        <f t="shared" si="34"/>
        <v>0</v>
      </c>
      <c r="DZ30" s="106">
        <f t="shared" si="34"/>
        <v>0</v>
      </c>
      <c r="EA30" s="106">
        <f t="shared" si="34"/>
        <v>0</v>
      </c>
      <c r="EB30" s="106">
        <f t="shared" si="34"/>
        <v>0</v>
      </c>
      <c r="EC30" s="106">
        <f t="shared" si="34"/>
        <v>0</v>
      </c>
      <c r="ED30" s="106">
        <f t="shared" si="34"/>
        <v>0</v>
      </c>
      <c r="EE30" s="106">
        <f t="shared" si="34"/>
        <v>0</v>
      </c>
      <c r="EF30" s="106">
        <f t="shared" si="28"/>
        <v>0</v>
      </c>
      <c r="EG30" s="106">
        <f t="shared" si="24"/>
        <v>0</v>
      </c>
      <c r="EH30" s="106">
        <f t="shared" si="24"/>
        <v>0</v>
      </c>
      <c r="EI30" s="106">
        <f t="shared" si="24"/>
        <v>0</v>
      </c>
    </row>
    <row r="31" spans="1:139" x14ac:dyDescent="0.25">
      <c r="A31" s="110" t="str">
        <f t="shared" si="25"/>
        <v>OK</v>
      </c>
      <c r="B31" s="16" t="s">
        <v>96</v>
      </c>
      <c r="C31" s="36">
        <f>+SUM(C25:C30)*5%</f>
        <v>263375000</v>
      </c>
      <c r="D31" s="104">
        <f>C31/Ingresos!$A$23</f>
        <v>752500</v>
      </c>
      <c r="E31" s="180">
        <v>4</v>
      </c>
      <c r="F31" s="180">
        <v>8</v>
      </c>
      <c r="G31" s="181">
        <f t="shared" si="26"/>
        <v>5</v>
      </c>
      <c r="H31" s="106">
        <f t="shared" si="27"/>
        <v>0</v>
      </c>
      <c r="I31" s="106">
        <f t="shared" si="27"/>
        <v>0</v>
      </c>
      <c r="J31" s="106">
        <f t="shared" si="27"/>
        <v>0</v>
      </c>
      <c r="K31" s="106">
        <f t="shared" si="27"/>
        <v>52675000</v>
      </c>
      <c r="L31" s="106">
        <f t="shared" si="27"/>
        <v>52675000</v>
      </c>
      <c r="M31" s="106">
        <f t="shared" si="27"/>
        <v>52675000</v>
      </c>
      <c r="N31" s="106">
        <f t="shared" si="27"/>
        <v>52675000</v>
      </c>
      <c r="O31" s="106">
        <f t="shared" si="27"/>
        <v>52675000</v>
      </c>
      <c r="P31" s="106">
        <f t="shared" si="27"/>
        <v>0</v>
      </c>
      <c r="Q31" s="106">
        <f t="shared" si="27"/>
        <v>0</v>
      </c>
      <c r="R31" s="106">
        <f t="shared" si="27"/>
        <v>0</v>
      </c>
      <c r="S31" s="106">
        <f t="shared" si="27"/>
        <v>0</v>
      </c>
      <c r="T31" s="106">
        <f t="shared" si="27"/>
        <v>0</v>
      </c>
      <c r="U31" s="106">
        <f t="shared" si="27"/>
        <v>0</v>
      </c>
      <c r="V31" s="106">
        <f t="shared" si="27"/>
        <v>0</v>
      </c>
      <c r="W31" s="106">
        <f t="shared" si="27"/>
        <v>0</v>
      </c>
      <c r="X31" s="106">
        <f t="shared" si="29"/>
        <v>0</v>
      </c>
      <c r="Y31" s="106">
        <f t="shared" si="29"/>
        <v>0</v>
      </c>
      <c r="Z31" s="106">
        <f t="shared" si="29"/>
        <v>0</v>
      </c>
      <c r="AA31" s="106">
        <f t="shared" si="29"/>
        <v>0</v>
      </c>
      <c r="AB31" s="106">
        <f t="shared" si="29"/>
        <v>0</v>
      </c>
      <c r="AC31" s="106">
        <f t="shared" si="29"/>
        <v>0</v>
      </c>
      <c r="AD31" s="106">
        <f t="shared" si="29"/>
        <v>0</v>
      </c>
      <c r="AE31" s="106">
        <f t="shared" si="29"/>
        <v>0</v>
      </c>
      <c r="AF31" s="106">
        <f t="shared" si="29"/>
        <v>0</v>
      </c>
      <c r="AG31" s="106">
        <f t="shared" si="29"/>
        <v>0</v>
      </c>
      <c r="AH31" s="106">
        <f t="shared" si="29"/>
        <v>0</v>
      </c>
      <c r="AI31" s="106">
        <f t="shared" si="29"/>
        <v>0</v>
      </c>
      <c r="AJ31" s="106">
        <f t="shared" si="29"/>
        <v>0</v>
      </c>
      <c r="AK31" s="106">
        <f t="shared" si="29"/>
        <v>0</v>
      </c>
      <c r="AL31" s="106">
        <f t="shared" si="29"/>
        <v>0</v>
      </c>
      <c r="AM31" s="106">
        <f t="shared" si="29"/>
        <v>0</v>
      </c>
      <c r="AN31" s="106">
        <f t="shared" si="29"/>
        <v>0</v>
      </c>
      <c r="AO31" s="106">
        <f t="shared" si="29"/>
        <v>0</v>
      </c>
      <c r="AP31" s="106">
        <f t="shared" si="29"/>
        <v>0</v>
      </c>
      <c r="AQ31" s="106">
        <f t="shared" si="29"/>
        <v>0</v>
      </c>
      <c r="AR31" s="106">
        <f t="shared" si="29"/>
        <v>0</v>
      </c>
      <c r="AS31" s="106">
        <f t="shared" si="29"/>
        <v>0</v>
      </c>
      <c r="AT31" s="106">
        <f t="shared" si="29"/>
        <v>0</v>
      </c>
      <c r="AU31" s="106">
        <f t="shared" si="29"/>
        <v>0</v>
      </c>
      <c r="AV31" s="106">
        <f t="shared" si="29"/>
        <v>0</v>
      </c>
      <c r="AW31" s="106">
        <f t="shared" si="29"/>
        <v>0</v>
      </c>
      <c r="AX31" s="106">
        <f t="shared" si="29"/>
        <v>0</v>
      </c>
      <c r="AY31" s="106">
        <f t="shared" si="29"/>
        <v>0</v>
      </c>
      <c r="AZ31" s="106">
        <f t="shared" si="29"/>
        <v>0</v>
      </c>
      <c r="BA31" s="106">
        <f t="shared" si="29"/>
        <v>0</v>
      </c>
      <c r="BB31" s="106">
        <f t="shared" si="29"/>
        <v>0</v>
      </c>
      <c r="BC31" s="106">
        <f t="shared" si="29"/>
        <v>0</v>
      </c>
      <c r="BD31" s="106">
        <f t="shared" si="29"/>
        <v>0</v>
      </c>
      <c r="BE31" s="106">
        <f t="shared" si="29"/>
        <v>0</v>
      </c>
      <c r="BF31" s="106">
        <f t="shared" si="29"/>
        <v>0</v>
      </c>
      <c r="BG31" s="106">
        <f t="shared" si="29"/>
        <v>0</v>
      </c>
      <c r="BH31" s="106">
        <f t="shared" si="29"/>
        <v>0</v>
      </c>
      <c r="BI31" s="106">
        <f t="shared" si="29"/>
        <v>0</v>
      </c>
      <c r="BJ31" s="106">
        <f t="shared" si="29"/>
        <v>0</v>
      </c>
      <c r="BK31" s="106">
        <f t="shared" si="29"/>
        <v>0</v>
      </c>
      <c r="BL31" s="106">
        <f t="shared" si="29"/>
        <v>0</v>
      </c>
      <c r="BM31" s="106">
        <f t="shared" si="29"/>
        <v>0</v>
      </c>
      <c r="BN31" s="106">
        <f t="shared" si="29"/>
        <v>0</v>
      </c>
      <c r="BO31" s="106">
        <f t="shared" si="29"/>
        <v>0</v>
      </c>
      <c r="BP31" s="106">
        <f t="shared" si="29"/>
        <v>0</v>
      </c>
      <c r="BQ31" s="106">
        <f t="shared" si="29"/>
        <v>0</v>
      </c>
      <c r="BR31" s="106">
        <f t="shared" si="29"/>
        <v>0</v>
      </c>
      <c r="BS31" s="106">
        <f t="shared" si="29"/>
        <v>0</v>
      </c>
      <c r="BT31" s="106">
        <f t="shared" si="29"/>
        <v>0</v>
      </c>
      <c r="BU31" s="106">
        <f t="shared" si="29"/>
        <v>0</v>
      </c>
      <c r="BV31" s="106">
        <f t="shared" si="29"/>
        <v>0</v>
      </c>
      <c r="BW31" s="106">
        <f t="shared" si="29"/>
        <v>0</v>
      </c>
      <c r="BX31" s="106">
        <f t="shared" si="29"/>
        <v>0</v>
      </c>
      <c r="BY31" s="106">
        <f t="shared" si="29"/>
        <v>0</v>
      </c>
      <c r="BZ31" s="106">
        <f t="shared" si="29"/>
        <v>0</v>
      </c>
      <c r="CA31" s="106">
        <f t="shared" si="29"/>
        <v>0</v>
      </c>
      <c r="CB31" s="106">
        <f t="shared" si="29"/>
        <v>0</v>
      </c>
      <c r="CC31" s="106">
        <f t="shared" si="29"/>
        <v>0</v>
      </c>
      <c r="CD31" s="106">
        <f t="shared" si="29"/>
        <v>0</v>
      </c>
      <c r="CE31" s="106">
        <f t="shared" si="29"/>
        <v>0</v>
      </c>
      <c r="CF31" s="106">
        <f t="shared" si="29"/>
        <v>0</v>
      </c>
      <c r="CG31" s="106">
        <f t="shared" si="29"/>
        <v>0</v>
      </c>
      <c r="CH31" s="106">
        <f t="shared" si="29"/>
        <v>0</v>
      </c>
      <c r="CI31" s="106">
        <f t="shared" si="29"/>
        <v>0</v>
      </c>
      <c r="CJ31" s="106">
        <f t="shared" si="30"/>
        <v>0</v>
      </c>
      <c r="CK31" s="106">
        <f t="shared" si="30"/>
        <v>0</v>
      </c>
      <c r="CL31" s="106">
        <f t="shared" si="30"/>
        <v>0</v>
      </c>
      <c r="CM31" s="106">
        <f t="shared" si="30"/>
        <v>0</v>
      </c>
      <c r="CN31" s="106">
        <f t="shared" si="30"/>
        <v>0</v>
      </c>
      <c r="CO31" s="106">
        <f t="shared" si="30"/>
        <v>0</v>
      </c>
      <c r="CP31" s="106">
        <f t="shared" si="30"/>
        <v>0</v>
      </c>
      <c r="CQ31" s="106">
        <f t="shared" si="30"/>
        <v>0</v>
      </c>
      <c r="CR31" s="106">
        <f t="shared" si="30"/>
        <v>0</v>
      </c>
      <c r="CS31" s="106">
        <f t="shared" si="30"/>
        <v>0</v>
      </c>
      <c r="CT31" s="106">
        <f t="shared" si="31"/>
        <v>0</v>
      </c>
      <c r="CU31" s="106">
        <f t="shared" si="31"/>
        <v>0</v>
      </c>
      <c r="CV31" s="106">
        <f t="shared" si="31"/>
        <v>0</v>
      </c>
      <c r="CW31" s="106">
        <f t="shared" si="31"/>
        <v>0</v>
      </c>
      <c r="CX31" s="106">
        <f t="shared" si="31"/>
        <v>0</v>
      </c>
      <c r="CY31" s="106">
        <f t="shared" si="31"/>
        <v>0</v>
      </c>
      <c r="CZ31" s="106">
        <f t="shared" si="31"/>
        <v>0</v>
      </c>
      <c r="DA31" s="106">
        <f t="shared" si="31"/>
        <v>0</v>
      </c>
      <c r="DB31" s="106">
        <f t="shared" si="31"/>
        <v>0</v>
      </c>
      <c r="DC31" s="106">
        <f t="shared" si="31"/>
        <v>0</v>
      </c>
      <c r="DD31" s="106">
        <f t="shared" si="32"/>
        <v>0</v>
      </c>
      <c r="DE31" s="106">
        <f t="shared" si="32"/>
        <v>0</v>
      </c>
      <c r="DF31" s="106">
        <f t="shared" si="32"/>
        <v>0</v>
      </c>
      <c r="DG31" s="106">
        <f t="shared" si="32"/>
        <v>0</v>
      </c>
      <c r="DH31" s="106">
        <f t="shared" si="32"/>
        <v>0</v>
      </c>
      <c r="DI31" s="106">
        <f t="shared" si="32"/>
        <v>0</v>
      </c>
      <c r="DJ31" s="106">
        <f t="shared" si="32"/>
        <v>0</v>
      </c>
      <c r="DK31" s="106">
        <f t="shared" si="32"/>
        <v>0</v>
      </c>
      <c r="DL31" s="106">
        <f t="shared" si="32"/>
        <v>0</v>
      </c>
      <c r="DM31" s="106">
        <f t="shared" si="32"/>
        <v>0</v>
      </c>
      <c r="DN31" s="106">
        <f t="shared" si="33"/>
        <v>0</v>
      </c>
      <c r="DO31" s="106">
        <f t="shared" si="33"/>
        <v>0</v>
      </c>
      <c r="DP31" s="106">
        <f t="shared" si="33"/>
        <v>0</v>
      </c>
      <c r="DQ31" s="106">
        <f t="shared" si="33"/>
        <v>0</v>
      </c>
      <c r="DR31" s="106">
        <f t="shared" si="33"/>
        <v>0</v>
      </c>
      <c r="DS31" s="106">
        <f t="shared" si="33"/>
        <v>0</v>
      </c>
      <c r="DT31" s="106">
        <f t="shared" si="33"/>
        <v>0</v>
      </c>
      <c r="DU31" s="106">
        <f t="shared" si="33"/>
        <v>0</v>
      </c>
      <c r="DV31" s="106">
        <f t="shared" si="33"/>
        <v>0</v>
      </c>
      <c r="DW31" s="106">
        <f t="shared" si="33"/>
        <v>0</v>
      </c>
      <c r="DX31" s="106">
        <f t="shared" si="34"/>
        <v>0</v>
      </c>
      <c r="DY31" s="106">
        <f t="shared" si="34"/>
        <v>0</v>
      </c>
      <c r="DZ31" s="106">
        <f t="shared" si="34"/>
        <v>0</v>
      </c>
      <c r="EA31" s="106">
        <f t="shared" si="34"/>
        <v>0</v>
      </c>
      <c r="EB31" s="106">
        <f t="shared" si="34"/>
        <v>0</v>
      </c>
      <c r="EC31" s="106">
        <f t="shared" si="34"/>
        <v>0</v>
      </c>
      <c r="ED31" s="106">
        <f t="shared" si="34"/>
        <v>0</v>
      </c>
      <c r="EE31" s="106">
        <f t="shared" si="34"/>
        <v>0</v>
      </c>
      <c r="EF31" s="106">
        <f t="shared" si="28"/>
        <v>0</v>
      </c>
      <c r="EG31" s="106">
        <f t="shared" si="24"/>
        <v>0</v>
      </c>
      <c r="EH31" s="106">
        <f t="shared" si="24"/>
        <v>0</v>
      </c>
      <c r="EI31" s="106">
        <f t="shared" si="24"/>
        <v>0</v>
      </c>
    </row>
    <row r="32" spans="1:139" x14ac:dyDescent="0.25">
      <c r="A32" s="110" t="str">
        <f t="shared" si="25"/>
        <v>OK</v>
      </c>
      <c r="B32" s="16" t="s">
        <v>30</v>
      </c>
      <c r="C32" s="36">
        <f>D32*Ingresos!$A$23</f>
        <v>0</v>
      </c>
      <c r="D32" s="103">
        <v>0</v>
      </c>
      <c r="E32" s="180">
        <v>1</v>
      </c>
      <c r="F32" s="180">
        <v>1</v>
      </c>
      <c r="G32" s="181">
        <f t="shared" si="26"/>
        <v>1</v>
      </c>
      <c r="H32" s="106">
        <f t="shared" si="27"/>
        <v>0</v>
      </c>
      <c r="I32" s="106">
        <f t="shared" si="27"/>
        <v>0</v>
      </c>
      <c r="J32" s="106">
        <f t="shared" si="27"/>
        <v>0</v>
      </c>
      <c r="K32" s="106">
        <f t="shared" si="27"/>
        <v>0</v>
      </c>
      <c r="L32" s="106">
        <f t="shared" si="27"/>
        <v>0</v>
      </c>
      <c r="M32" s="106">
        <f t="shared" si="27"/>
        <v>0</v>
      </c>
      <c r="N32" s="106">
        <f t="shared" si="27"/>
        <v>0</v>
      </c>
      <c r="O32" s="106">
        <f t="shared" si="27"/>
        <v>0</v>
      </c>
      <c r="P32" s="106">
        <f t="shared" si="27"/>
        <v>0</v>
      </c>
      <c r="Q32" s="106">
        <f t="shared" si="27"/>
        <v>0</v>
      </c>
      <c r="R32" s="106">
        <f t="shared" si="27"/>
        <v>0</v>
      </c>
      <c r="S32" s="106">
        <f t="shared" si="27"/>
        <v>0</v>
      </c>
      <c r="T32" s="106">
        <f t="shared" si="27"/>
        <v>0</v>
      </c>
      <c r="U32" s="106">
        <f t="shared" si="27"/>
        <v>0</v>
      </c>
      <c r="V32" s="106">
        <f t="shared" si="27"/>
        <v>0</v>
      </c>
      <c r="W32" s="106">
        <f t="shared" si="27"/>
        <v>0</v>
      </c>
      <c r="X32" s="106">
        <f t="shared" si="29"/>
        <v>0</v>
      </c>
      <c r="Y32" s="106">
        <f t="shared" si="29"/>
        <v>0</v>
      </c>
      <c r="Z32" s="106">
        <f t="shared" si="29"/>
        <v>0</v>
      </c>
      <c r="AA32" s="106">
        <f t="shared" si="29"/>
        <v>0</v>
      </c>
      <c r="AB32" s="106">
        <f t="shared" si="29"/>
        <v>0</v>
      </c>
      <c r="AC32" s="106">
        <f t="shared" si="29"/>
        <v>0</v>
      </c>
      <c r="AD32" s="106">
        <f t="shared" si="29"/>
        <v>0</v>
      </c>
      <c r="AE32" s="106">
        <f t="shared" si="29"/>
        <v>0</v>
      </c>
      <c r="AF32" s="106">
        <f t="shared" si="29"/>
        <v>0</v>
      </c>
      <c r="AG32" s="106">
        <f t="shared" si="29"/>
        <v>0</v>
      </c>
      <c r="AH32" s="106">
        <f t="shared" si="29"/>
        <v>0</v>
      </c>
      <c r="AI32" s="106">
        <f t="shared" si="29"/>
        <v>0</v>
      </c>
      <c r="AJ32" s="106">
        <f t="shared" si="29"/>
        <v>0</v>
      </c>
      <c r="AK32" s="106">
        <f t="shared" si="29"/>
        <v>0</v>
      </c>
      <c r="AL32" s="106">
        <f t="shared" si="29"/>
        <v>0</v>
      </c>
      <c r="AM32" s="106">
        <f t="shared" si="29"/>
        <v>0</v>
      </c>
      <c r="AN32" s="106">
        <f t="shared" si="29"/>
        <v>0</v>
      </c>
      <c r="AO32" s="106">
        <f t="shared" si="29"/>
        <v>0</v>
      </c>
      <c r="AP32" s="106">
        <f t="shared" si="29"/>
        <v>0</v>
      </c>
      <c r="AQ32" s="106">
        <f t="shared" si="29"/>
        <v>0</v>
      </c>
      <c r="AR32" s="106">
        <f t="shared" si="29"/>
        <v>0</v>
      </c>
      <c r="AS32" s="106">
        <f t="shared" si="29"/>
        <v>0</v>
      </c>
      <c r="AT32" s="106">
        <f t="shared" si="29"/>
        <v>0</v>
      </c>
      <c r="AU32" s="106">
        <f t="shared" si="29"/>
        <v>0</v>
      </c>
      <c r="AV32" s="106">
        <f t="shared" si="29"/>
        <v>0</v>
      </c>
      <c r="AW32" s="106">
        <f t="shared" si="29"/>
        <v>0</v>
      </c>
      <c r="AX32" s="106">
        <f t="shared" si="29"/>
        <v>0</v>
      </c>
      <c r="AY32" s="106">
        <f t="shared" si="29"/>
        <v>0</v>
      </c>
      <c r="AZ32" s="106">
        <f t="shared" si="29"/>
        <v>0</v>
      </c>
      <c r="BA32" s="106">
        <f t="shared" si="29"/>
        <v>0</v>
      </c>
      <c r="BB32" s="106">
        <f t="shared" si="29"/>
        <v>0</v>
      </c>
      <c r="BC32" s="106">
        <f t="shared" si="29"/>
        <v>0</v>
      </c>
      <c r="BD32" s="106">
        <f t="shared" si="29"/>
        <v>0</v>
      </c>
      <c r="BE32" s="106">
        <f t="shared" si="29"/>
        <v>0</v>
      </c>
      <c r="BF32" s="106">
        <f t="shared" si="29"/>
        <v>0</v>
      </c>
      <c r="BG32" s="106">
        <f t="shared" si="29"/>
        <v>0</v>
      </c>
      <c r="BH32" s="106">
        <f t="shared" si="29"/>
        <v>0</v>
      </c>
      <c r="BI32" s="106">
        <f t="shared" si="29"/>
        <v>0</v>
      </c>
      <c r="BJ32" s="106">
        <f t="shared" si="29"/>
        <v>0</v>
      </c>
      <c r="BK32" s="106">
        <f t="shared" si="29"/>
        <v>0</v>
      </c>
      <c r="BL32" s="106">
        <f t="shared" si="29"/>
        <v>0</v>
      </c>
      <c r="BM32" s="106">
        <f t="shared" si="29"/>
        <v>0</v>
      </c>
      <c r="BN32" s="106">
        <f t="shared" si="29"/>
        <v>0</v>
      </c>
      <c r="BO32" s="106">
        <f t="shared" si="29"/>
        <v>0</v>
      </c>
      <c r="BP32" s="106">
        <f t="shared" si="29"/>
        <v>0</v>
      </c>
      <c r="BQ32" s="106">
        <f t="shared" si="29"/>
        <v>0</v>
      </c>
      <c r="BR32" s="106">
        <f t="shared" si="29"/>
        <v>0</v>
      </c>
      <c r="BS32" s="106">
        <f t="shared" si="29"/>
        <v>0</v>
      </c>
      <c r="BT32" s="106">
        <f t="shared" si="29"/>
        <v>0</v>
      </c>
      <c r="BU32" s="106">
        <f t="shared" si="29"/>
        <v>0</v>
      </c>
      <c r="BV32" s="106">
        <f t="shared" si="29"/>
        <v>0</v>
      </c>
      <c r="BW32" s="106">
        <f t="shared" si="29"/>
        <v>0</v>
      </c>
      <c r="BX32" s="106">
        <f t="shared" si="29"/>
        <v>0</v>
      </c>
      <c r="BY32" s="106">
        <f t="shared" si="29"/>
        <v>0</v>
      </c>
      <c r="BZ32" s="106">
        <f t="shared" si="29"/>
        <v>0</v>
      </c>
      <c r="CA32" s="106">
        <f t="shared" si="29"/>
        <v>0</v>
      </c>
      <c r="CB32" s="106">
        <f t="shared" si="29"/>
        <v>0</v>
      </c>
      <c r="CC32" s="106">
        <f t="shared" si="29"/>
        <v>0</v>
      </c>
      <c r="CD32" s="106">
        <f t="shared" si="29"/>
        <v>0</v>
      </c>
      <c r="CE32" s="106">
        <f t="shared" si="29"/>
        <v>0</v>
      </c>
      <c r="CF32" s="106">
        <f t="shared" si="29"/>
        <v>0</v>
      </c>
      <c r="CG32" s="106">
        <f t="shared" si="29"/>
        <v>0</v>
      </c>
      <c r="CH32" s="106">
        <f t="shared" si="29"/>
        <v>0</v>
      </c>
      <c r="CI32" s="106">
        <f t="shared" ref="CI32:ED37" si="35">IF(AND(CI$1&gt;=$E32,CI$1&lt;=$F32),$C32/$G32,0)</f>
        <v>0</v>
      </c>
      <c r="CJ32" s="106">
        <f t="shared" si="35"/>
        <v>0</v>
      </c>
      <c r="CK32" s="106">
        <f t="shared" si="35"/>
        <v>0</v>
      </c>
      <c r="CL32" s="106">
        <f t="shared" si="35"/>
        <v>0</v>
      </c>
      <c r="CM32" s="106">
        <f t="shared" si="35"/>
        <v>0</v>
      </c>
      <c r="CN32" s="106">
        <f t="shared" si="35"/>
        <v>0</v>
      </c>
      <c r="CO32" s="106">
        <f t="shared" si="35"/>
        <v>0</v>
      </c>
      <c r="CP32" s="106">
        <f t="shared" si="35"/>
        <v>0</v>
      </c>
      <c r="CQ32" s="106">
        <f t="shared" si="35"/>
        <v>0</v>
      </c>
      <c r="CR32" s="106">
        <f t="shared" si="35"/>
        <v>0</v>
      </c>
      <c r="CS32" s="106">
        <f t="shared" si="35"/>
        <v>0</v>
      </c>
      <c r="CT32" s="106">
        <f t="shared" si="35"/>
        <v>0</v>
      </c>
      <c r="CU32" s="106">
        <f t="shared" si="35"/>
        <v>0</v>
      </c>
      <c r="CV32" s="106">
        <f t="shared" si="35"/>
        <v>0</v>
      </c>
      <c r="CW32" s="106">
        <f t="shared" si="35"/>
        <v>0</v>
      </c>
      <c r="CX32" s="106">
        <f t="shared" si="35"/>
        <v>0</v>
      </c>
      <c r="CY32" s="106">
        <f t="shared" si="35"/>
        <v>0</v>
      </c>
      <c r="CZ32" s="106">
        <f t="shared" si="35"/>
        <v>0</v>
      </c>
      <c r="DA32" s="106">
        <f t="shared" si="35"/>
        <v>0</v>
      </c>
      <c r="DB32" s="106">
        <f t="shared" si="35"/>
        <v>0</v>
      </c>
      <c r="DC32" s="106">
        <f t="shared" si="35"/>
        <v>0</v>
      </c>
      <c r="DD32" s="106">
        <f t="shared" si="35"/>
        <v>0</v>
      </c>
      <c r="DE32" s="106">
        <f t="shared" si="35"/>
        <v>0</v>
      </c>
      <c r="DF32" s="106">
        <f t="shared" si="35"/>
        <v>0</v>
      </c>
      <c r="DG32" s="106">
        <f t="shared" si="35"/>
        <v>0</v>
      </c>
      <c r="DH32" s="106">
        <f t="shared" si="35"/>
        <v>0</v>
      </c>
      <c r="DI32" s="106">
        <f t="shared" si="35"/>
        <v>0</v>
      </c>
      <c r="DJ32" s="106">
        <f t="shared" si="35"/>
        <v>0</v>
      </c>
      <c r="DK32" s="106">
        <f t="shared" si="35"/>
        <v>0</v>
      </c>
      <c r="DL32" s="106">
        <f t="shared" si="35"/>
        <v>0</v>
      </c>
      <c r="DM32" s="106">
        <f t="shared" si="35"/>
        <v>0</v>
      </c>
      <c r="DN32" s="106">
        <f t="shared" si="35"/>
        <v>0</v>
      </c>
      <c r="DO32" s="106">
        <f t="shared" si="35"/>
        <v>0</v>
      </c>
      <c r="DP32" s="106">
        <f t="shared" si="35"/>
        <v>0</v>
      </c>
      <c r="DQ32" s="106">
        <f t="shared" si="35"/>
        <v>0</v>
      </c>
      <c r="DR32" s="106">
        <f t="shared" si="35"/>
        <v>0</v>
      </c>
      <c r="DS32" s="106">
        <f t="shared" si="35"/>
        <v>0</v>
      </c>
      <c r="DT32" s="106">
        <f t="shared" si="35"/>
        <v>0</v>
      </c>
      <c r="DU32" s="106">
        <f t="shared" si="35"/>
        <v>0</v>
      </c>
      <c r="DV32" s="106">
        <f t="shared" si="35"/>
        <v>0</v>
      </c>
      <c r="DW32" s="106">
        <f t="shared" si="35"/>
        <v>0</v>
      </c>
      <c r="DX32" s="106">
        <f t="shared" si="35"/>
        <v>0</v>
      </c>
      <c r="DY32" s="106">
        <f t="shared" si="35"/>
        <v>0</v>
      </c>
      <c r="DZ32" s="106">
        <f t="shared" si="35"/>
        <v>0</v>
      </c>
      <c r="EA32" s="106">
        <f t="shared" si="35"/>
        <v>0</v>
      </c>
      <c r="EB32" s="106">
        <f t="shared" si="35"/>
        <v>0</v>
      </c>
      <c r="EC32" s="106">
        <f t="shared" si="35"/>
        <v>0</v>
      </c>
      <c r="ED32" s="106">
        <f t="shared" si="35"/>
        <v>0</v>
      </c>
      <c r="EE32" s="106">
        <f t="shared" ref="EE32:EE40" si="36">IF(AND(EE$1&gt;=$E32,EE$1&lt;=$F32),$C32/$G32,0)</f>
        <v>0</v>
      </c>
      <c r="EF32" s="106">
        <f t="shared" si="28"/>
        <v>0</v>
      </c>
      <c r="EG32" s="106">
        <f t="shared" si="24"/>
        <v>0</v>
      </c>
      <c r="EH32" s="106">
        <f t="shared" si="24"/>
        <v>0</v>
      </c>
      <c r="EI32" s="106">
        <f t="shared" si="24"/>
        <v>0</v>
      </c>
    </row>
    <row r="33" spans="1:139" x14ac:dyDescent="0.25">
      <c r="A33" s="110" t="str">
        <f t="shared" si="25"/>
        <v>OK</v>
      </c>
      <c r="B33" s="16" t="s">
        <v>30</v>
      </c>
      <c r="C33" s="36">
        <f>D33*Ingresos!$A$23</f>
        <v>0</v>
      </c>
      <c r="D33" s="103">
        <v>0</v>
      </c>
      <c r="E33" s="180">
        <v>1</v>
      </c>
      <c r="F33" s="180">
        <v>1</v>
      </c>
      <c r="G33" s="181">
        <f t="shared" si="26"/>
        <v>1</v>
      </c>
      <c r="H33" s="106">
        <f t="shared" si="27"/>
        <v>0</v>
      </c>
      <c r="I33" s="106">
        <f t="shared" si="27"/>
        <v>0</v>
      </c>
      <c r="J33" s="106">
        <f t="shared" si="27"/>
        <v>0</v>
      </c>
      <c r="K33" s="106">
        <f t="shared" si="27"/>
        <v>0</v>
      </c>
      <c r="L33" s="106">
        <f t="shared" si="27"/>
        <v>0</v>
      </c>
      <c r="M33" s="106">
        <f t="shared" si="27"/>
        <v>0</v>
      </c>
      <c r="N33" s="106">
        <f t="shared" si="27"/>
        <v>0</v>
      </c>
      <c r="O33" s="106">
        <f t="shared" si="27"/>
        <v>0</v>
      </c>
      <c r="P33" s="106">
        <f t="shared" si="27"/>
        <v>0</v>
      </c>
      <c r="Q33" s="106">
        <f t="shared" si="27"/>
        <v>0</v>
      </c>
      <c r="R33" s="106">
        <f t="shared" si="27"/>
        <v>0</v>
      </c>
      <c r="S33" s="106">
        <f t="shared" si="27"/>
        <v>0</v>
      </c>
      <c r="T33" s="106">
        <f t="shared" si="27"/>
        <v>0</v>
      </c>
      <c r="U33" s="106">
        <f t="shared" si="27"/>
        <v>0</v>
      </c>
      <c r="V33" s="106">
        <f t="shared" si="27"/>
        <v>0</v>
      </c>
      <c r="W33" s="106">
        <f t="shared" si="27"/>
        <v>0</v>
      </c>
      <c r="X33" s="106">
        <f t="shared" ref="X33:AM40" si="37">IF(AND(X$1&gt;=$E33,X$1&lt;=$F33),$C33/$G33,0)</f>
        <v>0</v>
      </c>
      <c r="Y33" s="106">
        <f t="shared" si="37"/>
        <v>0</v>
      </c>
      <c r="Z33" s="106">
        <f t="shared" si="37"/>
        <v>0</v>
      </c>
      <c r="AA33" s="106">
        <f t="shared" si="37"/>
        <v>0</v>
      </c>
      <c r="AB33" s="106">
        <f t="shared" si="37"/>
        <v>0</v>
      </c>
      <c r="AC33" s="106">
        <f t="shared" si="37"/>
        <v>0</v>
      </c>
      <c r="AD33" s="106">
        <f t="shared" si="37"/>
        <v>0</v>
      </c>
      <c r="AE33" s="106">
        <f t="shared" si="37"/>
        <v>0</v>
      </c>
      <c r="AF33" s="106">
        <f t="shared" si="37"/>
        <v>0</v>
      </c>
      <c r="AG33" s="106">
        <f t="shared" si="37"/>
        <v>0</v>
      </c>
      <c r="AH33" s="106">
        <f t="shared" si="37"/>
        <v>0</v>
      </c>
      <c r="AI33" s="106">
        <f t="shared" si="37"/>
        <v>0</v>
      </c>
      <c r="AJ33" s="106">
        <f t="shared" si="37"/>
        <v>0</v>
      </c>
      <c r="AK33" s="106">
        <f t="shared" si="37"/>
        <v>0</v>
      </c>
      <c r="AL33" s="106">
        <f t="shared" si="37"/>
        <v>0</v>
      </c>
      <c r="AM33" s="106">
        <f t="shared" si="37"/>
        <v>0</v>
      </c>
      <c r="AN33" s="106">
        <f t="shared" ref="AN33:BC40" si="38">IF(AND(AN$1&gt;=$E33,AN$1&lt;=$F33),$C33/$G33,0)</f>
        <v>0</v>
      </c>
      <c r="AO33" s="106">
        <f t="shared" si="38"/>
        <v>0</v>
      </c>
      <c r="AP33" s="106">
        <f t="shared" si="38"/>
        <v>0</v>
      </c>
      <c r="AQ33" s="106">
        <f t="shared" si="38"/>
        <v>0</v>
      </c>
      <c r="AR33" s="106">
        <f t="shared" si="38"/>
        <v>0</v>
      </c>
      <c r="AS33" s="106">
        <f t="shared" si="38"/>
        <v>0</v>
      </c>
      <c r="AT33" s="106">
        <f t="shared" si="38"/>
        <v>0</v>
      </c>
      <c r="AU33" s="106">
        <f t="shared" si="38"/>
        <v>0</v>
      </c>
      <c r="AV33" s="106">
        <f t="shared" si="38"/>
        <v>0</v>
      </c>
      <c r="AW33" s="106">
        <f t="shared" si="38"/>
        <v>0</v>
      </c>
      <c r="AX33" s="106">
        <f t="shared" si="38"/>
        <v>0</v>
      </c>
      <c r="AY33" s="106">
        <f t="shared" si="38"/>
        <v>0</v>
      </c>
      <c r="AZ33" s="106">
        <f t="shared" si="38"/>
        <v>0</v>
      </c>
      <c r="BA33" s="106">
        <f t="shared" si="38"/>
        <v>0</v>
      </c>
      <c r="BB33" s="106">
        <f t="shared" si="38"/>
        <v>0</v>
      </c>
      <c r="BC33" s="106">
        <f t="shared" si="38"/>
        <v>0</v>
      </c>
      <c r="BD33" s="106">
        <f t="shared" ref="BD33:BS40" si="39">IF(AND(BD$1&gt;=$E33,BD$1&lt;=$F33),$C33/$G33,0)</f>
        <v>0</v>
      </c>
      <c r="BE33" s="106">
        <f t="shared" si="39"/>
        <v>0</v>
      </c>
      <c r="BF33" s="106">
        <f t="shared" si="39"/>
        <v>0</v>
      </c>
      <c r="BG33" s="106">
        <f t="shared" si="39"/>
        <v>0</v>
      </c>
      <c r="BH33" s="106">
        <f t="shared" si="39"/>
        <v>0</v>
      </c>
      <c r="BI33" s="106">
        <f t="shared" si="39"/>
        <v>0</v>
      </c>
      <c r="BJ33" s="106">
        <f t="shared" si="39"/>
        <v>0</v>
      </c>
      <c r="BK33" s="106">
        <f t="shared" si="39"/>
        <v>0</v>
      </c>
      <c r="BL33" s="106">
        <f t="shared" si="39"/>
        <v>0</v>
      </c>
      <c r="BM33" s="106">
        <f t="shared" si="39"/>
        <v>0</v>
      </c>
      <c r="BN33" s="106">
        <f t="shared" si="39"/>
        <v>0</v>
      </c>
      <c r="BO33" s="106">
        <f t="shared" si="39"/>
        <v>0</v>
      </c>
      <c r="BP33" s="106">
        <f t="shared" si="39"/>
        <v>0</v>
      </c>
      <c r="BQ33" s="106">
        <f t="shared" si="39"/>
        <v>0</v>
      </c>
      <c r="BR33" s="106">
        <f t="shared" si="39"/>
        <v>0</v>
      </c>
      <c r="BS33" s="106">
        <f t="shared" si="39"/>
        <v>0</v>
      </c>
      <c r="BT33" s="106">
        <f t="shared" ref="BT33:CI40" si="40">IF(AND(BT$1&gt;=$E33,BT$1&lt;=$F33),$C33/$G33,0)</f>
        <v>0</v>
      </c>
      <c r="BU33" s="106">
        <f t="shared" si="40"/>
        <v>0</v>
      </c>
      <c r="BV33" s="106">
        <f t="shared" si="40"/>
        <v>0</v>
      </c>
      <c r="BW33" s="106">
        <f t="shared" si="40"/>
        <v>0</v>
      </c>
      <c r="BX33" s="106">
        <f t="shared" si="40"/>
        <v>0</v>
      </c>
      <c r="BY33" s="106">
        <f t="shared" si="40"/>
        <v>0</v>
      </c>
      <c r="BZ33" s="106">
        <f t="shared" si="40"/>
        <v>0</v>
      </c>
      <c r="CA33" s="106">
        <f t="shared" si="40"/>
        <v>0</v>
      </c>
      <c r="CB33" s="106">
        <f t="shared" si="40"/>
        <v>0</v>
      </c>
      <c r="CC33" s="106">
        <f t="shared" si="40"/>
        <v>0</v>
      </c>
      <c r="CD33" s="106">
        <f t="shared" si="40"/>
        <v>0</v>
      </c>
      <c r="CE33" s="106">
        <f t="shared" si="40"/>
        <v>0</v>
      </c>
      <c r="CF33" s="106">
        <f t="shared" si="40"/>
        <v>0</v>
      </c>
      <c r="CG33" s="106">
        <f t="shared" si="40"/>
        <v>0</v>
      </c>
      <c r="CH33" s="106">
        <f t="shared" si="40"/>
        <v>0</v>
      </c>
      <c r="CI33" s="106">
        <f t="shared" si="35"/>
        <v>0</v>
      </c>
      <c r="CJ33" s="106">
        <f t="shared" si="35"/>
        <v>0</v>
      </c>
      <c r="CK33" s="106">
        <f t="shared" si="35"/>
        <v>0</v>
      </c>
      <c r="CL33" s="106">
        <f t="shared" si="35"/>
        <v>0</v>
      </c>
      <c r="CM33" s="106">
        <f t="shared" si="35"/>
        <v>0</v>
      </c>
      <c r="CN33" s="106">
        <f t="shared" si="35"/>
        <v>0</v>
      </c>
      <c r="CO33" s="106">
        <f t="shared" si="35"/>
        <v>0</v>
      </c>
      <c r="CP33" s="106">
        <f t="shared" si="35"/>
        <v>0</v>
      </c>
      <c r="CQ33" s="106">
        <f t="shared" si="35"/>
        <v>0</v>
      </c>
      <c r="CR33" s="106">
        <f t="shared" si="35"/>
        <v>0</v>
      </c>
      <c r="CS33" s="106">
        <f t="shared" si="35"/>
        <v>0</v>
      </c>
      <c r="CT33" s="106">
        <f t="shared" si="35"/>
        <v>0</v>
      </c>
      <c r="CU33" s="106">
        <f t="shared" si="35"/>
        <v>0</v>
      </c>
      <c r="CV33" s="106">
        <f t="shared" si="35"/>
        <v>0</v>
      </c>
      <c r="CW33" s="106">
        <f t="shared" si="35"/>
        <v>0</v>
      </c>
      <c r="CX33" s="106">
        <f t="shared" si="35"/>
        <v>0</v>
      </c>
      <c r="CY33" s="106">
        <f t="shared" si="35"/>
        <v>0</v>
      </c>
      <c r="CZ33" s="106">
        <f t="shared" si="35"/>
        <v>0</v>
      </c>
      <c r="DA33" s="106">
        <f t="shared" si="35"/>
        <v>0</v>
      </c>
      <c r="DB33" s="106">
        <f t="shared" si="35"/>
        <v>0</v>
      </c>
      <c r="DC33" s="106">
        <f t="shared" si="35"/>
        <v>0</v>
      </c>
      <c r="DD33" s="106">
        <f t="shared" si="35"/>
        <v>0</v>
      </c>
      <c r="DE33" s="106">
        <f t="shared" si="35"/>
        <v>0</v>
      </c>
      <c r="DF33" s="106">
        <f t="shared" si="35"/>
        <v>0</v>
      </c>
      <c r="DG33" s="106">
        <f t="shared" si="35"/>
        <v>0</v>
      </c>
      <c r="DH33" s="106">
        <f t="shared" si="35"/>
        <v>0</v>
      </c>
      <c r="DI33" s="106">
        <f t="shared" si="35"/>
        <v>0</v>
      </c>
      <c r="DJ33" s="106">
        <f t="shared" si="35"/>
        <v>0</v>
      </c>
      <c r="DK33" s="106">
        <f t="shared" si="35"/>
        <v>0</v>
      </c>
      <c r="DL33" s="106">
        <f t="shared" si="35"/>
        <v>0</v>
      </c>
      <c r="DM33" s="106">
        <f t="shared" si="35"/>
        <v>0</v>
      </c>
      <c r="DN33" s="106">
        <f t="shared" si="35"/>
        <v>0</v>
      </c>
      <c r="DO33" s="106">
        <f t="shared" si="35"/>
        <v>0</v>
      </c>
      <c r="DP33" s="106">
        <f t="shared" si="35"/>
        <v>0</v>
      </c>
      <c r="DQ33" s="106">
        <f t="shared" si="35"/>
        <v>0</v>
      </c>
      <c r="DR33" s="106">
        <f t="shared" si="35"/>
        <v>0</v>
      </c>
      <c r="DS33" s="106">
        <f t="shared" si="35"/>
        <v>0</v>
      </c>
      <c r="DT33" s="106">
        <f t="shared" si="35"/>
        <v>0</v>
      </c>
      <c r="DU33" s="106">
        <f t="shared" si="35"/>
        <v>0</v>
      </c>
      <c r="DV33" s="106">
        <f t="shared" si="35"/>
        <v>0</v>
      </c>
      <c r="DW33" s="106">
        <f t="shared" si="35"/>
        <v>0</v>
      </c>
      <c r="DX33" s="106">
        <f t="shared" si="35"/>
        <v>0</v>
      </c>
      <c r="DY33" s="106">
        <f t="shared" si="35"/>
        <v>0</v>
      </c>
      <c r="DZ33" s="106">
        <f t="shared" si="35"/>
        <v>0</v>
      </c>
      <c r="EA33" s="106">
        <f t="shared" si="35"/>
        <v>0</v>
      </c>
      <c r="EB33" s="106">
        <f t="shared" si="35"/>
        <v>0</v>
      </c>
      <c r="EC33" s="106">
        <f t="shared" si="35"/>
        <v>0</v>
      </c>
      <c r="ED33" s="106">
        <f t="shared" si="35"/>
        <v>0</v>
      </c>
      <c r="EE33" s="106">
        <f t="shared" si="36"/>
        <v>0</v>
      </c>
      <c r="EF33" s="106">
        <f t="shared" si="28"/>
        <v>0</v>
      </c>
      <c r="EG33" s="106">
        <f t="shared" si="24"/>
        <v>0</v>
      </c>
      <c r="EH33" s="106">
        <f t="shared" si="24"/>
        <v>0</v>
      </c>
      <c r="EI33" s="106">
        <f t="shared" si="24"/>
        <v>0</v>
      </c>
    </row>
    <row r="34" spans="1:139" x14ac:dyDescent="0.25">
      <c r="A34" s="110" t="str">
        <f t="shared" si="25"/>
        <v>OK</v>
      </c>
      <c r="B34" s="16" t="s">
        <v>30</v>
      </c>
      <c r="C34" s="36">
        <f>D34*Ingresos!$A$23</f>
        <v>0</v>
      </c>
      <c r="D34" s="103">
        <v>0</v>
      </c>
      <c r="E34" s="180">
        <v>1</v>
      </c>
      <c r="F34" s="180">
        <v>1</v>
      </c>
      <c r="G34" s="181">
        <f t="shared" si="26"/>
        <v>1</v>
      </c>
      <c r="H34" s="106">
        <f t="shared" si="27"/>
        <v>0</v>
      </c>
      <c r="I34" s="106">
        <f t="shared" si="27"/>
        <v>0</v>
      </c>
      <c r="J34" s="106">
        <f t="shared" si="27"/>
        <v>0</v>
      </c>
      <c r="K34" s="106">
        <f t="shared" si="27"/>
        <v>0</v>
      </c>
      <c r="L34" s="106">
        <f t="shared" si="27"/>
        <v>0</v>
      </c>
      <c r="M34" s="106">
        <f t="shared" si="27"/>
        <v>0</v>
      </c>
      <c r="N34" s="106">
        <f t="shared" si="27"/>
        <v>0</v>
      </c>
      <c r="O34" s="106">
        <f t="shared" si="27"/>
        <v>0</v>
      </c>
      <c r="P34" s="106">
        <f t="shared" si="27"/>
        <v>0</v>
      </c>
      <c r="Q34" s="106">
        <f t="shared" si="27"/>
        <v>0</v>
      </c>
      <c r="R34" s="106">
        <f t="shared" si="27"/>
        <v>0</v>
      </c>
      <c r="S34" s="106">
        <f t="shared" si="27"/>
        <v>0</v>
      </c>
      <c r="T34" s="106">
        <f t="shared" si="27"/>
        <v>0</v>
      </c>
      <c r="U34" s="106">
        <f t="shared" si="27"/>
        <v>0</v>
      </c>
      <c r="V34" s="106">
        <f t="shared" si="27"/>
        <v>0</v>
      </c>
      <c r="W34" s="106">
        <f t="shared" si="27"/>
        <v>0</v>
      </c>
      <c r="X34" s="106">
        <f t="shared" si="37"/>
        <v>0</v>
      </c>
      <c r="Y34" s="106">
        <f t="shared" si="37"/>
        <v>0</v>
      </c>
      <c r="Z34" s="106">
        <f t="shared" si="37"/>
        <v>0</v>
      </c>
      <c r="AA34" s="106">
        <f t="shared" si="37"/>
        <v>0</v>
      </c>
      <c r="AB34" s="106">
        <f t="shared" si="37"/>
        <v>0</v>
      </c>
      <c r="AC34" s="106">
        <f t="shared" si="37"/>
        <v>0</v>
      </c>
      <c r="AD34" s="106">
        <f t="shared" si="37"/>
        <v>0</v>
      </c>
      <c r="AE34" s="106">
        <f t="shared" si="37"/>
        <v>0</v>
      </c>
      <c r="AF34" s="106">
        <f t="shared" si="37"/>
        <v>0</v>
      </c>
      <c r="AG34" s="106">
        <f t="shared" si="37"/>
        <v>0</v>
      </c>
      <c r="AH34" s="106">
        <f t="shared" si="37"/>
        <v>0</v>
      </c>
      <c r="AI34" s="106">
        <f t="shared" si="37"/>
        <v>0</v>
      </c>
      <c r="AJ34" s="106">
        <f t="shared" si="37"/>
        <v>0</v>
      </c>
      <c r="AK34" s="106">
        <f t="shared" si="37"/>
        <v>0</v>
      </c>
      <c r="AL34" s="106">
        <f t="shared" si="37"/>
        <v>0</v>
      </c>
      <c r="AM34" s="106">
        <f t="shared" si="37"/>
        <v>0</v>
      </c>
      <c r="AN34" s="106">
        <f t="shared" si="38"/>
        <v>0</v>
      </c>
      <c r="AO34" s="106">
        <f t="shared" si="38"/>
        <v>0</v>
      </c>
      <c r="AP34" s="106">
        <f t="shared" si="38"/>
        <v>0</v>
      </c>
      <c r="AQ34" s="106">
        <f t="shared" si="38"/>
        <v>0</v>
      </c>
      <c r="AR34" s="106">
        <f t="shared" si="38"/>
        <v>0</v>
      </c>
      <c r="AS34" s="106">
        <f t="shared" si="38"/>
        <v>0</v>
      </c>
      <c r="AT34" s="106">
        <f t="shared" si="38"/>
        <v>0</v>
      </c>
      <c r="AU34" s="106">
        <f t="shared" si="38"/>
        <v>0</v>
      </c>
      <c r="AV34" s="106">
        <f t="shared" si="38"/>
        <v>0</v>
      </c>
      <c r="AW34" s="106">
        <f t="shared" si="38"/>
        <v>0</v>
      </c>
      <c r="AX34" s="106">
        <f t="shared" si="38"/>
        <v>0</v>
      </c>
      <c r="AY34" s="106">
        <f t="shared" si="38"/>
        <v>0</v>
      </c>
      <c r="AZ34" s="106">
        <f t="shared" si="38"/>
        <v>0</v>
      </c>
      <c r="BA34" s="106">
        <f t="shared" si="38"/>
        <v>0</v>
      </c>
      <c r="BB34" s="106">
        <f t="shared" si="38"/>
        <v>0</v>
      </c>
      <c r="BC34" s="106">
        <f t="shared" si="38"/>
        <v>0</v>
      </c>
      <c r="BD34" s="106">
        <f t="shared" si="39"/>
        <v>0</v>
      </c>
      <c r="BE34" s="106">
        <f t="shared" si="39"/>
        <v>0</v>
      </c>
      <c r="BF34" s="106">
        <f t="shared" si="39"/>
        <v>0</v>
      </c>
      <c r="BG34" s="106">
        <f t="shared" si="39"/>
        <v>0</v>
      </c>
      <c r="BH34" s="106">
        <f t="shared" si="39"/>
        <v>0</v>
      </c>
      <c r="BI34" s="106">
        <f t="shared" si="39"/>
        <v>0</v>
      </c>
      <c r="BJ34" s="106">
        <f t="shared" si="39"/>
        <v>0</v>
      </c>
      <c r="BK34" s="106">
        <f t="shared" si="39"/>
        <v>0</v>
      </c>
      <c r="BL34" s="106">
        <f t="shared" si="39"/>
        <v>0</v>
      </c>
      <c r="BM34" s="106">
        <f t="shared" si="39"/>
        <v>0</v>
      </c>
      <c r="BN34" s="106">
        <f t="shared" si="39"/>
        <v>0</v>
      </c>
      <c r="BO34" s="106">
        <f t="shared" si="39"/>
        <v>0</v>
      </c>
      <c r="BP34" s="106">
        <f t="shared" si="39"/>
        <v>0</v>
      </c>
      <c r="BQ34" s="106">
        <f t="shared" si="39"/>
        <v>0</v>
      </c>
      <c r="BR34" s="106">
        <f t="shared" si="39"/>
        <v>0</v>
      </c>
      <c r="BS34" s="106">
        <f t="shared" si="39"/>
        <v>0</v>
      </c>
      <c r="BT34" s="106">
        <f t="shared" si="40"/>
        <v>0</v>
      </c>
      <c r="BU34" s="106">
        <f t="shared" si="40"/>
        <v>0</v>
      </c>
      <c r="BV34" s="106">
        <f t="shared" si="40"/>
        <v>0</v>
      </c>
      <c r="BW34" s="106">
        <f t="shared" si="40"/>
        <v>0</v>
      </c>
      <c r="BX34" s="106">
        <f t="shared" si="40"/>
        <v>0</v>
      </c>
      <c r="BY34" s="106">
        <f t="shared" si="40"/>
        <v>0</v>
      </c>
      <c r="BZ34" s="106">
        <f t="shared" si="40"/>
        <v>0</v>
      </c>
      <c r="CA34" s="106">
        <f t="shared" si="40"/>
        <v>0</v>
      </c>
      <c r="CB34" s="106">
        <f t="shared" si="40"/>
        <v>0</v>
      </c>
      <c r="CC34" s="106">
        <f t="shared" si="40"/>
        <v>0</v>
      </c>
      <c r="CD34" s="106">
        <f t="shared" si="40"/>
        <v>0</v>
      </c>
      <c r="CE34" s="106">
        <f t="shared" si="40"/>
        <v>0</v>
      </c>
      <c r="CF34" s="106">
        <f t="shared" si="40"/>
        <v>0</v>
      </c>
      <c r="CG34" s="106">
        <f t="shared" si="40"/>
        <v>0</v>
      </c>
      <c r="CH34" s="106">
        <f t="shared" si="40"/>
        <v>0</v>
      </c>
      <c r="CI34" s="106">
        <f t="shared" si="35"/>
        <v>0</v>
      </c>
      <c r="CJ34" s="106">
        <f t="shared" si="35"/>
        <v>0</v>
      </c>
      <c r="CK34" s="106">
        <f t="shared" si="35"/>
        <v>0</v>
      </c>
      <c r="CL34" s="106">
        <f t="shared" si="35"/>
        <v>0</v>
      </c>
      <c r="CM34" s="106">
        <f t="shared" si="35"/>
        <v>0</v>
      </c>
      <c r="CN34" s="106">
        <f t="shared" si="35"/>
        <v>0</v>
      </c>
      <c r="CO34" s="106">
        <f t="shared" si="35"/>
        <v>0</v>
      </c>
      <c r="CP34" s="106">
        <f t="shared" si="35"/>
        <v>0</v>
      </c>
      <c r="CQ34" s="106">
        <f t="shared" si="35"/>
        <v>0</v>
      </c>
      <c r="CR34" s="106">
        <f t="shared" si="35"/>
        <v>0</v>
      </c>
      <c r="CS34" s="106">
        <f t="shared" si="35"/>
        <v>0</v>
      </c>
      <c r="CT34" s="106">
        <f t="shared" si="35"/>
        <v>0</v>
      </c>
      <c r="CU34" s="106">
        <f t="shared" si="35"/>
        <v>0</v>
      </c>
      <c r="CV34" s="106">
        <f t="shared" si="35"/>
        <v>0</v>
      </c>
      <c r="CW34" s="106">
        <f t="shared" si="35"/>
        <v>0</v>
      </c>
      <c r="CX34" s="106">
        <f t="shared" si="35"/>
        <v>0</v>
      </c>
      <c r="CY34" s="106">
        <f t="shared" si="35"/>
        <v>0</v>
      </c>
      <c r="CZ34" s="106">
        <f t="shared" si="35"/>
        <v>0</v>
      </c>
      <c r="DA34" s="106">
        <f t="shared" si="35"/>
        <v>0</v>
      </c>
      <c r="DB34" s="106">
        <f t="shared" si="35"/>
        <v>0</v>
      </c>
      <c r="DC34" s="106">
        <f t="shared" si="35"/>
        <v>0</v>
      </c>
      <c r="DD34" s="106">
        <f t="shared" si="35"/>
        <v>0</v>
      </c>
      <c r="DE34" s="106">
        <f t="shared" si="35"/>
        <v>0</v>
      </c>
      <c r="DF34" s="106">
        <f t="shared" si="35"/>
        <v>0</v>
      </c>
      <c r="DG34" s="106">
        <f t="shared" si="35"/>
        <v>0</v>
      </c>
      <c r="DH34" s="106">
        <f t="shared" si="35"/>
        <v>0</v>
      </c>
      <c r="DI34" s="106">
        <f t="shared" si="35"/>
        <v>0</v>
      </c>
      <c r="DJ34" s="106">
        <f t="shared" si="35"/>
        <v>0</v>
      </c>
      <c r="DK34" s="106">
        <f t="shared" si="35"/>
        <v>0</v>
      </c>
      <c r="DL34" s="106">
        <f t="shared" si="35"/>
        <v>0</v>
      </c>
      <c r="DM34" s="106">
        <f t="shared" si="35"/>
        <v>0</v>
      </c>
      <c r="DN34" s="106">
        <f t="shared" si="35"/>
        <v>0</v>
      </c>
      <c r="DO34" s="106">
        <f t="shared" si="35"/>
        <v>0</v>
      </c>
      <c r="DP34" s="106">
        <f t="shared" si="35"/>
        <v>0</v>
      </c>
      <c r="DQ34" s="106">
        <f t="shared" si="35"/>
        <v>0</v>
      </c>
      <c r="DR34" s="106">
        <f t="shared" si="35"/>
        <v>0</v>
      </c>
      <c r="DS34" s="106">
        <f t="shared" si="35"/>
        <v>0</v>
      </c>
      <c r="DT34" s="106">
        <f t="shared" si="35"/>
        <v>0</v>
      </c>
      <c r="DU34" s="106">
        <f t="shared" si="35"/>
        <v>0</v>
      </c>
      <c r="DV34" s="106">
        <f t="shared" si="35"/>
        <v>0</v>
      </c>
      <c r="DW34" s="106">
        <f t="shared" si="35"/>
        <v>0</v>
      </c>
      <c r="DX34" s="106">
        <f t="shared" si="35"/>
        <v>0</v>
      </c>
      <c r="DY34" s="106">
        <f t="shared" si="35"/>
        <v>0</v>
      </c>
      <c r="DZ34" s="106">
        <f t="shared" si="35"/>
        <v>0</v>
      </c>
      <c r="EA34" s="106">
        <f t="shared" si="35"/>
        <v>0</v>
      </c>
      <c r="EB34" s="106">
        <f t="shared" si="35"/>
        <v>0</v>
      </c>
      <c r="EC34" s="106">
        <f t="shared" si="35"/>
        <v>0</v>
      </c>
      <c r="ED34" s="106">
        <f t="shared" si="35"/>
        <v>0</v>
      </c>
      <c r="EE34" s="106">
        <f t="shared" si="36"/>
        <v>0</v>
      </c>
      <c r="EF34" s="106">
        <f t="shared" si="28"/>
        <v>0</v>
      </c>
      <c r="EG34" s="106">
        <f t="shared" si="24"/>
        <v>0</v>
      </c>
      <c r="EH34" s="106">
        <f t="shared" si="24"/>
        <v>0</v>
      </c>
      <c r="EI34" s="106">
        <f t="shared" si="24"/>
        <v>0</v>
      </c>
    </row>
    <row r="35" spans="1:139" x14ac:dyDescent="0.25">
      <c r="A35" s="110" t="str">
        <f t="shared" si="25"/>
        <v>OK</v>
      </c>
      <c r="B35" s="16" t="s">
        <v>30</v>
      </c>
      <c r="C35" s="36">
        <f>D35*Ingresos!$A$23</f>
        <v>0</v>
      </c>
      <c r="D35" s="103">
        <v>0</v>
      </c>
      <c r="E35" s="180">
        <v>1</v>
      </c>
      <c r="F35" s="180">
        <v>1</v>
      </c>
      <c r="G35" s="181">
        <f t="shared" si="26"/>
        <v>1</v>
      </c>
      <c r="H35" s="106">
        <f t="shared" si="27"/>
        <v>0</v>
      </c>
      <c r="I35" s="106">
        <f t="shared" si="27"/>
        <v>0</v>
      </c>
      <c r="J35" s="106">
        <f t="shared" si="27"/>
        <v>0</v>
      </c>
      <c r="K35" s="106">
        <f t="shared" si="27"/>
        <v>0</v>
      </c>
      <c r="L35" s="106">
        <f t="shared" si="27"/>
        <v>0</v>
      </c>
      <c r="M35" s="106">
        <f t="shared" si="27"/>
        <v>0</v>
      </c>
      <c r="N35" s="106">
        <f t="shared" si="27"/>
        <v>0</v>
      </c>
      <c r="O35" s="106">
        <f t="shared" si="27"/>
        <v>0</v>
      </c>
      <c r="P35" s="106">
        <f t="shared" si="27"/>
        <v>0</v>
      </c>
      <c r="Q35" s="106">
        <f t="shared" si="27"/>
        <v>0</v>
      </c>
      <c r="R35" s="106">
        <f t="shared" si="27"/>
        <v>0</v>
      </c>
      <c r="S35" s="106">
        <f t="shared" si="27"/>
        <v>0</v>
      </c>
      <c r="T35" s="106">
        <f t="shared" si="27"/>
        <v>0</v>
      </c>
      <c r="U35" s="106">
        <f t="shared" si="27"/>
        <v>0</v>
      </c>
      <c r="V35" s="106">
        <f t="shared" si="27"/>
        <v>0</v>
      </c>
      <c r="W35" s="106">
        <f t="shared" si="27"/>
        <v>0</v>
      </c>
      <c r="X35" s="106">
        <f t="shared" si="37"/>
        <v>0</v>
      </c>
      <c r="Y35" s="106">
        <f t="shared" si="37"/>
        <v>0</v>
      </c>
      <c r="Z35" s="106">
        <f t="shared" si="37"/>
        <v>0</v>
      </c>
      <c r="AA35" s="106">
        <f t="shared" si="37"/>
        <v>0</v>
      </c>
      <c r="AB35" s="106">
        <f t="shared" si="37"/>
        <v>0</v>
      </c>
      <c r="AC35" s="106">
        <f t="shared" si="37"/>
        <v>0</v>
      </c>
      <c r="AD35" s="106">
        <f t="shared" si="37"/>
        <v>0</v>
      </c>
      <c r="AE35" s="106">
        <f t="shared" si="37"/>
        <v>0</v>
      </c>
      <c r="AF35" s="106">
        <f t="shared" si="37"/>
        <v>0</v>
      </c>
      <c r="AG35" s="106">
        <f t="shared" si="37"/>
        <v>0</v>
      </c>
      <c r="AH35" s="106">
        <f t="shared" si="37"/>
        <v>0</v>
      </c>
      <c r="AI35" s="106">
        <f t="shared" si="37"/>
        <v>0</v>
      </c>
      <c r="AJ35" s="106">
        <f t="shared" si="37"/>
        <v>0</v>
      </c>
      <c r="AK35" s="106">
        <f t="shared" si="37"/>
        <v>0</v>
      </c>
      <c r="AL35" s="106">
        <f t="shared" si="37"/>
        <v>0</v>
      </c>
      <c r="AM35" s="106">
        <f t="shared" si="37"/>
        <v>0</v>
      </c>
      <c r="AN35" s="106">
        <f t="shared" si="38"/>
        <v>0</v>
      </c>
      <c r="AO35" s="106">
        <f t="shared" si="38"/>
        <v>0</v>
      </c>
      <c r="AP35" s="106">
        <f t="shared" si="38"/>
        <v>0</v>
      </c>
      <c r="AQ35" s="106">
        <f t="shared" si="38"/>
        <v>0</v>
      </c>
      <c r="AR35" s="106">
        <f t="shared" si="38"/>
        <v>0</v>
      </c>
      <c r="AS35" s="106">
        <f t="shared" si="38"/>
        <v>0</v>
      </c>
      <c r="AT35" s="106">
        <f t="shared" si="38"/>
        <v>0</v>
      </c>
      <c r="AU35" s="106">
        <f t="shared" si="38"/>
        <v>0</v>
      </c>
      <c r="AV35" s="106">
        <f t="shared" si="38"/>
        <v>0</v>
      </c>
      <c r="AW35" s="106">
        <f t="shared" si="38"/>
        <v>0</v>
      </c>
      <c r="AX35" s="106">
        <f t="shared" si="38"/>
        <v>0</v>
      </c>
      <c r="AY35" s="106">
        <f t="shared" si="38"/>
        <v>0</v>
      </c>
      <c r="AZ35" s="106">
        <f t="shared" si="38"/>
        <v>0</v>
      </c>
      <c r="BA35" s="106">
        <f t="shared" si="38"/>
        <v>0</v>
      </c>
      <c r="BB35" s="106">
        <f t="shared" si="38"/>
        <v>0</v>
      </c>
      <c r="BC35" s="106">
        <f t="shared" si="38"/>
        <v>0</v>
      </c>
      <c r="BD35" s="106">
        <f t="shared" si="39"/>
        <v>0</v>
      </c>
      <c r="BE35" s="106">
        <f t="shared" si="39"/>
        <v>0</v>
      </c>
      <c r="BF35" s="106">
        <f t="shared" si="39"/>
        <v>0</v>
      </c>
      <c r="BG35" s="106">
        <f t="shared" si="39"/>
        <v>0</v>
      </c>
      <c r="BH35" s="106">
        <f t="shared" si="39"/>
        <v>0</v>
      </c>
      <c r="BI35" s="106">
        <f t="shared" si="39"/>
        <v>0</v>
      </c>
      <c r="BJ35" s="106">
        <f t="shared" si="39"/>
        <v>0</v>
      </c>
      <c r="BK35" s="106">
        <f t="shared" si="39"/>
        <v>0</v>
      </c>
      <c r="BL35" s="106">
        <f t="shared" si="39"/>
        <v>0</v>
      </c>
      <c r="BM35" s="106">
        <f t="shared" si="39"/>
        <v>0</v>
      </c>
      <c r="BN35" s="106">
        <f t="shared" si="39"/>
        <v>0</v>
      </c>
      <c r="BO35" s="106">
        <f t="shared" si="39"/>
        <v>0</v>
      </c>
      <c r="BP35" s="106">
        <f t="shared" si="39"/>
        <v>0</v>
      </c>
      <c r="BQ35" s="106">
        <f t="shared" si="39"/>
        <v>0</v>
      </c>
      <c r="BR35" s="106">
        <f t="shared" si="39"/>
        <v>0</v>
      </c>
      <c r="BS35" s="106">
        <f t="shared" si="39"/>
        <v>0</v>
      </c>
      <c r="BT35" s="106">
        <f t="shared" si="40"/>
        <v>0</v>
      </c>
      <c r="BU35" s="106">
        <f t="shared" si="40"/>
        <v>0</v>
      </c>
      <c r="BV35" s="106">
        <f t="shared" si="40"/>
        <v>0</v>
      </c>
      <c r="BW35" s="106">
        <f t="shared" si="40"/>
        <v>0</v>
      </c>
      <c r="BX35" s="106">
        <f t="shared" si="40"/>
        <v>0</v>
      </c>
      <c r="BY35" s="106">
        <f t="shared" si="40"/>
        <v>0</v>
      </c>
      <c r="BZ35" s="106">
        <f t="shared" si="40"/>
        <v>0</v>
      </c>
      <c r="CA35" s="106">
        <f t="shared" si="40"/>
        <v>0</v>
      </c>
      <c r="CB35" s="106">
        <f t="shared" si="40"/>
        <v>0</v>
      </c>
      <c r="CC35" s="106">
        <f t="shared" si="40"/>
        <v>0</v>
      </c>
      <c r="CD35" s="106">
        <f t="shared" si="40"/>
        <v>0</v>
      </c>
      <c r="CE35" s="106">
        <f t="shared" si="40"/>
        <v>0</v>
      </c>
      <c r="CF35" s="106">
        <f t="shared" si="40"/>
        <v>0</v>
      </c>
      <c r="CG35" s="106">
        <f t="shared" si="40"/>
        <v>0</v>
      </c>
      <c r="CH35" s="106">
        <f t="shared" si="40"/>
        <v>0</v>
      </c>
      <c r="CI35" s="106">
        <f t="shared" si="35"/>
        <v>0</v>
      </c>
      <c r="CJ35" s="106">
        <f t="shared" si="35"/>
        <v>0</v>
      </c>
      <c r="CK35" s="106">
        <f t="shared" si="35"/>
        <v>0</v>
      </c>
      <c r="CL35" s="106">
        <f t="shared" si="35"/>
        <v>0</v>
      </c>
      <c r="CM35" s="106">
        <f t="shared" si="35"/>
        <v>0</v>
      </c>
      <c r="CN35" s="106">
        <f t="shared" si="35"/>
        <v>0</v>
      </c>
      <c r="CO35" s="106">
        <f t="shared" si="35"/>
        <v>0</v>
      </c>
      <c r="CP35" s="106">
        <f t="shared" si="35"/>
        <v>0</v>
      </c>
      <c r="CQ35" s="106">
        <f t="shared" si="35"/>
        <v>0</v>
      </c>
      <c r="CR35" s="106">
        <f t="shared" si="35"/>
        <v>0</v>
      </c>
      <c r="CS35" s="106">
        <f t="shared" si="35"/>
        <v>0</v>
      </c>
      <c r="CT35" s="106">
        <f t="shared" si="35"/>
        <v>0</v>
      </c>
      <c r="CU35" s="106">
        <f t="shared" si="35"/>
        <v>0</v>
      </c>
      <c r="CV35" s="106">
        <f t="shared" si="35"/>
        <v>0</v>
      </c>
      <c r="CW35" s="106">
        <f t="shared" si="35"/>
        <v>0</v>
      </c>
      <c r="CX35" s="106">
        <f t="shared" si="35"/>
        <v>0</v>
      </c>
      <c r="CY35" s="106">
        <f t="shared" si="35"/>
        <v>0</v>
      </c>
      <c r="CZ35" s="106">
        <f t="shared" si="35"/>
        <v>0</v>
      </c>
      <c r="DA35" s="106">
        <f t="shared" si="35"/>
        <v>0</v>
      </c>
      <c r="DB35" s="106">
        <f t="shared" si="35"/>
        <v>0</v>
      </c>
      <c r="DC35" s="106">
        <f t="shared" si="35"/>
        <v>0</v>
      </c>
      <c r="DD35" s="106">
        <f t="shared" si="35"/>
        <v>0</v>
      </c>
      <c r="DE35" s="106">
        <f t="shared" si="35"/>
        <v>0</v>
      </c>
      <c r="DF35" s="106">
        <f t="shared" si="35"/>
        <v>0</v>
      </c>
      <c r="DG35" s="106">
        <f t="shared" si="35"/>
        <v>0</v>
      </c>
      <c r="DH35" s="106">
        <f t="shared" si="35"/>
        <v>0</v>
      </c>
      <c r="DI35" s="106">
        <f t="shared" si="35"/>
        <v>0</v>
      </c>
      <c r="DJ35" s="106">
        <f t="shared" si="35"/>
        <v>0</v>
      </c>
      <c r="DK35" s="106">
        <f t="shared" si="35"/>
        <v>0</v>
      </c>
      <c r="DL35" s="106">
        <f t="shared" si="35"/>
        <v>0</v>
      </c>
      <c r="DM35" s="106">
        <f t="shared" si="35"/>
        <v>0</v>
      </c>
      <c r="DN35" s="106">
        <f t="shared" si="35"/>
        <v>0</v>
      </c>
      <c r="DO35" s="106">
        <f t="shared" si="35"/>
        <v>0</v>
      </c>
      <c r="DP35" s="106">
        <f t="shared" si="35"/>
        <v>0</v>
      </c>
      <c r="DQ35" s="106">
        <f t="shared" si="35"/>
        <v>0</v>
      </c>
      <c r="DR35" s="106">
        <f t="shared" si="35"/>
        <v>0</v>
      </c>
      <c r="DS35" s="106">
        <f t="shared" si="35"/>
        <v>0</v>
      </c>
      <c r="DT35" s="106">
        <f t="shared" si="35"/>
        <v>0</v>
      </c>
      <c r="DU35" s="106">
        <f t="shared" si="35"/>
        <v>0</v>
      </c>
      <c r="DV35" s="106">
        <f t="shared" si="35"/>
        <v>0</v>
      </c>
      <c r="DW35" s="106">
        <f t="shared" si="35"/>
        <v>0</v>
      </c>
      <c r="DX35" s="106">
        <f t="shared" si="35"/>
        <v>0</v>
      </c>
      <c r="DY35" s="106">
        <f t="shared" si="35"/>
        <v>0</v>
      </c>
      <c r="DZ35" s="106">
        <f t="shared" si="35"/>
        <v>0</v>
      </c>
      <c r="EA35" s="106">
        <f t="shared" si="35"/>
        <v>0</v>
      </c>
      <c r="EB35" s="106">
        <f t="shared" si="35"/>
        <v>0</v>
      </c>
      <c r="EC35" s="106">
        <f t="shared" si="35"/>
        <v>0</v>
      </c>
      <c r="ED35" s="106">
        <f t="shared" si="35"/>
        <v>0</v>
      </c>
      <c r="EE35" s="106">
        <f t="shared" si="36"/>
        <v>0</v>
      </c>
      <c r="EF35" s="106">
        <f t="shared" si="28"/>
        <v>0</v>
      </c>
      <c r="EG35" s="106">
        <f t="shared" si="24"/>
        <v>0</v>
      </c>
      <c r="EH35" s="106">
        <f t="shared" si="24"/>
        <v>0</v>
      </c>
      <c r="EI35" s="106">
        <f t="shared" si="24"/>
        <v>0</v>
      </c>
    </row>
    <row r="36" spans="1:139" x14ac:dyDescent="0.25">
      <c r="A36" s="110" t="str">
        <f t="shared" si="25"/>
        <v>OK</v>
      </c>
      <c r="B36" s="16" t="s">
        <v>30</v>
      </c>
      <c r="C36" s="36">
        <f>D36*Ingresos!$A$23</f>
        <v>0</v>
      </c>
      <c r="D36" s="103">
        <v>0</v>
      </c>
      <c r="E36" s="180">
        <v>1</v>
      </c>
      <c r="F36" s="180">
        <v>1</v>
      </c>
      <c r="G36" s="181">
        <f t="shared" si="26"/>
        <v>1</v>
      </c>
      <c r="H36" s="106">
        <f t="shared" si="27"/>
        <v>0</v>
      </c>
      <c r="I36" s="106">
        <f t="shared" si="27"/>
        <v>0</v>
      </c>
      <c r="J36" s="106">
        <f t="shared" si="27"/>
        <v>0</v>
      </c>
      <c r="K36" s="106">
        <f t="shared" si="27"/>
        <v>0</v>
      </c>
      <c r="L36" s="106">
        <f t="shared" si="27"/>
        <v>0</v>
      </c>
      <c r="M36" s="106">
        <f t="shared" si="27"/>
        <v>0</v>
      </c>
      <c r="N36" s="106">
        <f t="shared" si="27"/>
        <v>0</v>
      </c>
      <c r="O36" s="106">
        <f t="shared" si="27"/>
        <v>0</v>
      </c>
      <c r="P36" s="106">
        <f t="shared" si="27"/>
        <v>0</v>
      </c>
      <c r="Q36" s="106">
        <f t="shared" si="27"/>
        <v>0</v>
      </c>
      <c r="R36" s="106">
        <f t="shared" si="27"/>
        <v>0</v>
      </c>
      <c r="S36" s="106">
        <f t="shared" si="27"/>
        <v>0</v>
      </c>
      <c r="T36" s="106">
        <f t="shared" si="27"/>
        <v>0</v>
      </c>
      <c r="U36" s="106">
        <f t="shared" si="27"/>
        <v>0</v>
      </c>
      <c r="V36" s="106">
        <f t="shared" si="27"/>
        <v>0</v>
      </c>
      <c r="W36" s="106">
        <f t="shared" si="27"/>
        <v>0</v>
      </c>
      <c r="X36" s="106">
        <f t="shared" si="37"/>
        <v>0</v>
      </c>
      <c r="Y36" s="106">
        <f t="shared" si="37"/>
        <v>0</v>
      </c>
      <c r="Z36" s="106">
        <f t="shared" si="37"/>
        <v>0</v>
      </c>
      <c r="AA36" s="106">
        <f t="shared" si="37"/>
        <v>0</v>
      </c>
      <c r="AB36" s="106">
        <f t="shared" si="37"/>
        <v>0</v>
      </c>
      <c r="AC36" s="106">
        <f t="shared" si="37"/>
        <v>0</v>
      </c>
      <c r="AD36" s="106">
        <f t="shared" si="37"/>
        <v>0</v>
      </c>
      <c r="AE36" s="106">
        <f t="shared" si="37"/>
        <v>0</v>
      </c>
      <c r="AF36" s="106">
        <f t="shared" si="37"/>
        <v>0</v>
      </c>
      <c r="AG36" s="106">
        <f t="shared" si="37"/>
        <v>0</v>
      </c>
      <c r="AH36" s="106">
        <f t="shared" si="37"/>
        <v>0</v>
      </c>
      <c r="AI36" s="106">
        <f t="shared" si="37"/>
        <v>0</v>
      </c>
      <c r="AJ36" s="106">
        <f t="shared" si="37"/>
        <v>0</v>
      </c>
      <c r="AK36" s="106">
        <f t="shared" si="37"/>
        <v>0</v>
      </c>
      <c r="AL36" s="106">
        <f t="shared" si="37"/>
        <v>0</v>
      </c>
      <c r="AM36" s="106">
        <f t="shared" si="37"/>
        <v>0</v>
      </c>
      <c r="AN36" s="106">
        <f t="shared" si="38"/>
        <v>0</v>
      </c>
      <c r="AO36" s="106">
        <f t="shared" si="38"/>
        <v>0</v>
      </c>
      <c r="AP36" s="106">
        <f t="shared" si="38"/>
        <v>0</v>
      </c>
      <c r="AQ36" s="106">
        <f t="shared" si="38"/>
        <v>0</v>
      </c>
      <c r="AR36" s="106">
        <f t="shared" si="38"/>
        <v>0</v>
      </c>
      <c r="AS36" s="106">
        <f t="shared" si="38"/>
        <v>0</v>
      </c>
      <c r="AT36" s="106">
        <f t="shared" si="38"/>
        <v>0</v>
      </c>
      <c r="AU36" s="106">
        <f t="shared" si="38"/>
        <v>0</v>
      </c>
      <c r="AV36" s="106">
        <f t="shared" si="38"/>
        <v>0</v>
      </c>
      <c r="AW36" s="106">
        <f t="shared" si="38"/>
        <v>0</v>
      </c>
      <c r="AX36" s="106">
        <f t="shared" si="38"/>
        <v>0</v>
      </c>
      <c r="AY36" s="106">
        <f t="shared" si="38"/>
        <v>0</v>
      </c>
      <c r="AZ36" s="106">
        <f t="shared" si="38"/>
        <v>0</v>
      </c>
      <c r="BA36" s="106">
        <f t="shared" si="38"/>
        <v>0</v>
      </c>
      <c r="BB36" s="106">
        <f t="shared" si="38"/>
        <v>0</v>
      </c>
      <c r="BC36" s="106">
        <f t="shared" si="38"/>
        <v>0</v>
      </c>
      <c r="BD36" s="106">
        <f t="shared" si="39"/>
        <v>0</v>
      </c>
      <c r="BE36" s="106">
        <f t="shared" si="39"/>
        <v>0</v>
      </c>
      <c r="BF36" s="106">
        <f t="shared" si="39"/>
        <v>0</v>
      </c>
      <c r="BG36" s="106">
        <f t="shared" si="39"/>
        <v>0</v>
      </c>
      <c r="BH36" s="106">
        <f t="shared" si="39"/>
        <v>0</v>
      </c>
      <c r="BI36" s="106">
        <f t="shared" si="39"/>
        <v>0</v>
      </c>
      <c r="BJ36" s="106">
        <f t="shared" si="39"/>
        <v>0</v>
      </c>
      <c r="BK36" s="106">
        <f t="shared" si="39"/>
        <v>0</v>
      </c>
      <c r="BL36" s="106">
        <f t="shared" si="39"/>
        <v>0</v>
      </c>
      <c r="BM36" s="106">
        <f t="shared" si="39"/>
        <v>0</v>
      </c>
      <c r="BN36" s="106">
        <f t="shared" si="39"/>
        <v>0</v>
      </c>
      <c r="BO36" s="106">
        <f t="shared" si="39"/>
        <v>0</v>
      </c>
      <c r="BP36" s="106">
        <f t="shared" si="39"/>
        <v>0</v>
      </c>
      <c r="BQ36" s="106">
        <f t="shared" si="39"/>
        <v>0</v>
      </c>
      <c r="BR36" s="106">
        <f t="shared" si="39"/>
        <v>0</v>
      </c>
      <c r="BS36" s="106">
        <f t="shared" si="39"/>
        <v>0</v>
      </c>
      <c r="BT36" s="106">
        <f t="shared" si="40"/>
        <v>0</v>
      </c>
      <c r="BU36" s="106">
        <f t="shared" si="40"/>
        <v>0</v>
      </c>
      <c r="BV36" s="106">
        <f t="shared" si="40"/>
        <v>0</v>
      </c>
      <c r="BW36" s="106">
        <f t="shared" si="40"/>
        <v>0</v>
      </c>
      <c r="BX36" s="106">
        <f t="shared" si="40"/>
        <v>0</v>
      </c>
      <c r="BY36" s="106">
        <f t="shared" si="40"/>
        <v>0</v>
      </c>
      <c r="BZ36" s="106">
        <f t="shared" si="40"/>
        <v>0</v>
      </c>
      <c r="CA36" s="106">
        <f t="shared" si="40"/>
        <v>0</v>
      </c>
      <c r="CB36" s="106">
        <f t="shared" si="40"/>
        <v>0</v>
      </c>
      <c r="CC36" s="106">
        <f t="shared" si="40"/>
        <v>0</v>
      </c>
      <c r="CD36" s="106">
        <f t="shared" si="40"/>
        <v>0</v>
      </c>
      <c r="CE36" s="106">
        <f t="shared" si="40"/>
        <v>0</v>
      </c>
      <c r="CF36" s="106">
        <f t="shared" si="40"/>
        <v>0</v>
      </c>
      <c r="CG36" s="106">
        <f t="shared" si="40"/>
        <v>0</v>
      </c>
      <c r="CH36" s="106">
        <f t="shared" si="40"/>
        <v>0</v>
      </c>
      <c r="CI36" s="106">
        <f t="shared" si="35"/>
        <v>0</v>
      </c>
      <c r="CJ36" s="106">
        <f t="shared" si="35"/>
        <v>0</v>
      </c>
      <c r="CK36" s="106">
        <f t="shared" si="35"/>
        <v>0</v>
      </c>
      <c r="CL36" s="106">
        <f t="shared" si="35"/>
        <v>0</v>
      </c>
      <c r="CM36" s="106">
        <f t="shared" si="35"/>
        <v>0</v>
      </c>
      <c r="CN36" s="106">
        <f t="shared" si="35"/>
        <v>0</v>
      </c>
      <c r="CO36" s="106">
        <f t="shared" si="35"/>
        <v>0</v>
      </c>
      <c r="CP36" s="106">
        <f t="shared" si="35"/>
        <v>0</v>
      </c>
      <c r="CQ36" s="106">
        <f t="shared" si="35"/>
        <v>0</v>
      </c>
      <c r="CR36" s="106">
        <f t="shared" si="35"/>
        <v>0</v>
      </c>
      <c r="CS36" s="106">
        <f t="shared" si="35"/>
        <v>0</v>
      </c>
      <c r="CT36" s="106">
        <f t="shared" si="35"/>
        <v>0</v>
      </c>
      <c r="CU36" s="106">
        <f t="shared" si="35"/>
        <v>0</v>
      </c>
      <c r="CV36" s="106">
        <f t="shared" si="35"/>
        <v>0</v>
      </c>
      <c r="CW36" s="106">
        <f t="shared" si="35"/>
        <v>0</v>
      </c>
      <c r="CX36" s="106">
        <f t="shared" si="35"/>
        <v>0</v>
      </c>
      <c r="CY36" s="106">
        <f t="shared" si="35"/>
        <v>0</v>
      </c>
      <c r="CZ36" s="106">
        <f t="shared" si="35"/>
        <v>0</v>
      </c>
      <c r="DA36" s="106">
        <f t="shared" si="35"/>
        <v>0</v>
      </c>
      <c r="DB36" s="106">
        <f t="shared" si="35"/>
        <v>0</v>
      </c>
      <c r="DC36" s="106">
        <f t="shared" si="35"/>
        <v>0</v>
      </c>
      <c r="DD36" s="106">
        <f t="shared" si="35"/>
        <v>0</v>
      </c>
      <c r="DE36" s="106">
        <f t="shared" si="35"/>
        <v>0</v>
      </c>
      <c r="DF36" s="106">
        <f t="shared" si="35"/>
        <v>0</v>
      </c>
      <c r="DG36" s="106">
        <f t="shared" si="35"/>
        <v>0</v>
      </c>
      <c r="DH36" s="106">
        <f t="shared" si="35"/>
        <v>0</v>
      </c>
      <c r="DI36" s="106">
        <f t="shared" si="35"/>
        <v>0</v>
      </c>
      <c r="DJ36" s="106">
        <f t="shared" si="35"/>
        <v>0</v>
      </c>
      <c r="DK36" s="106">
        <f t="shared" si="35"/>
        <v>0</v>
      </c>
      <c r="DL36" s="106">
        <f t="shared" si="35"/>
        <v>0</v>
      </c>
      <c r="DM36" s="106">
        <f t="shared" si="35"/>
        <v>0</v>
      </c>
      <c r="DN36" s="106">
        <f t="shared" si="35"/>
        <v>0</v>
      </c>
      <c r="DO36" s="106">
        <f t="shared" si="35"/>
        <v>0</v>
      </c>
      <c r="DP36" s="106">
        <f t="shared" si="35"/>
        <v>0</v>
      </c>
      <c r="DQ36" s="106">
        <f t="shared" si="35"/>
        <v>0</v>
      </c>
      <c r="DR36" s="106">
        <f t="shared" si="35"/>
        <v>0</v>
      </c>
      <c r="DS36" s="106">
        <f t="shared" si="35"/>
        <v>0</v>
      </c>
      <c r="DT36" s="106">
        <f t="shared" si="35"/>
        <v>0</v>
      </c>
      <c r="DU36" s="106">
        <f t="shared" si="35"/>
        <v>0</v>
      </c>
      <c r="DV36" s="106">
        <f t="shared" si="35"/>
        <v>0</v>
      </c>
      <c r="DW36" s="106">
        <f t="shared" si="35"/>
        <v>0</v>
      </c>
      <c r="DX36" s="106">
        <f t="shared" si="35"/>
        <v>0</v>
      </c>
      <c r="DY36" s="106">
        <f t="shared" si="35"/>
        <v>0</v>
      </c>
      <c r="DZ36" s="106">
        <f t="shared" si="35"/>
        <v>0</v>
      </c>
      <c r="EA36" s="106">
        <f t="shared" si="35"/>
        <v>0</v>
      </c>
      <c r="EB36" s="106">
        <f t="shared" si="35"/>
        <v>0</v>
      </c>
      <c r="EC36" s="106">
        <f t="shared" si="35"/>
        <v>0</v>
      </c>
      <c r="ED36" s="106">
        <f t="shared" si="35"/>
        <v>0</v>
      </c>
      <c r="EE36" s="106">
        <f t="shared" si="36"/>
        <v>0</v>
      </c>
      <c r="EF36" s="106">
        <f t="shared" si="28"/>
        <v>0</v>
      </c>
      <c r="EG36" s="106">
        <f t="shared" si="24"/>
        <v>0</v>
      </c>
      <c r="EH36" s="106">
        <f t="shared" si="24"/>
        <v>0</v>
      </c>
      <c r="EI36" s="106">
        <f t="shared" si="24"/>
        <v>0</v>
      </c>
    </row>
    <row r="37" spans="1:139" x14ac:dyDescent="0.25">
      <c r="A37" s="110" t="str">
        <f t="shared" si="25"/>
        <v>OK</v>
      </c>
      <c r="B37" s="16" t="s">
        <v>30</v>
      </c>
      <c r="C37" s="36">
        <f>D37*Ingresos!$A$23</f>
        <v>0</v>
      </c>
      <c r="D37" s="103">
        <v>0</v>
      </c>
      <c r="E37" s="180">
        <v>1</v>
      </c>
      <c r="F37" s="180">
        <v>1</v>
      </c>
      <c r="G37" s="181">
        <f t="shared" si="26"/>
        <v>1</v>
      </c>
      <c r="H37" s="106">
        <f t="shared" si="27"/>
        <v>0</v>
      </c>
      <c r="I37" s="106">
        <f t="shared" si="27"/>
        <v>0</v>
      </c>
      <c r="J37" s="106">
        <f t="shared" si="27"/>
        <v>0</v>
      </c>
      <c r="K37" s="106">
        <f t="shared" si="27"/>
        <v>0</v>
      </c>
      <c r="L37" s="106">
        <f t="shared" si="27"/>
        <v>0</v>
      </c>
      <c r="M37" s="106">
        <f t="shared" si="27"/>
        <v>0</v>
      </c>
      <c r="N37" s="106">
        <f t="shared" si="27"/>
        <v>0</v>
      </c>
      <c r="O37" s="106">
        <f t="shared" si="27"/>
        <v>0</v>
      </c>
      <c r="P37" s="106">
        <f t="shared" si="27"/>
        <v>0</v>
      </c>
      <c r="Q37" s="106">
        <f t="shared" si="27"/>
        <v>0</v>
      </c>
      <c r="R37" s="106">
        <f t="shared" si="27"/>
        <v>0</v>
      </c>
      <c r="S37" s="106">
        <f t="shared" si="27"/>
        <v>0</v>
      </c>
      <c r="T37" s="106">
        <f t="shared" si="27"/>
        <v>0</v>
      </c>
      <c r="U37" s="106">
        <f t="shared" si="27"/>
        <v>0</v>
      </c>
      <c r="V37" s="106">
        <f t="shared" si="27"/>
        <v>0</v>
      </c>
      <c r="W37" s="106">
        <f t="shared" si="27"/>
        <v>0</v>
      </c>
      <c r="X37" s="106">
        <f t="shared" si="37"/>
        <v>0</v>
      </c>
      <c r="Y37" s="106">
        <f t="shared" si="37"/>
        <v>0</v>
      </c>
      <c r="Z37" s="106">
        <f t="shared" si="37"/>
        <v>0</v>
      </c>
      <c r="AA37" s="106">
        <f t="shared" si="37"/>
        <v>0</v>
      </c>
      <c r="AB37" s="106">
        <f t="shared" si="37"/>
        <v>0</v>
      </c>
      <c r="AC37" s="106">
        <f t="shared" si="37"/>
        <v>0</v>
      </c>
      <c r="AD37" s="106">
        <f t="shared" si="37"/>
        <v>0</v>
      </c>
      <c r="AE37" s="106">
        <f t="shared" si="37"/>
        <v>0</v>
      </c>
      <c r="AF37" s="106">
        <f t="shared" si="37"/>
        <v>0</v>
      </c>
      <c r="AG37" s="106">
        <f t="shared" si="37"/>
        <v>0</v>
      </c>
      <c r="AH37" s="106">
        <f t="shared" si="37"/>
        <v>0</v>
      </c>
      <c r="AI37" s="106">
        <f t="shared" si="37"/>
        <v>0</v>
      </c>
      <c r="AJ37" s="106">
        <f t="shared" si="37"/>
        <v>0</v>
      </c>
      <c r="AK37" s="106">
        <f t="shared" si="37"/>
        <v>0</v>
      </c>
      <c r="AL37" s="106">
        <f t="shared" si="37"/>
        <v>0</v>
      </c>
      <c r="AM37" s="106">
        <f t="shared" si="37"/>
        <v>0</v>
      </c>
      <c r="AN37" s="106">
        <f t="shared" si="38"/>
        <v>0</v>
      </c>
      <c r="AO37" s="106">
        <f t="shared" si="38"/>
        <v>0</v>
      </c>
      <c r="AP37" s="106">
        <f t="shared" si="38"/>
        <v>0</v>
      </c>
      <c r="AQ37" s="106">
        <f t="shared" si="38"/>
        <v>0</v>
      </c>
      <c r="AR37" s="106">
        <f t="shared" si="38"/>
        <v>0</v>
      </c>
      <c r="AS37" s="106">
        <f t="shared" si="38"/>
        <v>0</v>
      </c>
      <c r="AT37" s="106">
        <f t="shared" si="38"/>
        <v>0</v>
      </c>
      <c r="AU37" s="106">
        <f t="shared" si="38"/>
        <v>0</v>
      </c>
      <c r="AV37" s="106">
        <f t="shared" si="38"/>
        <v>0</v>
      </c>
      <c r="AW37" s="106">
        <f t="shared" si="38"/>
        <v>0</v>
      </c>
      <c r="AX37" s="106">
        <f t="shared" si="38"/>
        <v>0</v>
      </c>
      <c r="AY37" s="106">
        <f t="shared" si="38"/>
        <v>0</v>
      </c>
      <c r="AZ37" s="106">
        <f t="shared" si="38"/>
        <v>0</v>
      </c>
      <c r="BA37" s="106">
        <f t="shared" si="38"/>
        <v>0</v>
      </c>
      <c r="BB37" s="106">
        <f t="shared" si="38"/>
        <v>0</v>
      </c>
      <c r="BC37" s="106">
        <f t="shared" si="38"/>
        <v>0</v>
      </c>
      <c r="BD37" s="106">
        <f t="shared" si="39"/>
        <v>0</v>
      </c>
      <c r="BE37" s="106">
        <f t="shared" si="39"/>
        <v>0</v>
      </c>
      <c r="BF37" s="106">
        <f t="shared" si="39"/>
        <v>0</v>
      </c>
      <c r="BG37" s="106">
        <f t="shared" si="39"/>
        <v>0</v>
      </c>
      <c r="BH37" s="106">
        <f t="shared" si="39"/>
        <v>0</v>
      </c>
      <c r="BI37" s="106">
        <f t="shared" si="39"/>
        <v>0</v>
      </c>
      <c r="BJ37" s="106">
        <f t="shared" si="39"/>
        <v>0</v>
      </c>
      <c r="BK37" s="106">
        <f t="shared" si="39"/>
        <v>0</v>
      </c>
      <c r="BL37" s="106">
        <f t="shared" si="39"/>
        <v>0</v>
      </c>
      <c r="BM37" s="106">
        <f t="shared" si="39"/>
        <v>0</v>
      </c>
      <c r="BN37" s="106">
        <f t="shared" si="39"/>
        <v>0</v>
      </c>
      <c r="BO37" s="106">
        <f t="shared" si="39"/>
        <v>0</v>
      </c>
      <c r="BP37" s="106">
        <f t="shared" si="39"/>
        <v>0</v>
      </c>
      <c r="BQ37" s="106">
        <f t="shared" si="39"/>
        <v>0</v>
      </c>
      <c r="BR37" s="106">
        <f t="shared" si="39"/>
        <v>0</v>
      </c>
      <c r="BS37" s="106">
        <f t="shared" si="39"/>
        <v>0</v>
      </c>
      <c r="BT37" s="106">
        <f t="shared" si="40"/>
        <v>0</v>
      </c>
      <c r="BU37" s="106">
        <f t="shared" si="40"/>
        <v>0</v>
      </c>
      <c r="BV37" s="106">
        <f t="shared" si="40"/>
        <v>0</v>
      </c>
      <c r="BW37" s="106">
        <f t="shared" si="40"/>
        <v>0</v>
      </c>
      <c r="BX37" s="106">
        <f t="shared" si="40"/>
        <v>0</v>
      </c>
      <c r="BY37" s="106">
        <f t="shared" si="40"/>
        <v>0</v>
      </c>
      <c r="BZ37" s="106">
        <f t="shared" si="40"/>
        <v>0</v>
      </c>
      <c r="CA37" s="106">
        <f t="shared" si="40"/>
        <v>0</v>
      </c>
      <c r="CB37" s="106">
        <f t="shared" si="40"/>
        <v>0</v>
      </c>
      <c r="CC37" s="106">
        <f t="shared" si="40"/>
        <v>0</v>
      </c>
      <c r="CD37" s="106">
        <f t="shared" si="40"/>
        <v>0</v>
      </c>
      <c r="CE37" s="106">
        <f t="shared" si="40"/>
        <v>0</v>
      </c>
      <c r="CF37" s="106">
        <f t="shared" si="40"/>
        <v>0</v>
      </c>
      <c r="CG37" s="106">
        <f t="shared" si="40"/>
        <v>0</v>
      </c>
      <c r="CH37" s="106">
        <f t="shared" si="40"/>
        <v>0</v>
      </c>
      <c r="CI37" s="106">
        <f t="shared" si="35"/>
        <v>0</v>
      </c>
      <c r="CJ37" s="106">
        <f t="shared" si="35"/>
        <v>0</v>
      </c>
      <c r="CK37" s="106">
        <f t="shared" si="35"/>
        <v>0</v>
      </c>
      <c r="CL37" s="106">
        <f t="shared" si="35"/>
        <v>0</v>
      </c>
      <c r="CM37" s="106">
        <f t="shared" si="35"/>
        <v>0</v>
      </c>
      <c r="CN37" s="106">
        <f t="shared" si="35"/>
        <v>0</v>
      </c>
      <c r="CO37" s="106">
        <f t="shared" si="35"/>
        <v>0</v>
      </c>
      <c r="CP37" s="106">
        <f t="shared" si="35"/>
        <v>0</v>
      </c>
      <c r="CQ37" s="106">
        <f t="shared" si="35"/>
        <v>0</v>
      </c>
      <c r="CR37" s="106">
        <f t="shared" si="35"/>
        <v>0</v>
      </c>
      <c r="CS37" s="106">
        <f t="shared" si="35"/>
        <v>0</v>
      </c>
      <c r="CT37" s="106">
        <f t="shared" si="35"/>
        <v>0</v>
      </c>
      <c r="CU37" s="106">
        <f t="shared" si="35"/>
        <v>0</v>
      </c>
      <c r="CV37" s="106">
        <f t="shared" si="35"/>
        <v>0</v>
      </c>
      <c r="CW37" s="106">
        <f t="shared" si="35"/>
        <v>0</v>
      </c>
      <c r="CX37" s="106">
        <f t="shared" ref="CX37:DM40" si="41">IF(AND(CX$1&gt;=$E37,CX$1&lt;=$F37),$C37/$G37,0)</f>
        <v>0</v>
      </c>
      <c r="CY37" s="106">
        <f t="shared" si="41"/>
        <v>0</v>
      </c>
      <c r="CZ37" s="106">
        <f t="shared" si="41"/>
        <v>0</v>
      </c>
      <c r="DA37" s="106">
        <f t="shared" si="41"/>
        <v>0</v>
      </c>
      <c r="DB37" s="106">
        <f t="shared" si="41"/>
        <v>0</v>
      </c>
      <c r="DC37" s="106">
        <f t="shared" si="41"/>
        <v>0</v>
      </c>
      <c r="DD37" s="106">
        <f t="shared" si="41"/>
        <v>0</v>
      </c>
      <c r="DE37" s="106">
        <f t="shared" si="41"/>
        <v>0</v>
      </c>
      <c r="DF37" s="106">
        <f t="shared" si="41"/>
        <v>0</v>
      </c>
      <c r="DG37" s="106">
        <f t="shared" si="41"/>
        <v>0</v>
      </c>
      <c r="DH37" s="106">
        <f t="shared" si="41"/>
        <v>0</v>
      </c>
      <c r="DI37" s="106">
        <f t="shared" si="41"/>
        <v>0</v>
      </c>
      <c r="DJ37" s="106">
        <f t="shared" si="41"/>
        <v>0</v>
      </c>
      <c r="DK37" s="106">
        <f t="shared" si="41"/>
        <v>0</v>
      </c>
      <c r="DL37" s="106">
        <f t="shared" si="41"/>
        <v>0</v>
      </c>
      <c r="DM37" s="106">
        <f t="shared" si="41"/>
        <v>0</v>
      </c>
      <c r="DN37" s="106">
        <f t="shared" ref="DN37:EC40" si="42">IF(AND(DN$1&gt;=$E37,DN$1&lt;=$F37),$C37/$G37,0)</f>
        <v>0</v>
      </c>
      <c r="DO37" s="106">
        <f t="shared" si="42"/>
        <v>0</v>
      </c>
      <c r="DP37" s="106">
        <f t="shared" si="42"/>
        <v>0</v>
      </c>
      <c r="DQ37" s="106">
        <f t="shared" si="42"/>
        <v>0</v>
      </c>
      <c r="DR37" s="106">
        <f t="shared" si="42"/>
        <v>0</v>
      </c>
      <c r="DS37" s="106">
        <f t="shared" si="42"/>
        <v>0</v>
      </c>
      <c r="DT37" s="106">
        <f t="shared" si="42"/>
        <v>0</v>
      </c>
      <c r="DU37" s="106">
        <f t="shared" si="42"/>
        <v>0</v>
      </c>
      <c r="DV37" s="106">
        <f t="shared" si="42"/>
        <v>0</v>
      </c>
      <c r="DW37" s="106">
        <f t="shared" si="42"/>
        <v>0</v>
      </c>
      <c r="DX37" s="106">
        <f t="shared" si="42"/>
        <v>0</v>
      </c>
      <c r="DY37" s="106">
        <f t="shared" si="42"/>
        <v>0</v>
      </c>
      <c r="DZ37" s="106">
        <f t="shared" si="42"/>
        <v>0</v>
      </c>
      <c r="EA37" s="106">
        <f t="shared" si="42"/>
        <v>0</v>
      </c>
      <c r="EB37" s="106">
        <f t="shared" si="42"/>
        <v>0</v>
      </c>
      <c r="EC37" s="106">
        <f t="shared" si="42"/>
        <v>0</v>
      </c>
      <c r="ED37" s="106">
        <f>IF(AND(ED$1&gt;=$E37,ED$1&lt;=$F37),$C37/$G37,0)</f>
        <v>0</v>
      </c>
      <c r="EE37" s="106">
        <f t="shared" si="36"/>
        <v>0</v>
      </c>
      <c r="EF37" s="106">
        <f t="shared" si="28"/>
        <v>0</v>
      </c>
      <c r="EG37" s="106">
        <f t="shared" si="24"/>
        <v>0</v>
      </c>
      <c r="EH37" s="106">
        <f t="shared" si="24"/>
        <v>0</v>
      </c>
      <c r="EI37" s="106">
        <f t="shared" si="24"/>
        <v>0</v>
      </c>
    </row>
    <row r="38" spans="1:139" x14ac:dyDescent="0.25">
      <c r="A38" s="110" t="str">
        <f t="shared" si="25"/>
        <v>OK</v>
      </c>
      <c r="B38" s="16" t="s">
        <v>30</v>
      </c>
      <c r="C38" s="36">
        <f>D38*Ingresos!$A$23</f>
        <v>0</v>
      </c>
      <c r="D38" s="103">
        <v>0</v>
      </c>
      <c r="E38" s="180">
        <v>1</v>
      </c>
      <c r="F38" s="180">
        <v>1</v>
      </c>
      <c r="G38" s="181">
        <f t="shared" si="26"/>
        <v>1</v>
      </c>
      <c r="H38" s="106">
        <f t="shared" si="27"/>
        <v>0</v>
      </c>
      <c r="I38" s="106">
        <f t="shared" si="27"/>
        <v>0</v>
      </c>
      <c r="J38" s="106">
        <f t="shared" si="27"/>
        <v>0</v>
      </c>
      <c r="K38" s="106">
        <f t="shared" si="27"/>
        <v>0</v>
      </c>
      <c r="L38" s="106">
        <f t="shared" si="27"/>
        <v>0</v>
      </c>
      <c r="M38" s="106">
        <f t="shared" si="27"/>
        <v>0</v>
      </c>
      <c r="N38" s="106">
        <f t="shared" si="27"/>
        <v>0</v>
      </c>
      <c r="O38" s="106">
        <f t="shared" si="27"/>
        <v>0</v>
      </c>
      <c r="P38" s="106">
        <f t="shared" si="27"/>
        <v>0</v>
      </c>
      <c r="Q38" s="106">
        <f t="shared" si="27"/>
        <v>0</v>
      </c>
      <c r="R38" s="106">
        <f t="shared" si="27"/>
        <v>0</v>
      </c>
      <c r="S38" s="106">
        <f t="shared" si="27"/>
        <v>0</v>
      </c>
      <c r="T38" s="106">
        <f t="shared" si="27"/>
        <v>0</v>
      </c>
      <c r="U38" s="106">
        <f t="shared" si="27"/>
        <v>0</v>
      </c>
      <c r="V38" s="106">
        <f t="shared" si="27"/>
        <v>0</v>
      </c>
      <c r="W38" s="106">
        <f t="shared" si="27"/>
        <v>0</v>
      </c>
      <c r="X38" s="106">
        <f t="shared" si="37"/>
        <v>0</v>
      </c>
      <c r="Y38" s="106">
        <f t="shared" si="37"/>
        <v>0</v>
      </c>
      <c r="Z38" s="106">
        <f t="shared" si="37"/>
        <v>0</v>
      </c>
      <c r="AA38" s="106">
        <f t="shared" si="37"/>
        <v>0</v>
      </c>
      <c r="AB38" s="106">
        <f t="shared" si="37"/>
        <v>0</v>
      </c>
      <c r="AC38" s="106">
        <f t="shared" si="37"/>
        <v>0</v>
      </c>
      <c r="AD38" s="106">
        <f t="shared" si="37"/>
        <v>0</v>
      </c>
      <c r="AE38" s="106">
        <f t="shared" si="37"/>
        <v>0</v>
      </c>
      <c r="AF38" s="106">
        <f t="shared" si="37"/>
        <v>0</v>
      </c>
      <c r="AG38" s="106">
        <f t="shared" si="37"/>
        <v>0</v>
      </c>
      <c r="AH38" s="106">
        <f t="shared" si="37"/>
        <v>0</v>
      </c>
      <c r="AI38" s="106">
        <f t="shared" si="37"/>
        <v>0</v>
      </c>
      <c r="AJ38" s="106">
        <f t="shared" si="37"/>
        <v>0</v>
      </c>
      <c r="AK38" s="106">
        <f t="shared" si="37"/>
        <v>0</v>
      </c>
      <c r="AL38" s="106">
        <f t="shared" si="37"/>
        <v>0</v>
      </c>
      <c r="AM38" s="106">
        <f t="shared" si="37"/>
        <v>0</v>
      </c>
      <c r="AN38" s="106">
        <f t="shared" si="38"/>
        <v>0</v>
      </c>
      <c r="AO38" s="106">
        <f t="shared" si="38"/>
        <v>0</v>
      </c>
      <c r="AP38" s="106">
        <f t="shared" si="38"/>
        <v>0</v>
      </c>
      <c r="AQ38" s="106">
        <f t="shared" si="38"/>
        <v>0</v>
      </c>
      <c r="AR38" s="106">
        <f t="shared" si="38"/>
        <v>0</v>
      </c>
      <c r="AS38" s="106">
        <f t="shared" si="38"/>
        <v>0</v>
      </c>
      <c r="AT38" s="106">
        <f t="shared" si="38"/>
        <v>0</v>
      </c>
      <c r="AU38" s="106">
        <f t="shared" si="38"/>
        <v>0</v>
      </c>
      <c r="AV38" s="106">
        <f t="shared" si="38"/>
        <v>0</v>
      </c>
      <c r="AW38" s="106">
        <f t="shared" si="38"/>
        <v>0</v>
      </c>
      <c r="AX38" s="106">
        <f t="shared" si="38"/>
        <v>0</v>
      </c>
      <c r="AY38" s="106">
        <f t="shared" si="38"/>
        <v>0</v>
      </c>
      <c r="AZ38" s="106">
        <f t="shared" si="38"/>
        <v>0</v>
      </c>
      <c r="BA38" s="106">
        <f t="shared" si="38"/>
        <v>0</v>
      </c>
      <c r="BB38" s="106">
        <f t="shared" si="38"/>
        <v>0</v>
      </c>
      <c r="BC38" s="106">
        <f t="shared" si="38"/>
        <v>0</v>
      </c>
      <c r="BD38" s="106">
        <f t="shared" si="39"/>
        <v>0</v>
      </c>
      <c r="BE38" s="106">
        <f t="shared" si="39"/>
        <v>0</v>
      </c>
      <c r="BF38" s="106">
        <f t="shared" si="39"/>
        <v>0</v>
      </c>
      <c r="BG38" s="106">
        <f t="shared" si="39"/>
        <v>0</v>
      </c>
      <c r="BH38" s="106">
        <f t="shared" si="39"/>
        <v>0</v>
      </c>
      <c r="BI38" s="106">
        <f t="shared" si="39"/>
        <v>0</v>
      </c>
      <c r="BJ38" s="106">
        <f t="shared" si="39"/>
        <v>0</v>
      </c>
      <c r="BK38" s="106">
        <f t="shared" si="39"/>
        <v>0</v>
      </c>
      <c r="BL38" s="106">
        <f t="shared" si="39"/>
        <v>0</v>
      </c>
      <c r="BM38" s="106">
        <f t="shared" si="39"/>
        <v>0</v>
      </c>
      <c r="BN38" s="106">
        <f t="shared" si="39"/>
        <v>0</v>
      </c>
      <c r="BO38" s="106">
        <f t="shared" si="39"/>
        <v>0</v>
      </c>
      <c r="BP38" s="106">
        <f t="shared" si="39"/>
        <v>0</v>
      </c>
      <c r="BQ38" s="106">
        <f t="shared" si="39"/>
        <v>0</v>
      </c>
      <c r="BR38" s="106">
        <f t="shared" si="39"/>
        <v>0</v>
      </c>
      <c r="BS38" s="106">
        <f t="shared" si="39"/>
        <v>0</v>
      </c>
      <c r="BT38" s="106">
        <f t="shared" si="40"/>
        <v>0</v>
      </c>
      <c r="BU38" s="106">
        <f t="shared" si="40"/>
        <v>0</v>
      </c>
      <c r="BV38" s="106">
        <f t="shared" si="40"/>
        <v>0</v>
      </c>
      <c r="BW38" s="106">
        <f t="shared" si="40"/>
        <v>0</v>
      </c>
      <c r="BX38" s="106">
        <f t="shared" si="40"/>
        <v>0</v>
      </c>
      <c r="BY38" s="106">
        <f t="shared" si="40"/>
        <v>0</v>
      </c>
      <c r="BZ38" s="106">
        <f t="shared" si="40"/>
        <v>0</v>
      </c>
      <c r="CA38" s="106">
        <f t="shared" si="40"/>
        <v>0</v>
      </c>
      <c r="CB38" s="106">
        <f t="shared" si="40"/>
        <v>0</v>
      </c>
      <c r="CC38" s="106">
        <f t="shared" si="40"/>
        <v>0</v>
      </c>
      <c r="CD38" s="106">
        <f t="shared" si="40"/>
        <v>0</v>
      </c>
      <c r="CE38" s="106">
        <f t="shared" si="40"/>
        <v>0</v>
      </c>
      <c r="CF38" s="106">
        <f t="shared" si="40"/>
        <v>0</v>
      </c>
      <c r="CG38" s="106">
        <f t="shared" si="40"/>
        <v>0</v>
      </c>
      <c r="CH38" s="106">
        <f t="shared" si="40"/>
        <v>0</v>
      </c>
      <c r="CI38" s="106">
        <f t="shared" si="40"/>
        <v>0</v>
      </c>
      <c r="CJ38" s="106">
        <f t="shared" ref="CJ38:CX40" si="43">IF(AND(CJ$1&gt;=$E38,CJ$1&lt;=$F38),$C38/$G38,0)</f>
        <v>0</v>
      </c>
      <c r="CK38" s="106">
        <f t="shared" si="43"/>
        <v>0</v>
      </c>
      <c r="CL38" s="106">
        <f t="shared" si="43"/>
        <v>0</v>
      </c>
      <c r="CM38" s="106">
        <f t="shared" si="43"/>
        <v>0</v>
      </c>
      <c r="CN38" s="106">
        <f t="shared" si="43"/>
        <v>0</v>
      </c>
      <c r="CO38" s="106">
        <f t="shared" si="43"/>
        <v>0</v>
      </c>
      <c r="CP38" s="106">
        <f t="shared" si="43"/>
        <v>0</v>
      </c>
      <c r="CQ38" s="106">
        <f t="shared" si="43"/>
        <v>0</v>
      </c>
      <c r="CR38" s="106">
        <f t="shared" si="43"/>
        <v>0</v>
      </c>
      <c r="CS38" s="106">
        <f t="shared" si="43"/>
        <v>0</v>
      </c>
      <c r="CT38" s="106">
        <f t="shared" si="43"/>
        <v>0</v>
      </c>
      <c r="CU38" s="106">
        <f t="shared" si="43"/>
        <v>0</v>
      </c>
      <c r="CV38" s="106">
        <f t="shared" si="43"/>
        <v>0</v>
      </c>
      <c r="CW38" s="106">
        <f t="shared" si="43"/>
        <v>0</v>
      </c>
      <c r="CX38" s="106">
        <f t="shared" si="43"/>
        <v>0</v>
      </c>
      <c r="CY38" s="106">
        <f t="shared" si="41"/>
        <v>0</v>
      </c>
      <c r="CZ38" s="106">
        <f t="shared" si="41"/>
        <v>0</v>
      </c>
      <c r="DA38" s="106">
        <f t="shared" si="41"/>
        <v>0</v>
      </c>
      <c r="DB38" s="106">
        <f t="shared" si="41"/>
        <v>0</v>
      </c>
      <c r="DC38" s="106">
        <f t="shared" si="41"/>
        <v>0</v>
      </c>
      <c r="DD38" s="106">
        <f t="shared" si="41"/>
        <v>0</v>
      </c>
      <c r="DE38" s="106">
        <f t="shared" si="41"/>
        <v>0</v>
      </c>
      <c r="DF38" s="106">
        <f t="shared" si="41"/>
        <v>0</v>
      </c>
      <c r="DG38" s="106">
        <f t="shared" si="41"/>
        <v>0</v>
      </c>
      <c r="DH38" s="106">
        <f t="shared" si="41"/>
        <v>0</v>
      </c>
      <c r="DI38" s="106">
        <f t="shared" si="41"/>
        <v>0</v>
      </c>
      <c r="DJ38" s="106">
        <f t="shared" si="41"/>
        <v>0</v>
      </c>
      <c r="DK38" s="106">
        <f t="shared" si="41"/>
        <v>0</v>
      </c>
      <c r="DL38" s="106">
        <f t="shared" si="41"/>
        <v>0</v>
      </c>
      <c r="DM38" s="106">
        <f t="shared" si="41"/>
        <v>0</v>
      </c>
      <c r="DN38" s="106">
        <f t="shared" si="42"/>
        <v>0</v>
      </c>
      <c r="DO38" s="106">
        <f t="shared" si="42"/>
        <v>0</v>
      </c>
      <c r="DP38" s="106">
        <f t="shared" si="42"/>
        <v>0</v>
      </c>
      <c r="DQ38" s="106">
        <f t="shared" si="42"/>
        <v>0</v>
      </c>
      <c r="DR38" s="106">
        <f t="shared" si="42"/>
        <v>0</v>
      </c>
      <c r="DS38" s="106">
        <f t="shared" si="42"/>
        <v>0</v>
      </c>
      <c r="DT38" s="106">
        <f t="shared" si="42"/>
        <v>0</v>
      </c>
      <c r="DU38" s="106">
        <f t="shared" si="42"/>
        <v>0</v>
      </c>
      <c r="DV38" s="106">
        <f t="shared" si="42"/>
        <v>0</v>
      </c>
      <c r="DW38" s="106">
        <f t="shared" si="42"/>
        <v>0</v>
      </c>
      <c r="DX38" s="106">
        <f t="shared" si="42"/>
        <v>0</v>
      </c>
      <c r="DY38" s="106">
        <f t="shared" si="42"/>
        <v>0</v>
      </c>
      <c r="DZ38" s="106">
        <f t="shared" si="42"/>
        <v>0</v>
      </c>
      <c r="EA38" s="106">
        <f t="shared" si="42"/>
        <v>0</v>
      </c>
      <c r="EB38" s="106">
        <f t="shared" si="42"/>
        <v>0</v>
      </c>
      <c r="EC38" s="106">
        <f t="shared" si="42"/>
        <v>0</v>
      </c>
      <c r="ED38" s="106">
        <f>IF(AND(ED$1&gt;=$E38,ED$1&lt;=$F38),$C38/$G38,0)</f>
        <v>0</v>
      </c>
      <c r="EE38" s="106">
        <f t="shared" si="36"/>
        <v>0</v>
      </c>
      <c r="EF38" s="106">
        <f t="shared" si="28"/>
        <v>0</v>
      </c>
      <c r="EG38" s="106">
        <f t="shared" si="24"/>
        <v>0</v>
      </c>
      <c r="EH38" s="106">
        <f t="shared" si="24"/>
        <v>0</v>
      </c>
      <c r="EI38" s="106">
        <f t="shared" si="24"/>
        <v>0</v>
      </c>
    </row>
    <row r="39" spans="1:139" x14ac:dyDescent="0.25">
      <c r="A39" s="110" t="str">
        <f t="shared" si="25"/>
        <v>OK</v>
      </c>
      <c r="B39" s="16" t="s">
        <v>30</v>
      </c>
      <c r="C39" s="36">
        <f>D39*Ingresos!$A$23</f>
        <v>0</v>
      </c>
      <c r="D39" s="103">
        <v>0</v>
      </c>
      <c r="E39" s="180">
        <v>1</v>
      </c>
      <c r="F39" s="180">
        <v>1</v>
      </c>
      <c r="G39" s="181">
        <f t="shared" si="26"/>
        <v>1</v>
      </c>
      <c r="H39" s="106">
        <f t="shared" si="27"/>
        <v>0</v>
      </c>
      <c r="I39" s="106">
        <f t="shared" si="27"/>
        <v>0</v>
      </c>
      <c r="J39" s="106">
        <f t="shared" si="27"/>
        <v>0</v>
      </c>
      <c r="K39" s="106">
        <f t="shared" si="27"/>
        <v>0</v>
      </c>
      <c r="L39" s="106">
        <f t="shared" si="27"/>
        <v>0</v>
      </c>
      <c r="M39" s="106">
        <f t="shared" si="27"/>
        <v>0</v>
      </c>
      <c r="N39" s="106">
        <f t="shared" si="27"/>
        <v>0</v>
      </c>
      <c r="O39" s="106">
        <f t="shared" si="27"/>
        <v>0</v>
      </c>
      <c r="P39" s="106">
        <f t="shared" si="27"/>
        <v>0</v>
      </c>
      <c r="Q39" s="106">
        <f t="shared" si="27"/>
        <v>0</v>
      </c>
      <c r="R39" s="106">
        <f t="shared" si="27"/>
        <v>0</v>
      </c>
      <c r="S39" s="106">
        <f t="shared" si="27"/>
        <v>0</v>
      </c>
      <c r="T39" s="106">
        <f t="shared" si="27"/>
        <v>0</v>
      </c>
      <c r="U39" s="106">
        <f t="shared" si="27"/>
        <v>0</v>
      </c>
      <c r="V39" s="106">
        <f t="shared" si="27"/>
        <v>0</v>
      </c>
      <c r="W39" s="106">
        <f t="shared" si="27"/>
        <v>0</v>
      </c>
      <c r="X39" s="106">
        <f t="shared" si="37"/>
        <v>0</v>
      </c>
      <c r="Y39" s="106">
        <f t="shared" si="37"/>
        <v>0</v>
      </c>
      <c r="Z39" s="106">
        <f t="shared" si="37"/>
        <v>0</v>
      </c>
      <c r="AA39" s="106">
        <f t="shared" si="37"/>
        <v>0</v>
      </c>
      <c r="AB39" s="106">
        <f t="shared" si="37"/>
        <v>0</v>
      </c>
      <c r="AC39" s="106">
        <f t="shared" si="37"/>
        <v>0</v>
      </c>
      <c r="AD39" s="106">
        <f t="shared" si="37"/>
        <v>0</v>
      </c>
      <c r="AE39" s="106">
        <f t="shared" si="37"/>
        <v>0</v>
      </c>
      <c r="AF39" s="106">
        <f t="shared" si="37"/>
        <v>0</v>
      </c>
      <c r="AG39" s="106">
        <f t="shared" si="37"/>
        <v>0</v>
      </c>
      <c r="AH39" s="106">
        <f t="shared" si="37"/>
        <v>0</v>
      </c>
      <c r="AI39" s="106">
        <f t="shared" si="37"/>
        <v>0</v>
      </c>
      <c r="AJ39" s="106">
        <f t="shared" si="37"/>
        <v>0</v>
      </c>
      <c r="AK39" s="106">
        <f t="shared" si="37"/>
        <v>0</v>
      </c>
      <c r="AL39" s="106">
        <f t="shared" si="37"/>
        <v>0</v>
      </c>
      <c r="AM39" s="106">
        <f t="shared" si="37"/>
        <v>0</v>
      </c>
      <c r="AN39" s="106">
        <f t="shared" si="38"/>
        <v>0</v>
      </c>
      <c r="AO39" s="106">
        <f t="shared" si="38"/>
        <v>0</v>
      </c>
      <c r="AP39" s="106">
        <f t="shared" si="38"/>
        <v>0</v>
      </c>
      <c r="AQ39" s="106">
        <f t="shared" si="38"/>
        <v>0</v>
      </c>
      <c r="AR39" s="106">
        <f t="shared" si="38"/>
        <v>0</v>
      </c>
      <c r="AS39" s="106">
        <f t="shared" si="38"/>
        <v>0</v>
      </c>
      <c r="AT39" s="106">
        <f t="shared" si="38"/>
        <v>0</v>
      </c>
      <c r="AU39" s="106">
        <f t="shared" si="38"/>
        <v>0</v>
      </c>
      <c r="AV39" s="106">
        <f t="shared" si="38"/>
        <v>0</v>
      </c>
      <c r="AW39" s="106">
        <f t="shared" si="38"/>
        <v>0</v>
      </c>
      <c r="AX39" s="106">
        <f t="shared" si="38"/>
        <v>0</v>
      </c>
      <c r="AY39" s="106">
        <f t="shared" si="38"/>
        <v>0</v>
      </c>
      <c r="AZ39" s="106">
        <f t="shared" si="38"/>
        <v>0</v>
      </c>
      <c r="BA39" s="106">
        <f t="shared" si="38"/>
        <v>0</v>
      </c>
      <c r="BB39" s="106">
        <f t="shared" si="38"/>
        <v>0</v>
      </c>
      <c r="BC39" s="106">
        <f t="shared" si="38"/>
        <v>0</v>
      </c>
      <c r="BD39" s="106">
        <f t="shared" si="39"/>
        <v>0</v>
      </c>
      <c r="BE39" s="106">
        <f t="shared" si="39"/>
        <v>0</v>
      </c>
      <c r="BF39" s="106">
        <f t="shared" si="39"/>
        <v>0</v>
      </c>
      <c r="BG39" s="106">
        <f t="shared" si="39"/>
        <v>0</v>
      </c>
      <c r="BH39" s="106">
        <f t="shared" si="39"/>
        <v>0</v>
      </c>
      <c r="BI39" s="106">
        <f t="shared" si="39"/>
        <v>0</v>
      </c>
      <c r="BJ39" s="106">
        <f t="shared" si="39"/>
        <v>0</v>
      </c>
      <c r="BK39" s="106">
        <f t="shared" si="39"/>
        <v>0</v>
      </c>
      <c r="BL39" s="106">
        <f t="shared" si="39"/>
        <v>0</v>
      </c>
      <c r="BM39" s="106">
        <f t="shared" si="39"/>
        <v>0</v>
      </c>
      <c r="BN39" s="106">
        <f t="shared" si="39"/>
        <v>0</v>
      </c>
      <c r="BO39" s="106">
        <f t="shared" si="39"/>
        <v>0</v>
      </c>
      <c r="BP39" s="106">
        <f t="shared" si="39"/>
        <v>0</v>
      </c>
      <c r="BQ39" s="106">
        <f t="shared" si="39"/>
        <v>0</v>
      </c>
      <c r="BR39" s="106">
        <f t="shared" si="39"/>
        <v>0</v>
      </c>
      <c r="BS39" s="106">
        <f t="shared" si="39"/>
        <v>0</v>
      </c>
      <c r="BT39" s="106">
        <f t="shared" si="40"/>
        <v>0</v>
      </c>
      <c r="BU39" s="106">
        <f t="shared" si="40"/>
        <v>0</v>
      </c>
      <c r="BV39" s="106">
        <f t="shared" si="40"/>
        <v>0</v>
      </c>
      <c r="BW39" s="106">
        <f t="shared" si="40"/>
        <v>0</v>
      </c>
      <c r="BX39" s="106">
        <f t="shared" si="40"/>
        <v>0</v>
      </c>
      <c r="BY39" s="106">
        <f t="shared" si="40"/>
        <v>0</v>
      </c>
      <c r="BZ39" s="106">
        <f t="shared" si="40"/>
        <v>0</v>
      </c>
      <c r="CA39" s="106">
        <f t="shared" si="40"/>
        <v>0</v>
      </c>
      <c r="CB39" s="106">
        <f t="shared" si="40"/>
        <v>0</v>
      </c>
      <c r="CC39" s="106">
        <f t="shared" si="40"/>
        <v>0</v>
      </c>
      <c r="CD39" s="106">
        <f t="shared" si="40"/>
        <v>0</v>
      </c>
      <c r="CE39" s="106">
        <f t="shared" si="40"/>
        <v>0</v>
      </c>
      <c r="CF39" s="106">
        <f t="shared" si="40"/>
        <v>0</v>
      </c>
      <c r="CG39" s="106">
        <f t="shared" si="40"/>
        <v>0</v>
      </c>
      <c r="CH39" s="106">
        <f t="shared" si="40"/>
        <v>0</v>
      </c>
      <c r="CI39" s="106">
        <f t="shared" si="40"/>
        <v>0</v>
      </c>
      <c r="CJ39" s="106">
        <f t="shared" si="43"/>
        <v>0</v>
      </c>
      <c r="CK39" s="106">
        <f t="shared" si="43"/>
        <v>0</v>
      </c>
      <c r="CL39" s="106">
        <f t="shared" si="43"/>
        <v>0</v>
      </c>
      <c r="CM39" s="106">
        <f t="shared" si="43"/>
        <v>0</v>
      </c>
      <c r="CN39" s="106">
        <f t="shared" si="43"/>
        <v>0</v>
      </c>
      <c r="CO39" s="106">
        <f t="shared" si="43"/>
        <v>0</v>
      </c>
      <c r="CP39" s="106">
        <f t="shared" si="43"/>
        <v>0</v>
      </c>
      <c r="CQ39" s="106">
        <f t="shared" si="43"/>
        <v>0</v>
      </c>
      <c r="CR39" s="106">
        <f t="shared" si="43"/>
        <v>0</v>
      </c>
      <c r="CS39" s="106">
        <f t="shared" si="43"/>
        <v>0</v>
      </c>
      <c r="CT39" s="106">
        <f t="shared" si="43"/>
        <v>0</v>
      </c>
      <c r="CU39" s="106">
        <f t="shared" si="43"/>
        <v>0</v>
      </c>
      <c r="CV39" s="106">
        <f t="shared" si="43"/>
        <v>0</v>
      </c>
      <c r="CW39" s="106">
        <f t="shared" si="43"/>
        <v>0</v>
      </c>
      <c r="CX39" s="106">
        <f t="shared" si="43"/>
        <v>0</v>
      </c>
      <c r="CY39" s="106">
        <f t="shared" si="41"/>
        <v>0</v>
      </c>
      <c r="CZ39" s="106">
        <f t="shared" si="41"/>
        <v>0</v>
      </c>
      <c r="DA39" s="106">
        <f t="shared" si="41"/>
        <v>0</v>
      </c>
      <c r="DB39" s="106">
        <f t="shared" si="41"/>
        <v>0</v>
      </c>
      <c r="DC39" s="106">
        <f t="shared" si="41"/>
        <v>0</v>
      </c>
      <c r="DD39" s="106">
        <f t="shared" si="41"/>
        <v>0</v>
      </c>
      <c r="DE39" s="106">
        <f t="shared" si="41"/>
        <v>0</v>
      </c>
      <c r="DF39" s="106">
        <f t="shared" si="41"/>
        <v>0</v>
      </c>
      <c r="DG39" s="106">
        <f t="shared" si="41"/>
        <v>0</v>
      </c>
      <c r="DH39" s="106">
        <f t="shared" si="41"/>
        <v>0</v>
      </c>
      <c r="DI39" s="106">
        <f t="shared" si="41"/>
        <v>0</v>
      </c>
      <c r="DJ39" s="106">
        <f t="shared" si="41"/>
        <v>0</v>
      </c>
      <c r="DK39" s="106">
        <f t="shared" si="41"/>
        <v>0</v>
      </c>
      <c r="DL39" s="106">
        <f t="shared" si="41"/>
        <v>0</v>
      </c>
      <c r="DM39" s="106">
        <f t="shared" si="41"/>
        <v>0</v>
      </c>
      <c r="DN39" s="106">
        <f t="shared" si="42"/>
        <v>0</v>
      </c>
      <c r="DO39" s="106">
        <f t="shared" si="42"/>
        <v>0</v>
      </c>
      <c r="DP39" s="106">
        <f t="shared" si="42"/>
        <v>0</v>
      </c>
      <c r="DQ39" s="106">
        <f t="shared" si="42"/>
        <v>0</v>
      </c>
      <c r="DR39" s="106">
        <f t="shared" si="42"/>
        <v>0</v>
      </c>
      <c r="DS39" s="106">
        <f t="shared" si="42"/>
        <v>0</v>
      </c>
      <c r="DT39" s="106">
        <f t="shared" si="42"/>
        <v>0</v>
      </c>
      <c r="DU39" s="106">
        <f t="shared" si="42"/>
        <v>0</v>
      </c>
      <c r="DV39" s="106">
        <f t="shared" si="42"/>
        <v>0</v>
      </c>
      <c r="DW39" s="106">
        <f t="shared" si="42"/>
        <v>0</v>
      </c>
      <c r="DX39" s="106">
        <f t="shared" si="42"/>
        <v>0</v>
      </c>
      <c r="DY39" s="106">
        <f t="shared" si="42"/>
        <v>0</v>
      </c>
      <c r="DZ39" s="106">
        <f t="shared" si="42"/>
        <v>0</v>
      </c>
      <c r="EA39" s="106">
        <f t="shared" si="42"/>
        <v>0</v>
      </c>
      <c r="EB39" s="106">
        <f t="shared" si="42"/>
        <v>0</v>
      </c>
      <c r="EC39" s="106">
        <f t="shared" si="42"/>
        <v>0</v>
      </c>
      <c r="ED39" s="106">
        <f>IF(AND(ED$1&gt;=$E39,ED$1&lt;=$F39),$C39/$G39,0)</f>
        <v>0</v>
      </c>
      <c r="EE39" s="106">
        <f t="shared" si="36"/>
        <v>0</v>
      </c>
      <c r="EF39" s="106">
        <f t="shared" si="28"/>
        <v>0</v>
      </c>
      <c r="EG39" s="106">
        <f t="shared" si="24"/>
        <v>0</v>
      </c>
      <c r="EH39" s="106">
        <f t="shared" si="24"/>
        <v>0</v>
      </c>
      <c r="EI39" s="106">
        <f t="shared" si="24"/>
        <v>0</v>
      </c>
    </row>
    <row r="40" spans="1:139" x14ac:dyDescent="0.25">
      <c r="A40" s="110" t="str">
        <f t="shared" si="25"/>
        <v>OK</v>
      </c>
      <c r="B40" s="16" t="s">
        <v>30</v>
      </c>
      <c r="C40" s="36">
        <f>D40*Ingresos!$A$23</f>
        <v>0</v>
      </c>
      <c r="D40" s="103">
        <v>0</v>
      </c>
      <c r="E40" s="180">
        <v>1</v>
      </c>
      <c r="F40" s="180">
        <v>1</v>
      </c>
      <c r="G40" s="181">
        <f t="shared" si="26"/>
        <v>1</v>
      </c>
      <c r="H40" s="106">
        <f t="shared" si="27"/>
        <v>0</v>
      </c>
      <c r="I40" s="106">
        <f t="shared" si="27"/>
        <v>0</v>
      </c>
      <c r="J40" s="106">
        <f t="shared" si="27"/>
        <v>0</v>
      </c>
      <c r="K40" s="106">
        <f t="shared" si="27"/>
        <v>0</v>
      </c>
      <c r="L40" s="106">
        <f t="shared" si="27"/>
        <v>0</v>
      </c>
      <c r="M40" s="106">
        <f t="shared" si="27"/>
        <v>0</v>
      </c>
      <c r="N40" s="106">
        <f t="shared" si="27"/>
        <v>0</v>
      </c>
      <c r="O40" s="106">
        <f t="shared" si="27"/>
        <v>0</v>
      </c>
      <c r="P40" s="106">
        <f t="shared" si="27"/>
        <v>0</v>
      </c>
      <c r="Q40" s="106">
        <f t="shared" si="27"/>
        <v>0</v>
      </c>
      <c r="R40" s="106">
        <f t="shared" si="27"/>
        <v>0</v>
      </c>
      <c r="S40" s="106">
        <f t="shared" si="27"/>
        <v>0</v>
      </c>
      <c r="T40" s="106">
        <f t="shared" si="27"/>
        <v>0</v>
      </c>
      <c r="U40" s="106">
        <f t="shared" si="27"/>
        <v>0</v>
      </c>
      <c r="V40" s="106">
        <f t="shared" si="27"/>
        <v>0</v>
      </c>
      <c r="W40" s="106">
        <f t="shared" si="27"/>
        <v>0</v>
      </c>
      <c r="X40" s="106">
        <f t="shared" si="37"/>
        <v>0</v>
      </c>
      <c r="Y40" s="106">
        <f t="shared" si="37"/>
        <v>0</v>
      </c>
      <c r="Z40" s="106">
        <f t="shared" si="37"/>
        <v>0</v>
      </c>
      <c r="AA40" s="106">
        <f t="shared" si="37"/>
        <v>0</v>
      </c>
      <c r="AB40" s="106">
        <f t="shared" si="37"/>
        <v>0</v>
      </c>
      <c r="AC40" s="106">
        <f t="shared" si="37"/>
        <v>0</v>
      </c>
      <c r="AD40" s="106">
        <f t="shared" si="37"/>
        <v>0</v>
      </c>
      <c r="AE40" s="106">
        <f t="shared" si="37"/>
        <v>0</v>
      </c>
      <c r="AF40" s="106">
        <f t="shared" si="37"/>
        <v>0</v>
      </c>
      <c r="AG40" s="106">
        <f t="shared" si="37"/>
        <v>0</v>
      </c>
      <c r="AH40" s="106">
        <f t="shared" si="37"/>
        <v>0</v>
      </c>
      <c r="AI40" s="106">
        <f t="shared" si="37"/>
        <v>0</v>
      </c>
      <c r="AJ40" s="106">
        <f t="shared" si="37"/>
        <v>0</v>
      </c>
      <c r="AK40" s="106">
        <f t="shared" si="37"/>
        <v>0</v>
      </c>
      <c r="AL40" s="106">
        <f t="shared" si="37"/>
        <v>0</v>
      </c>
      <c r="AM40" s="106">
        <f t="shared" si="37"/>
        <v>0</v>
      </c>
      <c r="AN40" s="106">
        <f t="shared" si="38"/>
        <v>0</v>
      </c>
      <c r="AO40" s="106">
        <f t="shared" si="38"/>
        <v>0</v>
      </c>
      <c r="AP40" s="106">
        <f t="shared" si="38"/>
        <v>0</v>
      </c>
      <c r="AQ40" s="106">
        <f t="shared" si="38"/>
        <v>0</v>
      </c>
      <c r="AR40" s="106">
        <f t="shared" si="38"/>
        <v>0</v>
      </c>
      <c r="AS40" s="106">
        <f t="shared" si="38"/>
        <v>0</v>
      </c>
      <c r="AT40" s="106">
        <f t="shared" si="38"/>
        <v>0</v>
      </c>
      <c r="AU40" s="106">
        <f t="shared" si="38"/>
        <v>0</v>
      </c>
      <c r="AV40" s="106">
        <f t="shared" si="38"/>
        <v>0</v>
      </c>
      <c r="AW40" s="106">
        <f t="shared" si="38"/>
        <v>0</v>
      </c>
      <c r="AX40" s="106">
        <f t="shared" si="38"/>
        <v>0</v>
      </c>
      <c r="AY40" s="106">
        <f t="shared" si="38"/>
        <v>0</v>
      </c>
      <c r="AZ40" s="106">
        <f t="shared" si="38"/>
        <v>0</v>
      </c>
      <c r="BA40" s="106">
        <f t="shared" si="38"/>
        <v>0</v>
      </c>
      <c r="BB40" s="106">
        <f t="shared" si="38"/>
        <v>0</v>
      </c>
      <c r="BC40" s="106">
        <f t="shared" si="38"/>
        <v>0</v>
      </c>
      <c r="BD40" s="106">
        <f t="shared" si="39"/>
        <v>0</v>
      </c>
      <c r="BE40" s="106">
        <f t="shared" si="39"/>
        <v>0</v>
      </c>
      <c r="BF40" s="106">
        <f t="shared" si="39"/>
        <v>0</v>
      </c>
      <c r="BG40" s="106">
        <f t="shared" si="39"/>
        <v>0</v>
      </c>
      <c r="BH40" s="106">
        <f t="shared" si="39"/>
        <v>0</v>
      </c>
      <c r="BI40" s="106">
        <f t="shared" si="39"/>
        <v>0</v>
      </c>
      <c r="BJ40" s="106">
        <f t="shared" si="39"/>
        <v>0</v>
      </c>
      <c r="BK40" s="106">
        <f t="shared" si="39"/>
        <v>0</v>
      </c>
      <c r="BL40" s="106">
        <f t="shared" si="39"/>
        <v>0</v>
      </c>
      <c r="BM40" s="106">
        <f t="shared" si="39"/>
        <v>0</v>
      </c>
      <c r="BN40" s="106">
        <f t="shared" si="39"/>
        <v>0</v>
      </c>
      <c r="BO40" s="106">
        <f t="shared" si="39"/>
        <v>0</v>
      </c>
      <c r="BP40" s="106">
        <f t="shared" si="39"/>
        <v>0</v>
      </c>
      <c r="BQ40" s="106">
        <f t="shared" si="39"/>
        <v>0</v>
      </c>
      <c r="BR40" s="106">
        <f t="shared" si="39"/>
        <v>0</v>
      </c>
      <c r="BS40" s="106">
        <f t="shared" si="39"/>
        <v>0</v>
      </c>
      <c r="BT40" s="106">
        <f t="shared" si="40"/>
        <v>0</v>
      </c>
      <c r="BU40" s="106">
        <f t="shared" si="40"/>
        <v>0</v>
      </c>
      <c r="BV40" s="106">
        <f t="shared" si="40"/>
        <v>0</v>
      </c>
      <c r="BW40" s="106">
        <f t="shared" si="40"/>
        <v>0</v>
      </c>
      <c r="BX40" s="106">
        <f t="shared" si="40"/>
        <v>0</v>
      </c>
      <c r="BY40" s="106">
        <f t="shared" si="40"/>
        <v>0</v>
      </c>
      <c r="BZ40" s="106">
        <f t="shared" si="40"/>
        <v>0</v>
      </c>
      <c r="CA40" s="106">
        <f t="shared" si="40"/>
        <v>0</v>
      </c>
      <c r="CB40" s="106">
        <f t="shared" si="40"/>
        <v>0</v>
      </c>
      <c r="CC40" s="106">
        <f t="shared" si="40"/>
        <v>0</v>
      </c>
      <c r="CD40" s="106">
        <f t="shared" si="40"/>
        <v>0</v>
      </c>
      <c r="CE40" s="106">
        <f t="shared" si="40"/>
        <v>0</v>
      </c>
      <c r="CF40" s="106">
        <f t="shared" si="40"/>
        <v>0</v>
      </c>
      <c r="CG40" s="106">
        <f t="shared" si="40"/>
        <v>0</v>
      </c>
      <c r="CH40" s="106">
        <f t="shared" si="40"/>
        <v>0</v>
      </c>
      <c r="CI40" s="106">
        <f t="shared" si="40"/>
        <v>0</v>
      </c>
      <c r="CJ40" s="106">
        <f t="shared" si="43"/>
        <v>0</v>
      </c>
      <c r="CK40" s="106">
        <f t="shared" si="43"/>
        <v>0</v>
      </c>
      <c r="CL40" s="106">
        <f t="shared" si="43"/>
        <v>0</v>
      </c>
      <c r="CM40" s="106">
        <f t="shared" si="43"/>
        <v>0</v>
      </c>
      <c r="CN40" s="106">
        <f t="shared" si="43"/>
        <v>0</v>
      </c>
      <c r="CO40" s="106">
        <f t="shared" si="43"/>
        <v>0</v>
      </c>
      <c r="CP40" s="106">
        <f t="shared" si="43"/>
        <v>0</v>
      </c>
      <c r="CQ40" s="106">
        <f t="shared" si="43"/>
        <v>0</v>
      </c>
      <c r="CR40" s="106">
        <f t="shared" si="43"/>
        <v>0</v>
      </c>
      <c r="CS40" s="106">
        <f t="shared" si="43"/>
        <v>0</v>
      </c>
      <c r="CT40" s="106">
        <f t="shared" si="43"/>
        <v>0</v>
      </c>
      <c r="CU40" s="106">
        <f t="shared" si="43"/>
        <v>0</v>
      </c>
      <c r="CV40" s="106">
        <f t="shared" si="43"/>
        <v>0</v>
      </c>
      <c r="CW40" s="106">
        <f t="shared" si="43"/>
        <v>0</v>
      </c>
      <c r="CX40" s="106">
        <f t="shared" si="43"/>
        <v>0</v>
      </c>
      <c r="CY40" s="106">
        <f t="shared" si="41"/>
        <v>0</v>
      </c>
      <c r="CZ40" s="106">
        <f t="shared" si="41"/>
        <v>0</v>
      </c>
      <c r="DA40" s="106">
        <f t="shared" si="41"/>
        <v>0</v>
      </c>
      <c r="DB40" s="106">
        <f t="shared" si="41"/>
        <v>0</v>
      </c>
      <c r="DC40" s="106">
        <f t="shared" si="41"/>
        <v>0</v>
      </c>
      <c r="DD40" s="106">
        <f t="shared" si="41"/>
        <v>0</v>
      </c>
      <c r="DE40" s="106">
        <f t="shared" si="41"/>
        <v>0</v>
      </c>
      <c r="DF40" s="106">
        <f t="shared" si="41"/>
        <v>0</v>
      </c>
      <c r="DG40" s="106">
        <f t="shared" si="41"/>
        <v>0</v>
      </c>
      <c r="DH40" s="106">
        <f t="shared" si="41"/>
        <v>0</v>
      </c>
      <c r="DI40" s="106">
        <f t="shared" si="41"/>
        <v>0</v>
      </c>
      <c r="DJ40" s="106">
        <f t="shared" si="41"/>
        <v>0</v>
      </c>
      <c r="DK40" s="106">
        <f t="shared" si="41"/>
        <v>0</v>
      </c>
      <c r="DL40" s="106">
        <f t="shared" si="41"/>
        <v>0</v>
      </c>
      <c r="DM40" s="106">
        <f t="shared" si="41"/>
        <v>0</v>
      </c>
      <c r="DN40" s="106">
        <f t="shared" si="42"/>
        <v>0</v>
      </c>
      <c r="DO40" s="106">
        <f t="shared" si="42"/>
        <v>0</v>
      </c>
      <c r="DP40" s="106">
        <f t="shared" si="42"/>
        <v>0</v>
      </c>
      <c r="DQ40" s="106">
        <f t="shared" si="42"/>
        <v>0</v>
      </c>
      <c r="DR40" s="106">
        <f t="shared" si="42"/>
        <v>0</v>
      </c>
      <c r="DS40" s="106">
        <f t="shared" si="42"/>
        <v>0</v>
      </c>
      <c r="DT40" s="106">
        <f t="shared" si="42"/>
        <v>0</v>
      </c>
      <c r="DU40" s="106">
        <f t="shared" si="42"/>
        <v>0</v>
      </c>
      <c r="DV40" s="106">
        <f t="shared" si="42"/>
        <v>0</v>
      </c>
      <c r="DW40" s="106">
        <f t="shared" si="42"/>
        <v>0</v>
      </c>
      <c r="DX40" s="106">
        <f t="shared" si="42"/>
        <v>0</v>
      </c>
      <c r="DY40" s="106">
        <f t="shared" si="42"/>
        <v>0</v>
      </c>
      <c r="DZ40" s="106">
        <f t="shared" si="42"/>
        <v>0</v>
      </c>
      <c r="EA40" s="106">
        <f t="shared" si="42"/>
        <v>0</v>
      </c>
      <c r="EB40" s="106">
        <f t="shared" si="42"/>
        <v>0</v>
      </c>
      <c r="EC40" s="106">
        <f t="shared" si="42"/>
        <v>0</v>
      </c>
      <c r="ED40" s="106">
        <f>IF(AND(ED$1&gt;=$E40,ED$1&lt;=$F40),$C40/$G40,0)</f>
        <v>0</v>
      </c>
      <c r="EE40" s="106">
        <f t="shared" si="36"/>
        <v>0</v>
      </c>
      <c r="EF40" s="106">
        <f t="shared" si="28"/>
        <v>0</v>
      </c>
      <c r="EG40" s="106">
        <f t="shared" si="24"/>
        <v>0</v>
      </c>
      <c r="EH40" s="106">
        <f t="shared" si="24"/>
        <v>0</v>
      </c>
      <c r="EI40" s="106">
        <f t="shared" si="24"/>
        <v>0</v>
      </c>
    </row>
    <row r="41" spans="1:139" x14ac:dyDescent="0.25">
      <c r="A41" s="110" t="str">
        <f t="shared" si="25"/>
        <v>OK</v>
      </c>
      <c r="B41" s="14" t="s">
        <v>31</v>
      </c>
      <c r="C41" s="111">
        <f>SUM(C25:C40)</f>
        <v>5530875000</v>
      </c>
      <c r="D41" s="95">
        <f>SUM(D25:D40)</f>
        <v>15802500</v>
      </c>
      <c r="E41" s="182">
        <f t="array" ref="E41">MIN(IF($C$25:$C$40&gt;0,E25:E40))</f>
        <v>2</v>
      </c>
      <c r="F41" s="182">
        <f t="array" ref="F41">MAX(IF($C$25:$C$40&gt;0,F25:F40))</f>
        <v>8</v>
      </c>
      <c r="G41" s="183">
        <f t="shared" si="26"/>
        <v>7</v>
      </c>
      <c r="H41" s="107">
        <f t="shared" ref="H41:AM41" si="44">SUM(H25:H40)</f>
        <v>0</v>
      </c>
      <c r="I41" s="108">
        <f t="shared" si="44"/>
        <v>692500000</v>
      </c>
      <c r="J41" s="108">
        <f t="shared" si="44"/>
        <v>718750000</v>
      </c>
      <c r="K41" s="108">
        <f t="shared" si="44"/>
        <v>823925000</v>
      </c>
      <c r="L41" s="108">
        <f t="shared" si="44"/>
        <v>823925000</v>
      </c>
      <c r="M41" s="108">
        <f t="shared" si="44"/>
        <v>823925000</v>
      </c>
      <c r="N41" s="108">
        <f t="shared" si="44"/>
        <v>823925000</v>
      </c>
      <c r="O41" s="108">
        <f t="shared" si="44"/>
        <v>823925000</v>
      </c>
      <c r="P41" s="108">
        <f t="shared" si="44"/>
        <v>0</v>
      </c>
      <c r="Q41" s="108">
        <f t="shared" si="44"/>
        <v>0</v>
      </c>
      <c r="R41" s="108">
        <f t="shared" si="44"/>
        <v>0</v>
      </c>
      <c r="S41" s="108">
        <f t="shared" si="44"/>
        <v>0</v>
      </c>
      <c r="T41" s="108">
        <f t="shared" si="44"/>
        <v>0</v>
      </c>
      <c r="U41" s="108">
        <f t="shared" si="44"/>
        <v>0</v>
      </c>
      <c r="V41" s="108">
        <f t="shared" si="44"/>
        <v>0</v>
      </c>
      <c r="W41" s="108">
        <f t="shared" si="44"/>
        <v>0</v>
      </c>
      <c r="X41" s="108">
        <f t="shared" si="44"/>
        <v>0</v>
      </c>
      <c r="Y41" s="108">
        <f t="shared" si="44"/>
        <v>0</v>
      </c>
      <c r="Z41" s="108">
        <f t="shared" si="44"/>
        <v>0</v>
      </c>
      <c r="AA41" s="108">
        <f t="shared" si="44"/>
        <v>0</v>
      </c>
      <c r="AB41" s="108">
        <f t="shared" si="44"/>
        <v>0</v>
      </c>
      <c r="AC41" s="108">
        <f t="shared" si="44"/>
        <v>0</v>
      </c>
      <c r="AD41" s="108">
        <f t="shared" si="44"/>
        <v>0</v>
      </c>
      <c r="AE41" s="108">
        <f t="shared" si="44"/>
        <v>0</v>
      </c>
      <c r="AF41" s="108">
        <f t="shared" si="44"/>
        <v>0</v>
      </c>
      <c r="AG41" s="108">
        <f t="shared" si="44"/>
        <v>0</v>
      </c>
      <c r="AH41" s="108">
        <f t="shared" si="44"/>
        <v>0</v>
      </c>
      <c r="AI41" s="108">
        <f t="shared" si="44"/>
        <v>0</v>
      </c>
      <c r="AJ41" s="108">
        <f t="shared" si="44"/>
        <v>0</v>
      </c>
      <c r="AK41" s="108">
        <f t="shared" si="44"/>
        <v>0</v>
      </c>
      <c r="AL41" s="108">
        <f t="shared" si="44"/>
        <v>0</v>
      </c>
      <c r="AM41" s="108">
        <f t="shared" si="44"/>
        <v>0</v>
      </c>
      <c r="AN41" s="108">
        <f t="shared" ref="AN41:BS41" si="45">SUM(AN25:AN40)</f>
        <v>0</v>
      </c>
      <c r="AO41" s="108">
        <f t="shared" si="45"/>
        <v>0</v>
      </c>
      <c r="AP41" s="108">
        <f t="shared" si="45"/>
        <v>0</v>
      </c>
      <c r="AQ41" s="108">
        <f t="shared" si="45"/>
        <v>0</v>
      </c>
      <c r="AR41" s="108">
        <f t="shared" si="45"/>
        <v>0</v>
      </c>
      <c r="AS41" s="108">
        <f t="shared" si="45"/>
        <v>0</v>
      </c>
      <c r="AT41" s="108">
        <f t="shared" si="45"/>
        <v>0</v>
      </c>
      <c r="AU41" s="108">
        <f t="shared" si="45"/>
        <v>0</v>
      </c>
      <c r="AV41" s="108">
        <f t="shared" si="45"/>
        <v>0</v>
      </c>
      <c r="AW41" s="108">
        <f t="shared" si="45"/>
        <v>0</v>
      </c>
      <c r="AX41" s="108">
        <f t="shared" si="45"/>
        <v>0</v>
      </c>
      <c r="AY41" s="108">
        <f t="shared" si="45"/>
        <v>0</v>
      </c>
      <c r="AZ41" s="108">
        <f t="shared" si="45"/>
        <v>0</v>
      </c>
      <c r="BA41" s="108">
        <f t="shared" si="45"/>
        <v>0</v>
      </c>
      <c r="BB41" s="108">
        <f t="shared" si="45"/>
        <v>0</v>
      </c>
      <c r="BC41" s="108">
        <f t="shared" si="45"/>
        <v>0</v>
      </c>
      <c r="BD41" s="108">
        <f t="shared" si="45"/>
        <v>0</v>
      </c>
      <c r="BE41" s="108">
        <f t="shared" si="45"/>
        <v>0</v>
      </c>
      <c r="BF41" s="108">
        <f t="shared" si="45"/>
        <v>0</v>
      </c>
      <c r="BG41" s="108">
        <f t="shared" si="45"/>
        <v>0</v>
      </c>
      <c r="BH41" s="108">
        <f t="shared" si="45"/>
        <v>0</v>
      </c>
      <c r="BI41" s="108">
        <f t="shared" si="45"/>
        <v>0</v>
      </c>
      <c r="BJ41" s="108">
        <f t="shared" si="45"/>
        <v>0</v>
      </c>
      <c r="BK41" s="108">
        <f t="shared" si="45"/>
        <v>0</v>
      </c>
      <c r="BL41" s="108">
        <f t="shared" si="45"/>
        <v>0</v>
      </c>
      <c r="BM41" s="108">
        <f t="shared" si="45"/>
        <v>0</v>
      </c>
      <c r="BN41" s="108">
        <f t="shared" si="45"/>
        <v>0</v>
      </c>
      <c r="BO41" s="108">
        <f t="shared" si="45"/>
        <v>0</v>
      </c>
      <c r="BP41" s="108">
        <f t="shared" si="45"/>
        <v>0</v>
      </c>
      <c r="BQ41" s="108">
        <f t="shared" si="45"/>
        <v>0</v>
      </c>
      <c r="BR41" s="108">
        <f t="shared" si="45"/>
        <v>0</v>
      </c>
      <c r="BS41" s="108">
        <f t="shared" si="45"/>
        <v>0</v>
      </c>
      <c r="BT41" s="108">
        <f t="shared" ref="BT41:CY41" si="46">SUM(BT25:BT40)</f>
        <v>0</v>
      </c>
      <c r="BU41" s="108">
        <f t="shared" si="46"/>
        <v>0</v>
      </c>
      <c r="BV41" s="108">
        <f t="shared" si="46"/>
        <v>0</v>
      </c>
      <c r="BW41" s="108">
        <f t="shared" si="46"/>
        <v>0</v>
      </c>
      <c r="BX41" s="108">
        <f t="shared" si="46"/>
        <v>0</v>
      </c>
      <c r="BY41" s="108">
        <f t="shared" si="46"/>
        <v>0</v>
      </c>
      <c r="BZ41" s="108">
        <f t="shared" si="46"/>
        <v>0</v>
      </c>
      <c r="CA41" s="108">
        <f t="shared" si="46"/>
        <v>0</v>
      </c>
      <c r="CB41" s="108">
        <f t="shared" si="46"/>
        <v>0</v>
      </c>
      <c r="CC41" s="108">
        <f t="shared" si="46"/>
        <v>0</v>
      </c>
      <c r="CD41" s="108">
        <f t="shared" si="46"/>
        <v>0</v>
      </c>
      <c r="CE41" s="108">
        <f t="shared" si="46"/>
        <v>0</v>
      </c>
      <c r="CF41" s="108">
        <f t="shared" si="46"/>
        <v>0</v>
      </c>
      <c r="CG41" s="108">
        <f t="shared" si="46"/>
        <v>0</v>
      </c>
      <c r="CH41" s="108">
        <f t="shared" si="46"/>
        <v>0</v>
      </c>
      <c r="CI41" s="108">
        <f t="shared" si="46"/>
        <v>0</v>
      </c>
      <c r="CJ41" s="108">
        <f t="shared" si="46"/>
        <v>0</v>
      </c>
      <c r="CK41" s="108">
        <f t="shared" si="46"/>
        <v>0</v>
      </c>
      <c r="CL41" s="108">
        <f t="shared" si="46"/>
        <v>0</v>
      </c>
      <c r="CM41" s="108">
        <f t="shared" si="46"/>
        <v>0</v>
      </c>
      <c r="CN41" s="108">
        <f t="shared" si="46"/>
        <v>0</v>
      </c>
      <c r="CO41" s="108">
        <f t="shared" si="46"/>
        <v>0</v>
      </c>
      <c r="CP41" s="108">
        <f t="shared" si="46"/>
        <v>0</v>
      </c>
      <c r="CQ41" s="108">
        <f t="shared" si="46"/>
        <v>0</v>
      </c>
      <c r="CR41" s="108">
        <f t="shared" si="46"/>
        <v>0</v>
      </c>
      <c r="CS41" s="108">
        <f t="shared" si="46"/>
        <v>0</v>
      </c>
      <c r="CT41" s="108">
        <f t="shared" si="46"/>
        <v>0</v>
      </c>
      <c r="CU41" s="108">
        <f t="shared" si="46"/>
        <v>0</v>
      </c>
      <c r="CV41" s="108">
        <f t="shared" si="46"/>
        <v>0</v>
      </c>
      <c r="CW41" s="108">
        <f t="shared" si="46"/>
        <v>0</v>
      </c>
      <c r="CX41" s="108">
        <f t="shared" si="46"/>
        <v>0</v>
      </c>
      <c r="CY41" s="108">
        <f t="shared" si="46"/>
        <v>0</v>
      </c>
      <c r="CZ41" s="108">
        <f t="shared" ref="CZ41:EE41" si="47">SUM(CZ25:CZ40)</f>
        <v>0</v>
      </c>
      <c r="DA41" s="108">
        <f t="shared" si="47"/>
        <v>0</v>
      </c>
      <c r="DB41" s="108">
        <f t="shared" si="47"/>
        <v>0</v>
      </c>
      <c r="DC41" s="108">
        <f t="shared" si="47"/>
        <v>0</v>
      </c>
      <c r="DD41" s="108">
        <f t="shared" si="47"/>
        <v>0</v>
      </c>
      <c r="DE41" s="108">
        <f t="shared" si="47"/>
        <v>0</v>
      </c>
      <c r="DF41" s="108">
        <f t="shared" si="47"/>
        <v>0</v>
      </c>
      <c r="DG41" s="108">
        <f t="shared" si="47"/>
        <v>0</v>
      </c>
      <c r="DH41" s="108">
        <f t="shared" si="47"/>
        <v>0</v>
      </c>
      <c r="DI41" s="108">
        <f t="shared" si="47"/>
        <v>0</v>
      </c>
      <c r="DJ41" s="108">
        <f t="shared" si="47"/>
        <v>0</v>
      </c>
      <c r="DK41" s="108">
        <f t="shared" si="47"/>
        <v>0</v>
      </c>
      <c r="DL41" s="108">
        <f t="shared" si="47"/>
        <v>0</v>
      </c>
      <c r="DM41" s="108">
        <f t="shared" si="47"/>
        <v>0</v>
      </c>
      <c r="DN41" s="108">
        <f t="shared" si="47"/>
        <v>0</v>
      </c>
      <c r="DO41" s="108">
        <f t="shared" si="47"/>
        <v>0</v>
      </c>
      <c r="DP41" s="108">
        <f t="shared" si="47"/>
        <v>0</v>
      </c>
      <c r="DQ41" s="108">
        <f t="shared" si="47"/>
        <v>0</v>
      </c>
      <c r="DR41" s="108">
        <f t="shared" si="47"/>
        <v>0</v>
      </c>
      <c r="DS41" s="108">
        <f t="shared" si="47"/>
        <v>0</v>
      </c>
      <c r="DT41" s="108">
        <f t="shared" si="47"/>
        <v>0</v>
      </c>
      <c r="DU41" s="108">
        <f t="shared" si="47"/>
        <v>0</v>
      </c>
      <c r="DV41" s="108">
        <f t="shared" si="47"/>
        <v>0</v>
      </c>
      <c r="DW41" s="108">
        <f t="shared" si="47"/>
        <v>0</v>
      </c>
      <c r="DX41" s="108">
        <f t="shared" si="47"/>
        <v>0</v>
      </c>
      <c r="DY41" s="108">
        <f t="shared" si="47"/>
        <v>0</v>
      </c>
      <c r="DZ41" s="108">
        <f t="shared" si="47"/>
        <v>0</v>
      </c>
      <c r="EA41" s="108">
        <f t="shared" si="47"/>
        <v>0</v>
      </c>
      <c r="EB41" s="108">
        <f t="shared" si="47"/>
        <v>0</v>
      </c>
      <c r="EC41" s="108">
        <f t="shared" si="47"/>
        <v>0</v>
      </c>
      <c r="ED41" s="108">
        <f t="shared" si="47"/>
        <v>0</v>
      </c>
      <c r="EE41" s="108">
        <f t="shared" si="47"/>
        <v>0</v>
      </c>
      <c r="EF41" s="108">
        <f t="shared" ref="EF41:EI41" si="48">SUM(EF25:EF40)</f>
        <v>0</v>
      </c>
      <c r="EG41" s="108">
        <f t="shared" si="48"/>
        <v>0</v>
      </c>
      <c r="EH41" s="108">
        <f t="shared" si="48"/>
        <v>0</v>
      </c>
      <c r="EI41" s="109">
        <f t="shared" si="48"/>
        <v>0</v>
      </c>
    </row>
    <row r="42" spans="1:139" x14ac:dyDescent="0.25">
      <c r="C42" s="184"/>
      <c r="D42" s="123"/>
    </row>
    <row r="43" spans="1:139" x14ac:dyDescent="0.25">
      <c r="B43" s="2" t="s">
        <v>33</v>
      </c>
      <c r="C43" s="43"/>
      <c r="D43" s="43"/>
      <c r="E43" s="43"/>
      <c r="F43" s="43"/>
      <c r="G43" s="3"/>
      <c r="EI43" s="1">
        <v>0</v>
      </c>
    </row>
    <row r="44" spans="1:139" x14ac:dyDescent="0.25">
      <c r="A44" s="2" t="s">
        <v>32</v>
      </c>
      <c r="B44" s="102" t="s">
        <v>34</v>
      </c>
      <c r="C44" s="90" t="s">
        <v>15</v>
      </c>
      <c r="D44" s="90" t="s">
        <v>139</v>
      </c>
      <c r="E44" s="90" t="s">
        <v>140</v>
      </c>
      <c r="F44" s="90" t="s">
        <v>141</v>
      </c>
      <c r="G44" s="91" t="s">
        <v>142</v>
      </c>
    </row>
    <row r="45" spans="1:139" x14ac:dyDescent="0.25">
      <c r="A45" s="110" t="str">
        <f>IF(ABS(SUM(H45:EI45)-C45)&lt;0.0001,"OK","ERROR")</f>
        <v>OK</v>
      </c>
      <c r="B45" s="112"/>
      <c r="C45" s="36">
        <f>B45*SUM(C21,C41)</f>
        <v>0</v>
      </c>
      <c r="D45" s="36">
        <f>C45/Ingresos!A23</f>
        <v>0</v>
      </c>
      <c r="E45" s="113">
        <f>MIN(E21,E41)</f>
        <v>2</v>
      </c>
      <c r="F45" s="113">
        <f>MAX(F21,F41)</f>
        <v>12</v>
      </c>
      <c r="G45" s="105">
        <f>F45-E45+1</f>
        <v>11</v>
      </c>
      <c r="H45" s="107">
        <f>$B$45*SUM(H21,H41)</f>
        <v>0</v>
      </c>
      <c r="I45" s="108">
        <f t="shared" ref="I45:BT45" si="49">$B$45*SUM(I21,I41)</f>
        <v>0</v>
      </c>
      <c r="J45" s="108">
        <f t="shared" si="49"/>
        <v>0</v>
      </c>
      <c r="K45" s="108">
        <f t="shared" si="49"/>
        <v>0</v>
      </c>
      <c r="L45" s="108">
        <f t="shared" si="49"/>
        <v>0</v>
      </c>
      <c r="M45" s="108">
        <f t="shared" si="49"/>
        <v>0</v>
      </c>
      <c r="N45" s="108">
        <f t="shared" si="49"/>
        <v>0</v>
      </c>
      <c r="O45" s="108">
        <f t="shared" si="49"/>
        <v>0</v>
      </c>
      <c r="P45" s="108">
        <f t="shared" si="49"/>
        <v>0</v>
      </c>
      <c r="Q45" s="108">
        <f t="shared" si="49"/>
        <v>0</v>
      </c>
      <c r="R45" s="108">
        <f t="shared" si="49"/>
        <v>0</v>
      </c>
      <c r="S45" s="108">
        <f t="shared" si="49"/>
        <v>0</v>
      </c>
      <c r="T45" s="108">
        <f t="shared" si="49"/>
        <v>0</v>
      </c>
      <c r="U45" s="108">
        <f t="shared" si="49"/>
        <v>0</v>
      </c>
      <c r="V45" s="108">
        <f t="shared" si="49"/>
        <v>0</v>
      </c>
      <c r="W45" s="108">
        <f t="shared" si="49"/>
        <v>0</v>
      </c>
      <c r="X45" s="108">
        <f t="shared" si="49"/>
        <v>0</v>
      </c>
      <c r="Y45" s="108">
        <f t="shared" si="49"/>
        <v>0</v>
      </c>
      <c r="Z45" s="108">
        <f t="shared" si="49"/>
        <v>0</v>
      </c>
      <c r="AA45" s="108">
        <f t="shared" si="49"/>
        <v>0</v>
      </c>
      <c r="AB45" s="108">
        <f t="shared" si="49"/>
        <v>0</v>
      </c>
      <c r="AC45" s="108">
        <f t="shared" si="49"/>
        <v>0</v>
      </c>
      <c r="AD45" s="108">
        <f t="shared" si="49"/>
        <v>0</v>
      </c>
      <c r="AE45" s="108">
        <f t="shared" si="49"/>
        <v>0</v>
      </c>
      <c r="AF45" s="108">
        <f t="shared" si="49"/>
        <v>0</v>
      </c>
      <c r="AG45" s="108">
        <f t="shared" si="49"/>
        <v>0</v>
      </c>
      <c r="AH45" s="108">
        <f t="shared" si="49"/>
        <v>0</v>
      </c>
      <c r="AI45" s="108">
        <f t="shared" si="49"/>
        <v>0</v>
      </c>
      <c r="AJ45" s="108">
        <f t="shared" si="49"/>
        <v>0</v>
      </c>
      <c r="AK45" s="108">
        <f t="shared" si="49"/>
        <v>0</v>
      </c>
      <c r="AL45" s="108">
        <f t="shared" si="49"/>
        <v>0</v>
      </c>
      <c r="AM45" s="108">
        <f t="shared" si="49"/>
        <v>0</v>
      </c>
      <c r="AN45" s="108">
        <f t="shared" si="49"/>
        <v>0</v>
      </c>
      <c r="AO45" s="108">
        <f t="shared" si="49"/>
        <v>0</v>
      </c>
      <c r="AP45" s="108">
        <f t="shared" si="49"/>
        <v>0</v>
      </c>
      <c r="AQ45" s="108">
        <f t="shared" si="49"/>
        <v>0</v>
      </c>
      <c r="AR45" s="108">
        <f t="shared" si="49"/>
        <v>0</v>
      </c>
      <c r="AS45" s="108">
        <f t="shared" si="49"/>
        <v>0</v>
      </c>
      <c r="AT45" s="108">
        <f t="shared" si="49"/>
        <v>0</v>
      </c>
      <c r="AU45" s="108">
        <f t="shared" si="49"/>
        <v>0</v>
      </c>
      <c r="AV45" s="108">
        <f t="shared" si="49"/>
        <v>0</v>
      </c>
      <c r="AW45" s="108">
        <f t="shared" si="49"/>
        <v>0</v>
      </c>
      <c r="AX45" s="108">
        <f t="shared" si="49"/>
        <v>0</v>
      </c>
      <c r="AY45" s="108">
        <f t="shared" si="49"/>
        <v>0</v>
      </c>
      <c r="AZ45" s="108">
        <f t="shared" si="49"/>
        <v>0</v>
      </c>
      <c r="BA45" s="108">
        <f t="shared" si="49"/>
        <v>0</v>
      </c>
      <c r="BB45" s="108">
        <f t="shared" si="49"/>
        <v>0</v>
      </c>
      <c r="BC45" s="108">
        <f t="shared" si="49"/>
        <v>0</v>
      </c>
      <c r="BD45" s="108">
        <f t="shared" si="49"/>
        <v>0</v>
      </c>
      <c r="BE45" s="108">
        <f t="shared" si="49"/>
        <v>0</v>
      </c>
      <c r="BF45" s="108">
        <f t="shared" si="49"/>
        <v>0</v>
      </c>
      <c r="BG45" s="108">
        <f t="shared" si="49"/>
        <v>0</v>
      </c>
      <c r="BH45" s="108">
        <f t="shared" si="49"/>
        <v>0</v>
      </c>
      <c r="BI45" s="108">
        <f t="shared" si="49"/>
        <v>0</v>
      </c>
      <c r="BJ45" s="108">
        <f t="shared" si="49"/>
        <v>0</v>
      </c>
      <c r="BK45" s="108">
        <f t="shared" si="49"/>
        <v>0</v>
      </c>
      <c r="BL45" s="108">
        <f t="shared" si="49"/>
        <v>0</v>
      </c>
      <c r="BM45" s="108">
        <f t="shared" si="49"/>
        <v>0</v>
      </c>
      <c r="BN45" s="108">
        <f t="shared" si="49"/>
        <v>0</v>
      </c>
      <c r="BO45" s="108">
        <f t="shared" si="49"/>
        <v>0</v>
      </c>
      <c r="BP45" s="108">
        <f t="shared" si="49"/>
        <v>0</v>
      </c>
      <c r="BQ45" s="108">
        <f t="shared" si="49"/>
        <v>0</v>
      </c>
      <c r="BR45" s="108">
        <f t="shared" si="49"/>
        <v>0</v>
      </c>
      <c r="BS45" s="108">
        <f t="shared" si="49"/>
        <v>0</v>
      </c>
      <c r="BT45" s="108">
        <f t="shared" si="49"/>
        <v>0</v>
      </c>
      <c r="BU45" s="108">
        <f t="shared" ref="BU45:EF45" si="50">$B$45*SUM(BU21,BU41)</f>
        <v>0</v>
      </c>
      <c r="BV45" s="108">
        <f t="shared" si="50"/>
        <v>0</v>
      </c>
      <c r="BW45" s="108">
        <f t="shared" si="50"/>
        <v>0</v>
      </c>
      <c r="BX45" s="108">
        <f t="shared" si="50"/>
        <v>0</v>
      </c>
      <c r="BY45" s="108">
        <f t="shared" si="50"/>
        <v>0</v>
      </c>
      <c r="BZ45" s="108">
        <f t="shared" si="50"/>
        <v>0</v>
      </c>
      <c r="CA45" s="108">
        <f t="shared" si="50"/>
        <v>0</v>
      </c>
      <c r="CB45" s="108">
        <f t="shared" si="50"/>
        <v>0</v>
      </c>
      <c r="CC45" s="108">
        <f t="shared" si="50"/>
        <v>0</v>
      </c>
      <c r="CD45" s="108">
        <f t="shared" si="50"/>
        <v>0</v>
      </c>
      <c r="CE45" s="108">
        <f t="shared" si="50"/>
        <v>0</v>
      </c>
      <c r="CF45" s="108">
        <f t="shared" si="50"/>
        <v>0</v>
      </c>
      <c r="CG45" s="108">
        <f t="shared" si="50"/>
        <v>0</v>
      </c>
      <c r="CH45" s="108">
        <f t="shared" si="50"/>
        <v>0</v>
      </c>
      <c r="CI45" s="108">
        <f t="shared" si="50"/>
        <v>0</v>
      </c>
      <c r="CJ45" s="108">
        <f t="shared" si="50"/>
        <v>0</v>
      </c>
      <c r="CK45" s="108">
        <f t="shared" si="50"/>
        <v>0</v>
      </c>
      <c r="CL45" s="108">
        <f t="shared" si="50"/>
        <v>0</v>
      </c>
      <c r="CM45" s="108">
        <f t="shared" si="50"/>
        <v>0</v>
      </c>
      <c r="CN45" s="108">
        <f t="shared" si="50"/>
        <v>0</v>
      </c>
      <c r="CO45" s="108">
        <f t="shared" si="50"/>
        <v>0</v>
      </c>
      <c r="CP45" s="108">
        <f t="shared" si="50"/>
        <v>0</v>
      </c>
      <c r="CQ45" s="108">
        <f t="shared" si="50"/>
        <v>0</v>
      </c>
      <c r="CR45" s="108">
        <f t="shared" si="50"/>
        <v>0</v>
      </c>
      <c r="CS45" s="108">
        <f t="shared" si="50"/>
        <v>0</v>
      </c>
      <c r="CT45" s="108">
        <f t="shared" si="50"/>
        <v>0</v>
      </c>
      <c r="CU45" s="108">
        <f t="shared" si="50"/>
        <v>0</v>
      </c>
      <c r="CV45" s="108">
        <f t="shared" si="50"/>
        <v>0</v>
      </c>
      <c r="CW45" s="108">
        <f t="shared" si="50"/>
        <v>0</v>
      </c>
      <c r="CX45" s="108">
        <f t="shared" si="50"/>
        <v>0</v>
      </c>
      <c r="CY45" s="108">
        <f t="shared" si="50"/>
        <v>0</v>
      </c>
      <c r="CZ45" s="108">
        <f t="shared" si="50"/>
        <v>0</v>
      </c>
      <c r="DA45" s="108">
        <f t="shared" si="50"/>
        <v>0</v>
      </c>
      <c r="DB45" s="108">
        <f t="shared" si="50"/>
        <v>0</v>
      </c>
      <c r="DC45" s="108">
        <f t="shared" si="50"/>
        <v>0</v>
      </c>
      <c r="DD45" s="108">
        <f t="shared" si="50"/>
        <v>0</v>
      </c>
      <c r="DE45" s="108">
        <f t="shared" si="50"/>
        <v>0</v>
      </c>
      <c r="DF45" s="108">
        <f t="shared" si="50"/>
        <v>0</v>
      </c>
      <c r="DG45" s="108">
        <f t="shared" si="50"/>
        <v>0</v>
      </c>
      <c r="DH45" s="108">
        <f t="shared" si="50"/>
        <v>0</v>
      </c>
      <c r="DI45" s="108">
        <f t="shared" si="50"/>
        <v>0</v>
      </c>
      <c r="DJ45" s="108">
        <f t="shared" si="50"/>
        <v>0</v>
      </c>
      <c r="DK45" s="108">
        <f t="shared" si="50"/>
        <v>0</v>
      </c>
      <c r="DL45" s="108">
        <f t="shared" si="50"/>
        <v>0</v>
      </c>
      <c r="DM45" s="108">
        <f t="shared" si="50"/>
        <v>0</v>
      </c>
      <c r="DN45" s="108">
        <f t="shared" si="50"/>
        <v>0</v>
      </c>
      <c r="DO45" s="108">
        <f t="shared" si="50"/>
        <v>0</v>
      </c>
      <c r="DP45" s="108">
        <f t="shared" si="50"/>
        <v>0</v>
      </c>
      <c r="DQ45" s="108">
        <f t="shared" si="50"/>
        <v>0</v>
      </c>
      <c r="DR45" s="108">
        <f t="shared" si="50"/>
        <v>0</v>
      </c>
      <c r="DS45" s="108">
        <f t="shared" si="50"/>
        <v>0</v>
      </c>
      <c r="DT45" s="108">
        <f t="shared" si="50"/>
        <v>0</v>
      </c>
      <c r="DU45" s="108">
        <f t="shared" si="50"/>
        <v>0</v>
      </c>
      <c r="DV45" s="108">
        <f t="shared" si="50"/>
        <v>0</v>
      </c>
      <c r="DW45" s="108">
        <f t="shared" si="50"/>
        <v>0</v>
      </c>
      <c r="DX45" s="108">
        <f t="shared" si="50"/>
        <v>0</v>
      </c>
      <c r="DY45" s="108">
        <f t="shared" si="50"/>
        <v>0</v>
      </c>
      <c r="DZ45" s="108">
        <f t="shared" si="50"/>
        <v>0</v>
      </c>
      <c r="EA45" s="108">
        <f t="shared" si="50"/>
        <v>0</v>
      </c>
      <c r="EB45" s="108">
        <f t="shared" si="50"/>
        <v>0</v>
      </c>
      <c r="EC45" s="108">
        <f t="shared" si="50"/>
        <v>0</v>
      </c>
      <c r="ED45" s="108">
        <f t="shared" si="50"/>
        <v>0</v>
      </c>
      <c r="EE45" s="108">
        <f t="shared" si="50"/>
        <v>0</v>
      </c>
      <c r="EF45" s="108">
        <f t="shared" si="50"/>
        <v>0</v>
      </c>
      <c r="EG45" s="108">
        <f>$B$45*SUM(EG21,EG41)</f>
        <v>0</v>
      </c>
      <c r="EH45" s="108">
        <f>$B$45*SUM(EH21,EH41)</f>
        <v>0</v>
      </c>
      <c r="EI45" s="109">
        <f>$B$45*SUM(EI21,EI41)</f>
        <v>0</v>
      </c>
    </row>
    <row r="47" spans="1:139" x14ac:dyDescent="0.25">
      <c r="B47" s="2" t="s">
        <v>149</v>
      </c>
      <c r="C47" s="43"/>
      <c r="D47" s="43"/>
      <c r="E47" s="43"/>
      <c r="F47" s="43"/>
      <c r="G47" s="3"/>
      <c r="EI47" s="1">
        <v>0</v>
      </c>
    </row>
    <row r="48" spans="1:139" x14ac:dyDescent="0.25">
      <c r="A48" s="2" t="s">
        <v>32</v>
      </c>
      <c r="B48" s="102" t="s">
        <v>21</v>
      </c>
      <c r="C48" s="90" t="s">
        <v>15</v>
      </c>
      <c r="D48" s="90" t="s">
        <v>139</v>
      </c>
      <c r="E48" s="90" t="s">
        <v>140</v>
      </c>
      <c r="F48" s="90" t="s">
        <v>141</v>
      </c>
      <c r="G48" s="91" t="s">
        <v>142</v>
      </c>
    </row>
    <row r="49" spans="1:139" x14ac:dyDescent="0.25">
      <c r="A49" s="110" t="str">
        <f>IF(ABS(SUM(H49:EI49)-C49)&lt;0.0001,"OK","ERROR")</f>
        <v>OK</v>
      </c>
      <c r="B49" s="14" t="s">
        <v>150</v>
      </c>
      <c r="C49" s="36">
        <f>SUM(C21,C41,C45)</f>
        <v>7013675000</v>
      </c>
      <c r="D49" s="36">
        <f>SUM(D21,D41,D45)</f>
        <v>20039071.428571429</v>
      </c>
      <c r="E49" s="113">
        <f>E45</f>
        <v>2</v>
      </c>
      <c r="F49" s="113">
        <f>F45</f>
        <v>12</v>
      </c>
      <c r="G49" s="105">
        <f>F49-E49+1</f>
        <v>11</v>
      </c>
      <c r="H49" s="107">
        <f>SUM(H21,H41,H45)</f>
        <v>0</v>
      </c>
      <c r="I49" s="108">
        <f t="shared" ref="I49:BT49" si="51">SUM(I21,I41,I45)</f>
        <v>766004545.4545455</v>
      </c>
      <c r="J49" s="108">
        <f t="shared" si="51"/>
        <v>952254545.4545455</v>
      </c>
      <c r="K49" s="108">
        <f t="shared" si="51"/>
        <v>1057429545.4545455</v>
      </c>
      <c r="L49" s="108">
        <f t="shared" si="51"/>
        <v>1057429545.4545455</v>
      </c>
      <c r="M49" s="108">
        <f t="shared" si="51"/>
        <v>1059304545.4545455</v>
      </c>
      <c r="N49" s="108">
        <f t="shared" si="51"/>
        <v>1059304545.4545455</v>
      </c>
      <c r="O49" s="108">
        <f t="shared" si="51"/>
        <v>899304545.4545455</v>
      </c>
      <c r="P49" s="108">
        <f t="shared" si="51"/>
        <v>75379545.454545453</v>
      </c>
      <c r="Q49" s="108">
        <f t="shared" si="51"/>
        <v>29087878.787878789</v>
      </c>
      <c r="R49" s="108">
        <f t="shared" si="51"/>
        <v>29087878.787878789</v>
      </c>
      <c r="S49" s="108">
        <f t="shared" si="51"/>
        <v>29087878.787878789</v>
      </c>
      <c r="T49" s="108">
        <f t="shared" si="51"/>
        <v>0</v>
      </c>
      <c r="U49" s="108">
        <f t="shared" si="51"/>
        <v>0</v>
      </c>
      <c r="V49" s="108">
        <f t="shared" si="51"/>
        <v>0</v>
      </c>
      <c r="W49" s="108">
        <f t="shared" si="51"/>
        <v>0</v>
      </c>
      <c r="X49" s="108">
        <f t="shared" si="51"/>
        <v>0</v>
      </c>
      <c r="Y49" s="108">
        <f t="shared" si="51"/>
        <v>0</v>
      </c>
      <c r="Z49" s="108">
        <f t="shared" si="51"/>
        <v>0</v>
      </c>
      <c r="AA49" s="108">
        <f t="shared" si="51"/>
        <v>0</v>
      </c>
      <c r="AB49" s="108">
        <f t="shared" si="51"/>
        <v>0</v>
      </c>
      <c r="AC49" s="108">
        <f t="shared" si="51"/>
        <v>0</v>
      </c>
      <c r="AD49" s="108">
        <f t="shared" si="51"/>
        <v>0</v>
      </c>
      <c r="AE49" s="108">
        <f t="shared" si="51"/>
        <v>0</v>
      </c>
      <c r="AF49" s="108">
        <f t="shared" si="51"/>
        <v>0</v>
      </c>
      <c r="AG49" s="108">
        <f t="shared" si="51"/>
        <v>0</v>
      </c>
      <c r="AH49" s="108">
        <f t="shared" si="51"/>
        <v>0</v>
      </c>
      <c r="AI49" s="108">
        <f t="shared" si="51"/>
        <v>0</v>
      </c>
      <c r="AJ49" s="108">
        <f t="shared" si="51"/>
        <v>0</v>
      </c>
      <c r="AK49" s="108">
        <f t="shared" si="51"/>
        <v>0</v>
      </c>
      <c r="AL49" s="108">
        <f t="shared" si="51"/>
        <v>0</v>
      </c>
      <c r="AM49" s="108">
        <f t="shared" si="51"/>
        <v>0</v>
      </c>
      <c r="AN49" s="108">
        <f t="shared" si="51"/>
        <v>0</v>
      </c>
      <c r="AO49" s="108">
        <f t="shared" si="51"/>
        <v>0</v>
      </c>
      <c r="AP49" s="108">
        <f t="shared" si="51"/>
        <v>0</v>
      </c>
      <c r="AQ49" s="108">
        <f t="shared" si="51"/>
        <v>0</v>
      </c>
      <c r="AR49" s="108">
        <f t="shared" si="51"/>
        <v>0</v>
      </c>
      <c r="AS49" s="108">
        <f t="shared" si="51"/>
        <v>0</v>
      </c>
      <c r="AT49" s="108">
        <f t="shared" si="51"/>
        <v>0</v>
      </c>
      <c r="AU49" s="108">
        <f t="shared" si="51"/>
        <v>0</v>
      </c>
      <c r="AV49" s="108">
        <f t="shared" si="51"/>
        <v>0</v>
      </c>
      <c r="AW49" s="108">
        <f t="shared" si="51"/>
        <v>0</v>
      </c>
      <c r="AX49" s="108">
        <f t="shared" si="51"/>
        <v>0</v>
      </c>
      <c r="AY49" s="108">
        <f t="shared" si="51"/>
        <v>0</v>
      </c>
      <c r="AZ49" s="108">
        <f t="shared" si="51"/>
        <v>0</v>
      </c>
      <c r="BA49" s="108">
        <f t="shared" si="51"/>
        <v>0</v>
      </c>
      <c r="BB49" s="108">
        <f t="shared" si="51"/>
        <v>0</v>
      </c>
      <c r="BC49" s="108">
        <f t="shared" si="51"/>
        <v>0</v>
      </c>
      <c r="BD49" s="108">
        <f t="shared" si="51"/>
        <v>0</v>
      </c>
      <c r="BE49" s="108">
        <f t="shared" si="51"/>
        <v>0</v>
      </c>
      <c r="BF49" s="108">
        <f t="shared" si="51"/>
        <v>0</v>
      </c>
      <c r="BG49" s="108">
        <f t="shared" si="51"/>
        <v>0</v>
      </c>
      <c r="BH49" s="108">
        <f t="shared" si="51"/>
        <v>0</v>
      </c>
      <c r="BI49" s="108">
        <f t="shared" si="51"/>
        <v>0</v>
      </c>
      <c r="BJ49" s="108">
        <f t="shared" si="51"/>
        <v>0</v>
      </c>
      <c r="BK49" s="108">
        <f t="shared" si="51"/>
        <v>0</v>
      </c>
      <c r="BL49" s="108">
        <f t="shared" si="51"/>
        <v>0</v>
      </c>
      <c r="BM49" s="108">
        <f t="shared" si="51"/>
        <v>0</v>
      </c>
      <c r="BN49" s="108">
        <f t="shared" si="51"/>
        <v>0</v>
      </c>
      <c r="BO49" s="108">
        <f t="shared" si="51"/>
        <v>0</v>
      </c>
      <c r="BP49" s="108">
        <f t="shared" si="51"/>
        <v>0</v>
      </c>
      <c r="BQ49" s="108">
        <f t="shared" si="51"/>
        <v>0</v>
      </c>
      <c r="BR49" s="108">
        <f t="shared" si="51"/>
        <v>0</v>
      </c>
      <c r="BS49" s="108">
        <f t="shared" si="51"/>
        <v>0</v>
      </c>
      <c r="BT49" s="108">
        <f t="shared" si="51"/>
        <v>0</v>
      </c>
      <c r="BU49" s="108">
        <f t="shared" ref="BU49:EF49" si="52">SUM(BU21,BU41,BU45)</f>
        <v>0</v>
      </c>
      <c r="BV49" s="108">
        <f t="shared" si="52"/>
        <v>0</v>
      </c>
      <c r="BW49" s="108">
        <f t="shared" si="52"/>
        <v>0</v>
      </c>
      <c r="BX49" s="108">
        <f t="shared" si="52"/>
        <v>0</v>
      </c>
      <c r="BY49" s="108">
        <f t="shared" si="52"/>
        <v>0</v>
      </c>
      <c r="BZ49" s="108">
        <f t="shared" si="52"/>
        <v>0</v>
      </c>
      <c r="CA49" s="108">
        <f t="shared" si="52"/>
        <v>0</v>
      </c>
      <c r="CB49" s="108">
        <f t="shared" si="52"/>
        <v>0</v>
      </c>
      <c r="CC49" s="108">
        <f t="shared" si="52"/>
        <v>0</v>
      </c>
      <c r="CD49" s="108">
        <f t="shared" si="52"/>
        <v>0</v>
      </c>
      <c r="CE49" s="108">
        <f t="shared" si="52"/>
        <v>0</v>
      </c>
      <c r="CF49" s="108">
        <f t="shared" si="52"/>
        <v>0</v>
      </c>
      <c r="CG49" s="108">
        <f t="shared" si="52"/>
        <v>0</v>
      </c>
      <c r="CH49" s="108">
        <f t="shared" si="52"/>
        <v>0</v>
      </c>
      <c r="CI49" s="108">
        <f t="shared" si="52"/>
        <v>0</v>
      </c>
      <c r="CJ49" s="108">
        <f t="shared" si="52"/>
        <v>0</v>
      </c>
      <c r="CK49" s="108">
        <f t="shared" si="52"/>
        <v>0</v>
      </c>
      <c r="CL49" s="108">
        <f t="shared" si="52"/>
        <v>0</v>
      </c>
      <c r="CM49" s="108">
        <f t="shared" si="52"/>
        <v>0</v>
      </c>
      <c r="CN49" s="108">
        <f t="shared" si="52"/>
        <v>0</v>
      </c>
      <c r="CO49" s="108">
        <f t="shared" si="52"/>
        <v>0</v>
      </c>
      <c r="CP49" s="108">
        <f t="shared" si="52"/>
        <v>0</v>
      </c>
      <c r="CQ49" s="108">
        <f t="shared" si="52"/>
        <v>0</v>
      </c>
      <c r="CR49" s="108">
        <f t="shared" si="52"/>
        <v>0</v>
      </c>
      <c r="CS49" s="108">
        <f t="shared" si="52"/>
        <v>0</v>
      </c>
      <c r="CT49" s="108">
        <f t="shared" si="52"/>
        <v>0</v>
      </c>
      <c r="CU49" s="108">
        <f t="shared" si="52"/>
        <v>0</v>
      </c>
      <c r="CV49" s="108">
        <f t="shared" si="52"/>
        <v>0</v>
      </c>
      <c r="CW49" s="108">
        <f t="shared" si="52"/>
        <v>0</v>
      </c>
      <c r="CX49" s="108">
        <f t="shared" si="52"/>
        <v>0</v>
      </c>
      <c r="CY49" s="108">
        <f t="shared" si="52"/>
        <v>0</v>
      </c>
      <c r="CZ49" s="108">
        <f t="shared" si="52"/>
        <v>0</v>
      </c>
      <c r="DA49" s="108">
        <f t="shared" si="52"/>
        <v>0</v>
      </c>
      <c r="DB49" s="108">
        <f t="shared" si="52"/>
        <v>0</v>
      </c>
      <c r="DC49" s="108">
        <f t="shared" si="52"/>
        <v>0</v>
      </c>
      <c r="DD49" s="108">
        <f t="shared" si="52"/>
        <v>0</v>
      </c>
      <c r="DE49" s="108">
        <f t="shared" si="52"/>
        <v>0</v>
      </c>
      <c r="DF49" s="108">
        <f t="shared" si="52"/>
        <v>0</v>
      </c>
      <c r="DG49" s="108">
        <f t="shared" si="52"/>
        <v>0</v>
      </c>
      <c r="DH49" s="108">
        <f t="shared" si="52"/>
        <v>0</v>
      </c>
      <c r="DI49" s="108">
        <f t="shared" si="52"/>
        <v>0</v>
      </c>
      <c r="DJ49" s="108">
        <f t="shared" si="52"/>
        <v>0</v>
      </c>
      <c r="DK49" s="108">
        <f t="shared" si="52"/>
        <v>0</v>
      </c>
      <c r="DL49" s="108">
        <f t="shared" si="52"/>
        <v>0</v>
      </c>
      <c r="DM49" s="108">
        <f t="shared" si="52"/>
        <v>0</v>
      </c>
      <c r="DN49" s="108">
        <f t="shared" si="52"/>
        <v>0</v>
      </c>
      <c r="DO49" s="108">
        <f t="shared" si="52"/>
        <v>0</v>
      </c>
      <c r="DP49" s="108">
        <f t="shared" si="52"/>
        <v>0</v>
      </c>
      <c r="DQ49" s="108">
        <f t="shared" si="52"/>
        <v>0</v>
      </c>
      <c r="DR49" s="108">
        <f t="shared" si="52"/>
        <v>0</v>
      </c>
      <c r="DS49" s="108">
        <f t="shared" si="52"/>
        <v>0</v>
      </c>
      <c r="DT49" s="108">
        <f t="shared" si="52"/>
        <v>0</v>
      </c>
      <c r="DU49" s="108">
        <f t="shared" si="52"/>
        <v>0</v>
      </c>
      <c r="DV49" s="108">
        <f t="shared" si="52"/>
        <v>0</v>
      </c>
      <c r="DW49" s="108">
        <f t="shared" si="52"/>
        <v>0</v>
      </c>
      <c r="DX49" s="108">
        <f t="shared" si="52"/>
        <v>0</v>
      </c>
      <c r="DY49" s="108">
        <f t="shared" si="52"/>
        <v>0</v>
      </c>
      <c r="DZ49" s="108">
        <f t="shared" si="52"/>
        <v>0</v>
      </c>
      <c r="EA49" s="108">
        <f t="shared" si="52"/>
        <v>0</v>
      </c>
      <c r="EB49" s="108">
        <f t="shared" si="52"/>
        <v>0</v>
      </c>
      <c r="EC49" s="108">
        <f t="shared" si="52"/>
        <v>0</v>
      </c>
      <c r="ED49" s="108">
        <f t="shared" si="52"/>
        <v>0</v>
      </c>
      <c r="EE49" s="108">
        <f t="shared" si="52"/>
        <v>0</v>
      </c>
      <c r="EF49" s="108">
        <f t="shared" si="52"/>
        <v>0</v>
      </c>
      <c r="EG49" s="108">
        <f>SUM(EG21,EG41,EG45)</f>
        <v>0</v>
      </c>
      <c r="EH49" s="108">
        <f>SUM(EH21,EH41,EH45)</f>
        <v>0</v>
      </c>
      <c r="EI49" s="109">
        <f>SUM(EI21,EI41,EI45)</f>
        <v>0</v>
      </c>
    </row>
  </sheetData>
  <conditionalFormatting sqref="A5:A21">
    <cfRule type="containsText" dxfId="13" priority="7" operator="containsText" text="ERROR">
      <formula>NOT(ISERROR(SEARCH("ERROR",A5)))</formula>
    </cfRule>
    <cfRule type="containsText" dxfId="12" priority="8" operator="containsText" text="OK">
      <formula>NOT(ISERROR(SEARCH("OK",A5)))</formula>
    </cfRule>
  </conditionalFormatting>
  <conditionalFormatting sqref="A25:A41">
    <cfRule type="containsText" dxfId="11" priority="5" operator="containsText" text="ERROR">
      <formula>NOT(ISERROR(SEARCH("ERROR",A25)))</formula>
    </cfRule>
    <cfRule type="containsText" dxfId="10" priority="6" operator="containsText" text="OK">
      <formula>NOT(ISERROR(SEARCH("OK",A25)))</formula>
    </cfRule>
  </conditionalFormatting>
  <conditionalFormatting sqref="A45">
    <cfRule type="containsText" dxfId="9" priority="3" operator="containsText" text="ERROR">
      <formula>NOT(ISERROR(SEARCH("ERROR",A45)))</formula>
    </cfRule>
    <cfRule type="containsText" dxfId="8" priority="4" operator="containsText" text="OK">
      <formula>NOT(ISERROR(SEARCH("OK",A45)))</formula>
    </cfRule>
  </conditionalFormatting>
  <conditionalFormatting sqref="A49">
    <cfRule type="containsText" dxfId="7" priority="1" operator="containsText" text="ERROR">
      <formula>NOT(ISERROR(SEARCH("ERROR",A49)))</formula>
    </cfRule>
    <cfRule type="containsText" dxfId="6" priority="2" operator="containsText" text="OK">
      <formula>NOT(ISERROR(SEARCH("OK",A49)))</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DADB7-C00E-47FE-BED6-02317854C803}">
  <dimension ref="A1:ED19"/>
  <sheetViews>
    <sheetView showGridLines="0" zoomScale="115" zoomScaleNormal="115" workbookViewId="0">
      <selection activeCell="C1" sqref="C1"/>
    </sheetView>
  </sheetViews>
  <sheetFormatPr baseColWidth="10" defaultColWidth="8.85546875" defaultRowHeight="13.5" x14ac:dyDescent="0.25"/>
  <cols>
    <col min="1" max="1" width="18.42578125" style="1" bestFit="1" customWidth="1"/>
    <col min="2" max="2" width="17.42578125" style="1" bestFit="1" customWidth="1"/>
    <col min="3" max="61" width="20.5703125" style="1" bestFit="1" customWidth="1"/>
    <col min="62" max="62" width="18.42578125" style="1" bestFit="1" customWidth="1"/>
    <col min="63" max="134" width="11.85546875" style="1" bestFit="1" customWidth="1"/>
    <col min="135" max="16384" width="8.85546875" style="1"/>
  </cols>
  <sheetData>
    <row r="1" spans="1:134" x14ac:dyDescent="0.25">
      <c r="A1" s="128" t="s">
        <v>32</v>
      </c>
      <c r="B1" s="114" t="s">
        <v>145</v>
      </c>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6">
        <v>0</v>
      </c>
    </row>
    <row r="2" spans="1:134" x14ac:dyDescent="0.25">
      <c r="A2" s="110" t="str">
        <f>IF(ABS(A6-A8-A4)&lt;0.0001,"OK","ERROR")</f>
        <v>OK</v>
      </c>
      <c r="B2" s="117" t="s">
        <v>143</v>
      </c>
      <c r="C2" s="118">
        <v>1</v>
      </c>
      <c r="D2" s="118">
        <f>C2+1</f>
        <v>2</v>
      </c>
      <c r="E2" s="118">
        <f t="shared" ref="E2:BP2" si="0">D2+1</f>
        <v>3</v>
      </c>
      <c r="F2" s="118">
        <f t="shared" si="0"/>
        <v>4</v>
      </c>
      <c r="G2" s="118">
        <f t="shared" si="0"/>
        <v>5</v>
      </c>
      <c r="H2" s="118">
        <f t="shared" si="0"/>
        <v>6</v>
      </c>
      <c r="I2" s="118">
        <f t="shared" si="0"/>
        <v>7</v>
      </c>
      <c r="J2" s="118">
        <f t="shared" si="0"/>
        <v>8</v>
      </c>
      <c r="K2" s="118">
        <f t="shared" si="0"/>
        <v>9</v>
      </c>
      <c r="L2" s="118">
        <f t="shared" si="0"/>
        <v>10</v>
      </c>
      <c r="M2" s="118">
        <f t="shared" si="0"/>
        <v>11</v>
      </c>
      <c r="N2" s="118">
        <f t="shared" si="0"/>
        <v>12</v>
      </c>
      <c r="O2" s="118">
        <f t="shared" si="0"/>
        <v>13</v>
      </c>
      <c r="P2" s="118">
        <f t="shared" si="0"/>
        <v>14</v>
      </c>
      <c r="Q2" s="118">
        <f t="shared" si="0"/>
        <v>15</v>
      </c>
      <c r="R2" s="118">
        <f t="shared" si="0"/>
        <v>16</v>
      </c>
      <c r="S2" s="118">
        <f t="shared" si="0"/>
        <v>17</v>
      </c>
      <c r="T2" s="118">
        <f t="shared" si="0"/>
        <v>18</v>
      </c>
      <c r="U2" s="118">
        <f t="shared" si="0"/>
        <v>19</v>
      </c>
      <c r="V2" s="118">
        <f t="shared" si="0"/>
        <v>20</v>
      </c>
      <c r="W2" s="118">
        <f t="shared" si="0"/>
        <v>21</v>
      </c>
      <c r="X2" s="118">
        <f t="shared" si="0"/>
        <v>22</v>
      </c>
      <c r="Y2" s="118">
        <f t="shared" si="0"/>
        <v>23</v>
      </c>
      <c r="Z2" s="118">
        <f t="shared" si="0"/>
        <v>24</v>
      </c>
      <c r="AA2" s="118">
        <f t="shared" si="0"/>
        <v>25</v>
      </c>
      <c r="AB2" s="118">
        <f t="shared" si="0"/>
        <v>26</v>
      </c>
      <c r="AC2" s="118">
        <f t="shared" si="0"/>
        <v>27</v>
      </c>
      <c r="AD2" s="118">
        <f t="shared" si="0"/>
        <v>28</v>
      </c>
      <c r="AE2" s="118">
        <f t="shared" si="0"/>
        <v>29</v>
      </c>
      <c r="AF2" s="118">
        <f t="shared" si="0"/>
        <v>30</v>
      </c>
      <c r="AG2" s="118">
        <f t="shared" si="0"/>
        <v>31</v>
      </c>
      <c r="AH2" s="118">
        <f t="shared" si="0"/>
        <v>32</v>
      </c>
      <c r="AI2" s="118">
        <f t="shared" si="0"/>
        <v>33</v>
      </c>
      <c r="AJ2" s="118">
        <f t="shared" si="0"/>
        <v>34</v>
      </c>
      <c r="AK2" s="118">
        <f t="shared" si="0"/>
        <v>35</v>
      </c>
      <c r="AL2" s="118">
        <f t="shared" si="0"/>
        <v>36</v>
      </c>
      <c r="AM2" s="118">
        <f t="shared" si="0"/>
        <v>37</v>
      </c>
      <c r="AN2" s="118">
        <f t="shared" si="0"/>
        <v>38</v>
      </c>
      <c r="AO2" s="118">
        <f t="shared" si="0"/>
        <v>39</v>
      </c>
      <c r="AP2" s="118">
        <f t="shared" si="0"/>
        <v>40</v>
      </c>
      <c r="AQ2" s="118">
        <f t="shared" si="0"/>
        <v>41</v>
      </c>
      <c r="AR2" s="118">
        <f t="shared" si="0"/>
        <v>42</v>
      </c>
      <c r="AS2" s="118">
        <f t="shared" si="0"/>
        <v>43</v>
      </c>
      <c r="AT2" s="118">
        <f t="shared" si="0"/>
        <v>44</v>
      </c>
      <c r="AU2" s="118">
        <f t="shared" si="0"/>
        <v>45</v>
      </c>
      <c r="AV2" s="118">
        <f t="shared" si="0"/>
        <v>46</v>
      </c>
      <c r="AW2" s="118">
        <f t="shared" si="0"/>
        <v>47</v>
      </c>
      <c r="AX2" s="118">
        <f t="shared" si="0"/>
        <v>48</v>
      </c>
      <c r="AY2" s="118">
        <f t="shared" si="0"/>
        <v>49</v>
      </c>
      <c r="AZ2" s="118">
        <f t="shared" si="0"/>
        <v>50</v>
      </c>
      <c r="BA2" s="118">
        <f t="shared" si="0"/>
        <v>51</v>
      </c>
      <c r="BB2" s="118">
        <f t="shared" si="0"/>
        <v>52</v>
      </c>
      <c r="BC2" s="118">
        <f t="shared" si="0"/>
        <v>53</v>
      </c>
      <c r="BD2" s="118">
        <f t="shared" si="0"/>
        <v>54</v>
      </c>
      <c r="BE2" s="118">
        <f t="shared" si="0"/>
        <v>55</v>
      </c>
      <c r="BF2" s="118">
        <f t="shared" si="0"/>
        <v>56</v>
      </c>
      <c r="BG2" s="118">
        <f t="shared" si="0"/>
        <v>57</v>
      </c>
      <c r="BH2" s="118">
        <f t="shared" si="0"/>
        <v>58</v>
      </c>
      <c r="BI2" s="118">
        <f t="shared" si="0"/>
        <v>59</v>
      </c>
      <c r="BJ2" s="118">
        <f t="shared" si="0"/>
        <v>60</v>
      </c>
      <c r="BK2" s="118">
        <f t="shared" si="0"/>
        <v>61</v>
      </c>
      <c r="BL2" s="118">
        <f t="shared" si="0"/>
        <v>62</v>
      </c>
      <c r="BM2" s="118">
        <f t="shared" si="0"/>
        <v>63</v>
      </c>
      <c r="BN2" s="118">
        <f t="shared" si="0"/>
        <v>64</v>
      </c>
      <c r="BO2" s="118">
        <f t="shared" si="0"/>
        <v>65</v>
      </c>
      <c r="BP2" s="118">
        <f t="shared" si="0"/>
        <v>66</v>
      </c>
      <c r="BQ2" s="118">
        <f t="shared" ref="BQ2:EB2" si="1">BP2+1</f>
        <v>67</v>
      </c>
      <c r="BR2" s="118">
        <f t="shared" si="1"/>
        <v>68</v>
      </c>
      <c r="BS2" s="118">
        <f t="shared" si="1"/>
        <v>69</v>
      </c>
      <c r="BT2" s="118">
        <f t="shared" si="1"/>
        <v>70</v>
      </c>
      <c r="BU2" s="118">
        <f t="shared" si="1"/>
        <v>71</v>
      </c>
      <c r="BV2" s="118">
        <f t="shared" si="1"/>
        <v>72</v>
      </c>
      <c r="BW2" s="118">
        <f t="shared" si="1"/>
        <v>73</v>
      </c>
      <c r="BX2" s="118">
        <f t="shared" si="1"/>
        <v>74</v>
      </c>
      <c r="BY2" s="118">
        <f t="shared" si="1"/>
        <v>75</v>
      </c>
      <c r="BZ2" s="118">
        <f t="shared" si="1"/>
        <v>76</v>
      </c>
      <c r="CA2" s="118">
        <f t="shared" si="1"/>
        <v>77</v>
      </c>
      <c r="CB2" s="118">
        <f t="shared" si="1"/>
        <v>78</v>
      </c>
      <c r="CC2" s="118">
        <f t="shared" si="1"/>
        <v>79</v>
      </c>
      <c r="CD2" s="118">
        <f t="shared" si="1"/>
        <v>80</v>
      </c>
      <c r="CE2" s="118">
        <f t="shared" si="1"/>
        <v>81</v>
      </c>
      <c r="CF2" s="118">
        <f t="shared" si="1"/>
        <v>82</v>
      </c>
      <c r="CG2" s="118">
        <f t="shared" si="1"/>
        <v>83</v>
      </c>
      <c r="CH2" s="118">
        <f t="shared" si="1"/>
        <v>84</v>
      </c>
      <c r="CI2" s="118">
        <f t="shared" si="1"/>
        <v>85</v>
      </c>
      <c r="CJ2" s="118">
        <f t="shared" si="1"/>
        <v>86</v>
      </c>
      <c r="CK2" s="118">
        <f t="shared" si="1"/>
        <v>87</v>
      </c>
      <c r="CL2" s="118">
        <f t="shared" si="1"/>
        <v>88</v>
      </c>
      <c r="CM2" s="118">
        <f t="shared" si="1"/>
        <v>89</v>
      </c>
      <c r="CN2" s="118">
        <f t="shared" si="1"/>
        <v>90</v>
      </c>
      <c r="CO2" s="118">
        <f t="shared" si="1"/>
        <v>91</v>
      </c>
      <c r="CP2" s="118">
        <f t="shared" si="1"/>
        <v>92</v>
      </c>
      <c r="CQ2" s="118">
        <f t="shared" si="1"/>
        <v>93</v>
      </c>
      <c r="CR2" s="118">
        <f t="shared" si="1"/>
        <v>94</v>
      </c>
      <c r="CS2" s="118">
        <f t="shared" si="1"/>
        <v>95</v>
      </c>
      <c r="CT2" s="118">
        <f t="shared" si="1"/>
        <v>96</v>
      </c>
      <c r="CU2" s="118">
        <f t="shared" si="1"/>
        <v>97</v>
      </c>
      <c r="CV2" s="118">
        <f t="shared" si="1"/>
        <v>98</v>
      </c>
      <c r="CW2" s="118">
        <f t="shared" si="1"/>
        <v>99</v>
      </c>
      <c r="CX2" s="118">
        <f t="shared" si="1"/>
        <v>100</v>
      </c>
      <c r="CY2" s="118">
        <f t="shared" si="1"/>
        <v>101</v>
      </c>
      <c r="CZ2" s="118">
        <f t="shared" si="1"/>
        <v>102</v>
      </c>
      <c r="DA2" s="118">
        <f t="shared" si="1"/>
        <v>103</v>
      </c>
      <c r="DB2" s="118">
        <f t="shared" si="1"/>
        <v>104</v>
      </c>
      <c r="DC2" s="118">
        <f t="shared" si="1"/>
        <v>105</v>
      </c>
      <c r="DD2" s="118">
        <f t="shared" si="1"/>
        <v>106</v>
      </c>
      <c r="DE2" s="118">
        <f t="shared" si="1"/>
        <v>107</v>
      </c>
      <c r="DF2" s="118">
        <f t="shared" si="1"/>
        <v>108</v>
      </c>
      <c r="DG2" s="118">
        <f t="shared" si="1"/>
        <v>109</v>
      </c>
      <c r="DH2" s="118">
        <f t="shared" si="1"/>
        <v>110</v>
      </c>
      <c r="DI2" s="118">
        <f t="shared" si="1"/>
        <v>111</v>
      </c>
      <c r="DJ2" s="118">
        <f t="shared" si="1"/>
        <v>112</v>
      </c>
      <c r="DK2" s="118">
        <f t="shared" si="1"/>
        <v>113</v>
      </c>
      <c r="DL2" s="118">
        <f t="shared" si="1"/>
        <v>114</v>
      </c>
      <c r="DM2" s="118">
        <f t="shared" si="1"/>
        <v>115</v>
      </c>
      <c r="DN2" s="118">
        <f t="shared" si="1"/>
        <v>116</v>
      </c>
      <c r="DO2" s="118">
        <f t="shared" si="1"/>
        <v>117</v>
      </c>
      <c r="DP2" s="118">
        <f t="shared" si="1"/>
        <v>118</v>
      </c>
      <c r="DQ2" s="118">
        <f t="shared" si="1"/>
        <v>119</v>
      </c>
      <c r="DR2" s="118">
        <f t="shared" si="1"/>
        <v>120</v>
      </c>
      <c r="DS2" s="118">
        <f t="shared" si="1"/>
        <v>121</v>
      </c>
      <c r="DT2" s="118">
        <f t="shared" si="1"/>
        <v>122</v>
      </c>
      <c r="DU2" s="118">
        <f t="shared" si="1"/>
        <v>123</v>
      </c>
      <c r="DV2" s="118">
        <f t="shared" si="1"/>
        <v>124</v>
      </c>
      <c r="DW2" s="118">
        <f t="shared" si="1"/>
        <v>125</v>
      </c>
      <c r="DX2" s="118">
        <f t="shared" si="1"/>
        <v>126</v>
      </c>
      <c r="DY2" s="118">
        <f t="shared" si="1"/>
        <v>127</v>
      </c>
      <c r="DZ2" s="118">
        <f t="shared" si="1"/>
        <v>128</v>
      </c>
      <c r="EA2" s="118">
        <f t="shared" si="1"/>
        <v>129</v>
      </c>
      <c r="EB2" s="118">
        <f t="shared" si="1"/>
        <v>130</v>
      </c>
      <c r="EC2" s="118">
        <f>EB2+1</f>
        <v>131</v>
      </c>
      <c r="ED2" s="119">
        <f>EC2+1</f>
        <v>132</v>
      </c>
    </row>
    <row r="3" spans="1:134" x14ac:dyDescent="0.25">
      <c r="B3" s="120" t="s">
        <v>144</v>
      </c>
      <c r="C3" s="121">
        <f>EOMONTH(Resumen!B26,1)</f>
        <v>44255</v>
      </c>
      <c r="D3" s="121">
        <f>EOMONTH(C3,1)</f>
        <v>44286</v>
      </c>
      <c r="E3" s="121">
        <f t="shared" ref="E3:BP3" si="2">EOMONTH(D3,1)</f>
        <v>44316</v>
      </c>
      <c r="F3" s="121">
        <f t="shared" si="2"/>
        <v>44347</v>
      </c>
      <c r="G3" s="121">
        <f t="shared" si="2"/>
        <v>44377</v>
      </c>
      <c r="H3" s="121">
        <f t="shared" si="2"/>
        <v>44408</v>
      </c>
      <c r="I3" s="121">
        <f t="shared" si="2"/>
        <v>44439</v>
      </c>
      <c r="J3" s="121">
        <f t="shared" si="2"/>
        <v>44469</v>
      </c>
      <c r="K3" s="121">
        <f t="shared" si="2"/>
        <v>44500</v>
      </c>
      <c r="L3" s="121">
        <f t="shared" si="2"/>
        <v>44530</v>
      </c>
      <c r="M3" s="121">
        <f t="shared" si="2"/>
        <v>44561</v>
      </c>
      <c r="N3" s="121">
        <f t="shared" si="2"/>
        <v>44592</v>
      </c>
      <c r="O3" s="121">
        <f t="shared" si="2"/>
        <v>44620</v>
      </c>
      <c r="P3" s="121">
        <f t="shared" si="2"/>
        <v>44651</v>
      </c>
      <c r="Q3" s="121">
        <f t="shared" si="2"/>
        <v>44681</v>
      </c>
      <c r="R3" s="121">
        <f t="shared" si="2"/>
        <v>44712</v>
      </c>
      <c r="S3" s="121">
        <f t="shared" si="2"/>
        <v>44742</v>
      </c>
      <c r="T3" s="121">
        <f t="shared" si="2"/>
        <v>44773</v>
      </c>
      <c r="U3" s="121">
        <f t="shared" si="2"/>
        <v>44804</v>
      </c>
      <c r="V3" s="121">
        <f t="shared" si="2"/>
        <v>44834</v>
      </c>
      <c r="W3" s="121">
        <f t="shared" si="2"/>
        <v>44865</v>
      </c>
      <c r="X3" s="121">
        <f t="shared" si="2"/>
        <v>44895</v>
      </c>
      <c r="Y3" s="121">
        <f t="shared" si="2"/>
        <v>44926</v>
      </c>
      <c r="Z3" s="121">
        <f t="shared" si="2"/>
        <v>44957</v>
      </c>
      <c r="AA3" s="121">
        <f t="shared" si="2"/>
        <v>44985</v>
      </c>
      <c r="AB3" s="121">
        <f t="shared" si="2"/>
        <v>45016</v>
      </c>
      <c r="AC3" s="121">
        <f t="shared" si="2"/>
        <v>45046</v>
      </c>
      <c r="AD3" s="121">
        <f t="shared" si="2"/>
        <v>45077</v>
      </c>
      <c r="AE3" s="121">
        <f t="shared" si="2"/>
        <v>45107</v>
      </c>
      <c r="AF3" s="121">
        <f t="shared" si="2"/>
        <v>45138</v>
      </c>
      <c r="AG3" s="121">
        <f t="shared" si="2"/>
        <v>45169</v>
      </c>
      <c r="AH3" s="121">
        <f t="shared" si="2"/>
        <v>45199</v>
      </c>
      <c r="AI3" s="121">
        <f t="shared" si="2"/>
        <v>45230</v>
      </c>
      <c r="AJ3" s="121">
        <f t="shared" si="2"/>
        <v>45260</v>
      </c>
      <c r="AK3" s="121">
        <f t="shared" si="2"/>
        <v>45291</v>
      </c>
      <c r="AL3" s="121">
        <f t="shared" si="2"/>
        <v>45322</v>
      </c>
      <c r="AM3" s="121">
        <f t="shared" si="2"/>
        <v>45351</v>
      </c>
      <c r="AN3" s="121">
        <f t="shared" si="2"/>
        <v>45382</v>
      </c>
      <c r="AO3" s="121">
        <f t="shared" si="2"/>
        <v>45412</v>
      </c>
      <c r="AP3" s="121">
        <f t="shared" si="2"/>
        <v>45443</v>
      </c>
      <c r="AQ3" s="121">
        <f t="shared" si="2"/>
        <v>45473</v>
      </c>
      <c r="AR3" s="121">
        <f t="shared" si="2"/>
        <v>45504</v>
      </c>
      <c r="AS3" s="121">
        <f t="shared" si="2"/>
        <v>45535</v>
      </c>
      <c r="AT3" s="121">
        <f t="shared" si="2"/>
        <v>45565</v>
      </c>
      <c r="AU3" s="121">
        <f t="shared" si="2"/>
        <v>45596</v>
      </c>
      <c r="AV3" s="121">
        <f t="shared" si="2"/>
        <v>45626</v>
      </c>
      <c r="AW3" s="121">
        <f t="shared" si="2"/>
        <v>45657</v>
      </c>
      <c r="AX3" s="121">
        <f t="shared" si="2"/>
        <v>45688</v>
      </c>
      <c r="AY3" s="121">
        <f t="shared" si="2"/>
        <v>45716</v>
      </c>
      <c r="AZ3" s="121">
        <f t="shared" si="2"/>
        <v>45747</v>
      </c>
      <c r="BA3" s="121">
        <f t="shared" si="2"/>
        <v>45777</v>
      </c>
      <c r="BB3" s="121">
        <f t="shared" si="2"/>
        <v>45808</v>
      </c>
      <c r="BC3" s="121">
        <f t="shared" si="2"/>
        <v>45838</v>
      </c>
      <c r="BD3" s="121">
        <f t="shared" si="2"/>
        <v>45869</v>
      </c>
      <c r="BE3" s="121">
        <f t="shared" si="2"/>
        <v>45900</v>
      </c>
      <c r="BF3" s="121">
        <f t="shared" si="2"/>
        <v>45930</v>
      </c>
      <c r="BG3" s="121">
        <f t="shared" si="2"/>
        <v>45961</v>
      </c>
      <c r="BH3" s="121">
        <f t="shared" si="2"/>
        <v>45991</v>
      </c>
      <c r="BI3" s="121">
        <f t="shared" si="2"/>
        <v>46022</v>
      </c>
      <c r="BJ3" s="121">
        <f t="shared" si="2"/>
        <v>46053</v>
      </c>
      <c r="BK3" s="121">
        <f t="shared" si="2"/>
        <v>46081</v>
      </c>
      <c r="BL3" s="121">
        <f t="shared" si="2"/>
        <v>46112</v>
      </c>
      <c r="BM3" s="121">
        <f t="shared" si="2"/>
        <v>46142</v>
      </c>
      <c r="BN3" s="121">
        <f t="shared" si="2"/>
        <v>46173</v>
      </c>
      <c r="BO3" s="121">
        <f t="shared" si="2"/>
        <v>46203</v>
      </c>
      <c r="BP3" s="121">
        <f t="shared" si="2"/>
        <v>46234</v>
      </c>
      <c r="BQ3" s="121">
        <f t="shared" ref="BQ3:EB3" si="3">EOMONTH(BP3,1)</f>
        <v>46265</v>
      </c>
      <c r="BR3" s="121">
        <f t="shared" si="3"/>
        <v>46295</v>
      </c>
      <c r="BS3" s="121">
        <f t="shared" si="3"/>
        <v>46326</v>
      </c>
      <c r="BT3" s="121">
        <f t="shared" si="3"/>
        <v>46356</v>
      </c>
      <c r="BU3" s="121">
        <f t="shared" si="3"/>
        <v>46387</v>
      </c>
      <c r="BV3" s="121">
        <f t="shared" si="3"/>
        <v>46418</v>
      </c>
      <c r="BW3" s="121">
        <f t="shared" si="3"/>
        <v>46446</v>
      </c>
      <c r="BX3" s="121">
        <f t="shared" si="3"/>
        <v>46477</v>
      </c>
      <c r="BY3" s="121">
        <f t="shared" si="3"/>
        <v>46507</v>
      </c>
      <c r="BZ3" s="121">
        <f t="shared" si="3"/>
        <v>46538</v>
      </c>
      <c r="CA3" s="121">
        <f t="shared" si="3"/>
        <v>46568</v>
      </c>
      <c r="CB3" s="121">
        <f t="shared" si="3"/>
        <v>46599</v>
      </c>
      <c r="CC3" s="121">
        <f t="shared" si="3"/>
        <v>46630</v>
      </c>
      <c r="CD3" s="121">
        <f t="shared" si="3"/>
        <v>46660</v>
      </c>
      <c r="CE3" s="121">
        <f t="shared" si="3"/>
        <v>46691</v>
      </c>
      <c r="CF3" s="121">
        <f t="shared" si="3"/>
        <v>46721</v>
      </c>
      <c r="CG3" s="121">
        <f t="shared" si="3"/>
        <v>46752</v>
      </c>
      <c r="CH3" s="121">
        <f t="shared" si="3"/>
        <v>46783</v>
      </c>
      <c r="CI3" s="121">
        <f t="shared" si="3"/>
        <v>46812</v>
      </c>
      <c r="CJ3" s="121">
        <f t="shared" si="3"/>
        <v>46843</v>
      </c>
      <c r="CK3" s="121">
        <f t="shared" si="3"/>
        <v>46873</v>
      </c>
      <c r="CL3" s="121">
        <f t="shared" si="3"/>
        <v>46904</v>
      </c>
      <c r="CM3" s="121">
        <f t="shared" si="3"/>
        <v>46934</v>
      </c>
      <c r="CN3" s="121">
        <f t="shared" si="3"/>
        <v>46965</v>
      </c>
      <c r="CO3" s="121">
        <f t="shared" si="3"/>
        <v>46996</v>
      </c>
      <c r="CP3" s="121">
        <f t="shared" si="3"/>
        <v>47026</v>
      </c>
      <c r="CQ3" s="121">
        <f t="shared" si="3"/>
        <v>47057</v>
      </c>
      <c r="CR3" s="121">
        <f t="shared" si="3"/>
        <v>47087</v>
      </c>
      <c r="CS3" s="121">
        <f t="shared" si="3"/>
        <v>47118</v>
      </c>
      <c r="CT3" s="121">
        <f t="shared" si="3"/>
        <v>47149</v>
      </c>
      <c r="CU3" s="121">
        <f t="shared" si="3"/>
        <v>47177</v>
      </c>
      <c r="CV3" s="121">
        <f t="shared" si="3"/>
        <v>47208</v>
      </c>
      <c r="CW3" s="121">
        <f t="shared" si="3"/>
        <v>47238</v>
      </c>
      <c r="CX3" s="121">
        <f t="shared" si="3"/>
        <v>47269</v>
      </c>
      <c r="CY3" s="121">
        <f t="shared" si="3"/>
        <v>47299</v>
      </c>
      <c r="CZ3" s="121">
        <f t="shared" si="3"/>
        <v>47330</v>
      </c>
      <c r="DA3" s="121">
        <f t="shared" si="3"/>
        <v>47361</v>
      </c>
      <c r="DB3" s="121">
        <f t="shared" si="3"/>
        <v>47391</v>
      </c>
      <c r="DC3" s="121">
        <f t="shared" si="3"/>
        <v>47422</v>
      </c>
      <c r="DD3" s="121">
        <f t="shared" si="3"/>
        <v>47452</v>
      </c>
      <c r="DE3" s="121">
        <f t="shared" si="3"/>
        <v>47483</v>
      </c>
      <c r="DF3" s="121">
        <f t="shared" si="3"/>
        <v>47514</v>
      </c>
      <c r="DG3" s="121">
        <f t="shared" si="3"/>
        <v>47542</v>
      </c>
      <c r="DH3" s="121">
        <f t="shared" si="3"/>
        <v>47573</v>
      </c>
      <c r="DI3" s="121">
        <f t="shared" si="3"/>
        <v>47603</v>
      </c>
      <c r="DJ3" s="121">
        <f t="shared" si="3"/>
        <v>47634</v>
      </c>
      <c r="DK3" s="121">
        <f t="shared" si="3"/>
        <v>47664</v>
      </c>
      <c r="DL3" s="121">
        <f t="shared" si="3"/>
        <v>47695</v>
      </c>
      <c r="DM3" s="121">
        <f t="shared" si="3"/>
        <v>47726</v>
      </c>
      <c r="DN3" s="121">
        <f t="shared" si="3"/>
        <v>47756</v>
      </c>
      <c r="DO3" s="121">
        <f t="shared" si="3"/>
        <v>47787</v>
      </c>
      <c r="DP3" s="121">
        <f t="shared" si="3"/>
        <v>47817</v>
      </c>
      <c r="DQ3" s="121">
        <f t="shared" si="3"/>
        <v>47848</v>
      </c>
      <c r="DR3" s="121">
        <f t="shared" si="3"/>
        <v>47879</v>
      </c>
      <c r="DS3" s="121">
        <f t="shared" si="3"/>
        <v>47907</v>
      </c>
      <c r="DT3" s="121">
        <f t="shared" si="3"/>
        <v>47938</v>
      </c>
      <c r="DU3" s="121">
        <f t="shared" si="3"/>
        <v>47968</v>
      </c>
      <c r="DV3" s="121">
        <f t="shared" si="3"/>
        <v>47999</v>
      </c>
      <c r="DW3" s="121">
        <f t="shared" si="3"/>
        <v>48029</v>
      </c>
      <c r="DX3" s="121">
        <f t="shared" si="3"/>
        <v>48060</v>
      </c>
      <c r="DY3" s="121">
        <f t="shared" si="3"/>
        <v>48091</v>
      </c>
      <c r="DZ3" s="121">
        <f t="shared" si="3"/>
        <v>48121</v>
      </c>
      <c r="EA3" s="121">
        <f t="shared" si="3"/>
        <v>48152</v>
      </c>
      <c r="EB3" s="121">
        <f t="shared" si="3"/>
        <v>48182</v>
      </c>
      <c r="EC3" s="121">
        <f>EOMONTH(EB3,1)</f>
        <v>48213</v>
      </c>
      <c r="ED3" s="122">
        <f>EOMONTH(EC3,1)</f>
        <v>48244</v>
      </c>
    </row>
    <row r="4" spans="1:134" x14ac:dyDescent="0.25">
      <c r="A4" s="123">
        <f>MAX(C4:ED4)</f>
        <v>74250000000</v>
      </c>
      <c r="B4" s="4" t="s">
        <v>209</v>
      </c>
      <c r="C4" s="124">
        <f>Resumen!E2</f>
        <v>74250000000</v>
      </c>
      <c r="D4" s="124">
        <f>C9</f>
        <v>74250000000</v>
      </c>
      <c r="E4" s="124">
        <f t="shared" ref="E4:BP4" si="4">D9</f>
        <v>74250000000</v>
      </c>
      <c r="F4" s="124">
        <f t="shared" si="4"/>
        <v>74250000000</v>
      </c>
      <c r="G4" s="124">
        <f t="shared" si="4"/>
        <v>74250000000</v>
      </c>
      <c r="H4" s="124">
        <f t="shared" si="4"/>
        <v>74250000000</v>
      </c>
      <c r="I4" s="124">
        <f t="shared" si="4"/>
        <v>74250000000</v>
      </c>
      <c r="J4" s="124">
        <f t="shared" si="4"/>
        <v>74250000000</v>
      </c>
      <c r="K4" s="124">
        <f t="shared" si="4"/>
        <v>74250000000</v>
      </c>
      <c r="L4" s="124">
        <f t="shared" si="4"/>
        <v>74250000000</v>
      </c>
      <c r="M4" s="124">
        <f t="shared" si="4"/>
        <v>74250000000</v>
      </c>
      <c r="N4" s="124">
        <f t="shared" si="4"/>
        <v>74250000000</v>
      </c>
      <c r="O4" s="124">
        <f t="shared" si="4"/>
        <v>74250000000</v>
      </c>
      <c r="P4" s="124">
        <f t="shared" si="4"/>
        <v>74250000000</v>
      </c>
      <c r="Q4" s="124">
        <f t="shared" si="4"/>
        <v>74250000000</v>
      </c>
      <c r="R4" s="124">
        <f t="shared" si="4"/>
        <v>74250000000</v>
      </c>
      <c r="S4" s="124">
        <f t="shared" si="4"/>
        <v>74250000000</v>
      </c>
      <c r="T4" s="124">
        <f t="shared" si="4"/>
        <v>74250000000</v>
      </c>
      <c r="U4" s="124">
        <f t="shared" si="4"/>
        <v>74250000000</v>
      </c>
      <c r="V4" s="124">
        <f t="shared" si="4"/>
        <v>74223524878.774872</v>
      </c>
      <c r="W4" s="124">
        <f t="shared" si="4"/>
        <v>74196807068.938507</v>
      </c>
      <c r="X4" s="124">
        <f t="shared" si="4"/>
        <v>74169844345.845306</v>
      </c>
      <c r="Y4" s="124">
        <f t="shared" si="4"/>
        <v>74142634464.457092</v>
      </c>
      <c r="Z4" s="124">
        <f t="shared" si="4"/>
        <v>74115175159.156158</v>
      </c>
      <c r="AA4" s="124">
        <f t="shared" si="4"/>
        <v>74087464143.556625</v>
      </c>
      <c r="AB4" s="124">
        <f t="shared" si="4"/>
        <v>74059499110.314102</v>
      </c>
      <c r="AC4" s="124">
        <f t="shared" si="4"/>
        <v>74031277730.933517</v>
      </c>
      <c r="AD4" s="124">
        <f t="shared" si="4"/>
        <v>74002797655.575272</v>
      </c>
      <c r="AE4" s="124">
        <f t="shared" si="4"/>
        <v>73974056512.859589</v>
      </c>
      <c r="AF4" s="124">
        <f t="shared" si="4"/>
        <v>73945051909.669006</v>
      </c>
      <c r="AG4" s="124">
        <f t="shared" si="4"/>
        <v>73915781430.949173</v>
      </c>
      <c r="AH4" s="124">
        <f t="shared" si="4"/>
        <v>73886242639.507751</v>
      </c>
      <c r="AI4" s="124">
        <f t="shared" si="4"/>
        <v>73856433075.811447</v>
      </c>
      <c r="AJ4" s="124">
        <f t="shared" si="4"/>
        <v>73826350257.78125</v>
      </c>
      <c r="AK4" s="124">
        <f t="shared" si="4"/>
        <v>73795991680.585785</v>
      </c>
      <c r="AL4" s="124">
        <f t="shared" si="4"/>
        <v>73765354816.432693</v>
      </c>
      <c r="AM4" s="124">
        <f t="shared" si="4"/>
        <v>73734437114.3582</v>
      </c>
      <c r="AN4" s="124">
        <f t="shared" si="4"/>
        <v>73703236000.014694</v>
      </c>
      <c r="AO4" s="124">
        <f t="shared" si="4"/>
        <v>73671748875.45636</v>
      </c>
      <c r="AP4" s="124">
        <f t="shared" si="4"/>
        <v>73639973118.922913</v>
      </c>
      <c r="AQ4" s="124">
        <f t="shared" si="4"/>
        <v>73607906084.621246</v>
      </c>
      <c r="AR4" s="124">
        <f t="shared" si="4"/>
        <v>73575545102.505142</v>
      </c>
      <c r="AS4" s="124">
        <f t="shared" si="4"/>
        <v>73542887478.052979</v>
      </c>
      <c r="AT4" s="124">
        <f t="shared" si="4"/>
        <v>73509930492.043335</v>
      </c>
      <c r="AU4" s="124">
        <f t="shared" si="4"/>
        <v>73476671400.328598</v>
      </c>
      <c r="AV4" s="124">
        <f t="shared" si="4"/>
        <v>73443107433.606476</v>
      </c>
      <c r="AW4" s="124">
        <f t="shared" si="4"/>
        <v>73409235797.189407</v>
      </c>
      <c r="AX4" s="124">
        <f t="shared" si="4"/>
        <v>73375053670.771851</v>
      </c>
      <c r="AY4" s="124">
        <f t="shared" si="4"/>
        <v>73340558208.195465</v>
      </c>
      <c r="AZ4" s="124">
        <f t="shared" si="4"/>
        <v>73305746537.212128</v>
      </c>
      <c r="BA4" s="124">
        <f t="shared" si="4"/>
        <v>73270615759.244781</v>
      </c>
      <c r="BB4" s="124">
        <f t="shared" si="4"/>
        <v>73235162949.146057</v>
      </c>
      <c r="BC4" s="124">
        <f t="shared" si="4"/>
        <v>73199385154.954773</v>
      </c>
      <c r="BD4" s="124">
        <f t="shared" si="4"/>
        <v>73163279397.650055</v>
      </c>
      <c r="BE4" s="124">
        <f t="shared" si="4"/>
        <v>73126842670.903381</v>
      </c>
      <c r="BF4" s="124">
        <f t="shared" si="4"/>
        <v>73090071940.828201</v>
      </c>
      <c r="BG4" s="124">
        <f t="shared" si="4"/>
        <v>73052964145.727325</v>
      </c>
      <c r="BH4" s="124">
        <f t="shared" si="4"/>
        <v>73015516195.838028</v>
      </c>
      <c r="BI4" s="124">
        <f t="shared" si="4"/>
        <v>72977724973.074753</v>
      </c>
      <c r="BJ4" s="124">
        <f t="shared" si="4"/>
        <v>72939587330.76947</v>
      </c>
      <c r="BK4" s="124">
        <f t="shared" si="4"/>
        <v>0</v>
      </c>
      <c r="BL4" s="124">
        <f t="shared" si="4"/>
        <v>0</v>
      </c>
      <c r="BM4" s="124">
        <f t="shared" si="4"/>
        <v>0</v>
      </c>
      <c r="BN4" s="124">
        <f t="shared" si="4"/>
        <v>0</v>
      </c>
      <c r="BO4" s="124">
        <f t="shared" si="4"/>
        <v>0</v>
      </c>
      <c r="BP4" s="124">
        <f t="shared" si="4"/>
        <v>0</v>
      </c>
      <c r="BQ4" s="124">
        <f t="shared" ref="BQ4:EB4" si="5">BP9</f>
        <v>0</v>
      </c>
      <c r="BR4" s="124">
        <f t="shared" si="5"/>
        <v>0</v>
      </c>
      <c r="BS4" s="124">
        <f t="shared" si="5"/>
        <v>0</v>
      </c>
      <c r="BT4" s="124">
        <f t="shared" si="5"/>
        <v>0</v>
      </c>
      <c r="BU4" s="124">
        <f t="shared" si="5"/>
        <v>0</v>
      </c>
      <c r="BV4" s="124">
        <f t="shared" si="5"/>
        <v>0</v>
      </c>
      <c r="BW4" s="124">
        <f t="shared" si="5"/>
        <v>0</v>
      </c>
      <c r="BX4" s="124">
        <f t="shared" si="5"/>
        <v>0</v>
      </c>
      <c r="BY4" s="124">
        <f t="shared" si="5"/>
        <v>0</v>
      </c>
      <c r="BZ4" s="124">
        <f t="shared" si="5"/>
        <v>0</v>
      </c>
      <c r="CA4" s="124">
        <f t="shared" si="5"/>
        <v>0</v>
      </c>
      <c r="CB4" s="124">
        <f t="shared" si="5"/>
        <v>0</v>
      </c>
      <c r="CC4" s="124">
        <f t="shared" si="5"/>
        <v>0</v>
      </c>
      <c r="CD4" s="124">
        <f t="shared" si="5"/>
        <v>0</v>
      </c>
      <c r="CE4" s="124">
        <f t="shared" si="5"/>
        <v>0</v>
      </c>
      <c r="CF4" s="124">
        <f t="shared" si="5"/>
        <v>0</v>
      </c>
      <c r="CG4" s="124">
        <f t="shared" si="5"/>
        <v>0</v>
      </c>
      <c r="CH4" s="124">
        <f t="shared" si="5"/>
        <v>0</v>
      </c>
      <c r="CI4" s="124">
        <f t="shared" si="5"/>
        <v>0</v>
      </c>
      <c r="CJ4" s="124">
        <f t="shared" si="5"/>
        <v>0</v>
      </c>
      <c r="CK4" s="124">
        <f t="shared" si="5"/>
        <v>0</v>
      </c>
      <c r="CL4" s="124">
        <f t="shared" si="5"/>
        <v>0</v>
      </c>
      <c r="CM4" s="124">
        <f t="shared" si="5"/>
        <v>0</v>
      </c>
      <c r="CN4" s="124">
        <f t="shared" si="5"/>
        <v>0</v>
      </c>
      <c r="CO4" s="124">
        <f t="shared" si="5"/>
        <v>0</v>
      </c>
      <c r="CP4" s="124">
        <f t="shared" si="5"/>
        <v>0</v>
      </c>
      <c r="CQ4" s="124">
        <f t="shared" si="5"/>
        <v>0</v>
      </c>
      <c r="CR4" s="124">
        <f t="shared" si="5"/>
        <v>0</v>
      </c>
      <c r="CS4" s="124">
        <f t="shared" si="5"/>
        <v>0</v>
      </c>
      <c r="CT4" s="124">
        <f t="shared" si="5"/>
        <v>0</v>
      </c>
      <c r="CU4" s="124">
        <f t="shared" si="5"/>
        <v>0</v>
      </c>
      <c r="CV4" s="124">
        <f t="shared" si="5"/>
        <v>0</v>
      </c>
      <c r="CW4" s="124">
        <f t="shared" si="5"/>
        <v>0</v>
      </c>
      <c r="CX4" s="124">
        <f t="shared" si="5"/>
        <v>0</v>
      </c>
      <c r="CY4" s="124">
        <f t="shared" si="5"/>
        <v>0</v>
      </c>
      <c r="CZ4" s="124">
        <f t="shared" si="5"/>
        <v>0</v>
      </c>
      <c r="DA4" s="124">
        <f t="shared" si="5"/>
        <v>0</v>
      </c>
      <c r="DB4" s="124">
        <f t="shared" si="5"/>
        <v>0</v>
      </c>
      <c r="DC4" s="124">
        <f t="shared" si="5"/>
        <v>0</v>
      </c>
      <c r="DD4" s="124">
        <f t="shared" si="5"/>
        <v>0</v>
      </c>
      <c r="DE4" s="124">
        <f t="shared" si="5"/>
        <v>0</v>
      </c>
      <c r="DF4" s="124">
        <f t="shared" si="5"/>
        <v>0</v>
      </c>
      <c r="DG4" s="124">
        <f t="shared" si="5"/>
        <v>0</v>
      </c>
      <c r="DH4" s="124">
        <f t="shared" si="5"/>
        <v>0</v>
      </c>
      <c r="DI4" s="124">
        <f t="shared" si="5"/>
        <v>0</v>
      </c>
      <c r="DJ4" s="124">
        <f t="shared" si="5"/>
        <v>0</v>
      </c>
      <c r="DK4" s="124">
        <f t="shared" si="5"/>
        <v>0</v>
      </c>
      <c r="DL4" s="124">
        <f t="shared" si="5"/>
        <v>0</v>
      </c>
      <c r="DM4" s="124">
        <f t="shared" si="5"/>
        <v>0</v>
      </c>
      <c r="DN4" s="124">
        <f t="shared" si="5"/>
        <v>0</v>
      </c>
      <c r="DO4" s="124">
        <f t="shared" si="5"/>
        <v>0</v>
      </c>
      <c r="DP4" s="124">
        <f t="shared" si="5"/>
        <v>0</v>
      </c>
      <c r="DQ4" s="124">
        <f t="shared" si="5"/>
        <v>0</v>
      </c>
      <c r="DR4" s="124">
        <f t="shared" si="5"/>
        <v>0</v>
      </c>
      <c r="DS4" s="124">
        <f t="shared" si="5"/>
        <v>0</v>
      </c>
      <c r="DT4" s="124">
        <f t="shared" si="5"/>
        <v>0</v>
      </c>
      <c r="DU4" s="124">
        <f t="shared" si="5"/>
        <v>0</v>
      </c>
      <c r="DV4" s="124">
        <f t="shared" si="5"/>
        <v>0</v>
      </c>
      <c r="DW4" s="124">
        <f t="shared" si="5"/>
        <v>0</v>
      </c>
      <c r="DX4" s="124">
        <f t="shared" si="5"/>
        <v>0</v>
      </c>
      <c r="DY4" s="124">
        <f t="shared" si="5"/>
        <v>0</v>
      </c>
      <c r="DZ4" s="124">
        <f t="shared" si="5"/>
        <v>0</v>
      </c>
      <c r="EA4" s="124">
        <f t="shared" si="5"/>
        <v>0</v>
      </c>
      <c r="EB4" s="124">
        <f t="shared" si="5"/>
        <v>0</v>
      </c>
      <c r="EC4" s="124">
        <f>EB9</f>
        <v>0</v>
      </c>
      <c r="ED4" s="125">
        <f>EC9</f>
        <v>0</v>
      </c>
    </row>
    <row r="5" spans="1:134" x14ac:dyDescent="0.25">
      <c r="A5" s="123">
        <f>SUM(C5:ED5)</f>
        <v>41949455091.455399</v>
      </c>
      <c r="B5" s="5" t="s">
        <v>210</v>
      </c>
      <c r="C5" s="124">
        <f>IF(C2&gt;MIN(Resumen!$E$10,Resumen!$K$19),0,IF(C2&lt;=Resumen!$E$7,Resumen!$E$6/12*Financiamiento!C4,PMT(Resumen!$E$6/12,Resumen!$E$9,-Resumen!$E$2,0,0)))</f>
        <v>680625000</v>
      </c>
      <c r="D5" s="124">
        <f>IF(D2&gt;MIN(Resumen!$E$10,Resumen!$K$19),0,IF(D2&lt;=Resumen!$E$7,Resumen!$E$6/12*Financiamiento!D4,PMT(Resumen!$E$6/12,Resumen!$E$9,-Resumen!$E$2,0,0)))</f>
        <v>680625000</v>
      </c>
      <c r="E5" s="124">
        <f>IF(E2&gt;MIN(Resumen!$E$10,Resumen!$K$19),0,IF(E2&lt;=Resumen!$E$7,Resumen!$E$6/12*Financiamiento!E4,PMT(Resumen!$E$6/12,Resumen!$E$9,-Resumen!$E$2,0,0)))</f>
        <v>680625000</v>
      </c>
      <c r="F5" s="124">
        <f>IF(F2&gt;MIN(Resumen!$E$10,Resumen!$K$19),0,IF(F2&lt;=Resumen!$E$7,Resumen!$E$6/12*Financiamiento!F4,PMT(Resumen!$E$6/12,Resumen!$E$9,-Resumen!$E$2,0,0)))</f>
        <v>680625000</v>
      </c>
      <c r="G5" s="124">
        <f>IF(G2&gt;MIN(Resumen!$E$10,Resumen!$K$19),0,IF(G2&lt;=Resumen!$E$7,Resumen!$E$6/12*Financiamiento!G4,PMT(Resumen!$E$6/12,Resumen!$E$9,-Resumen!$E$2,0,0)))</f>
        <v>680625000</v>
      </c>
      <c r="H5" s="124">
        <f>IF(H2&gt;MIN(Resumen!$E$10,Resumen!$K$19),0,IF(H2&lt;=Resumen!$E$7,Resumen!$E$6/12*Financiamiento!H4,PMT(Resumen!$E$6/12,Resumen!$E$9,-Resumen!$E$2,0,0)))</f>
        <v>680625000</v>
      </c>
      <c r="I5" s="124">
        <f>IF(I2&gt;MIN(Resumen!$E$10,Resumen!$K$19),0,IF(I2&lt;=Resumen!$E$7,Resumen!$E$6/12*Financiamiento!I4,PMT(Resumen!$E$6/12,Resumen!$E$9,-Resumen!$E$2,0,0)))</f>
        <v>680625000</v>
      </c>
      <c r="J5" s="124">
        <f>IF(J2&gt;MIN(Resumen!$E$10,Resumen!$K$19),0,IF(J2&lt;=Resumen!$E$7,Resumen!$E$6/12*Financiamiento!J4,PMT(Resumen!$E$6/12,Resumen!$E$9,-Resumen!$E$2,0,0)))</f>
        <v>680625000</v>
      </c>
      <c r="K5" s="124">
        <f>IF(K2&gt;MIN(Resumen!$E$10,Resumen!$K$19),0,IF(K2&lt;=Resumen!$E$7,Resumen!$E$6/12*Financiamiento!K4,PMT(Resumen!$E$6/12,Resumen!$E$9,-Resumen!$E$2,0,0)))</f>
        <v>680625000</v>
      </c>
      <c r="L5" s="124">
        <f>IF(L2&gt;MIN(Resumen!$E$10,Resumen!$K$19),0,IF(L2&lt;=Resumen!$E$7,Resumen!$E$6/12*Financiamiento!L4,PMT(Resumen!$E$6/12,Resumen!$E$9,-Resumen!$E$2,0,0)))</f>
        <v>680625000</v>
      </c>
      <c r="M5" s="124">
        <f>IF(M2&gt;MIN(Resumen!$E$10,Resumen!$K$19),0,IF(M2&lt;=Resumen!$E$7,Resumen!$E$6/12*Financiamiento!M4,PMT(Resumen!$E$6/12,Resumen!$E$9,-Resumen!$E$2,0,0)))</f>
        <v>680625000</v>
      </c>
      <c r="N5" s="124">
        <f>IF(N2&gt;MIN(Resumen!$E$10,Resumen!$K$19),0,IF(N2&lt;=Resumen!$E$7,Resumen!$E$6/12*Financiamiento!N4,PMT(Resumen!$E$6/12,Resumen!$E$9,-Resumen!$E$2,0,0)))</f>
        <v>680625000</v>
      </c>
      <c r="O5" s="124">
        <f>IF(O2&gt;MIN(Resumen!$E$10,Resumen!$K$19),0,IF(O2&lt;=Resumen!$E$7,Resumen!$E$6/12*Financiamiento!O4,PMT(Resumen!$E$6/12,Resumen!$E$9,-Resumen!$E$2,0,0)))</f>
        <v>680625000</v>
      </c>
      <c r="P5" s="124">
        <f>IF(P2&gt;MIN(Resumen!$E$10,Resumen!$K$19),0,IF(P2&lt;=Resumen!$E$7,Resumen!$E$6/12*Financiamiento!P4,PMT(Resumen!$E$6/12,Resumen!$E$9,-Resumen!$E$2,0,0)))</f>
        <v>680625000</v>
      </c>
      <c r="Q5" s="124">
        <f>IF(Q2&gt;MIN(Resumen!$E$10,Resumen!$K$19),0,IF(Q2&lt;=Resumen!$E$7,Resumen!$E$6/12*Financiamiento!Q4,PMT(Resumen!$E$6/12,Resumen!$E$9,-Resumen!$E$2,0,0)))</f>
        <v>680625000</v>
      </c>
      <c r="R5" s="124">
        <f>IF(R2&gt;MIN(Resumen!$E$10,Resumen!$K$19),0,IF(R2&lt;=Resumen!$E$7,Resumen!$E$6/12*Financiamiento!R4,PMT(Resumen!$E$6/12,Resumen!$E$9,-Resumen!$E$2,0,0)))</f>
        <v>680625000</v>
      </c>
      <c r="S5" s="124">
        <f>IF(S2&gt;MIN(Resumen!$E$10,Resumen!$K$19),0,IF(S2&lt;=Resumen!$E$7,Resumen!$E$6/12*Financiamiento!S4,PMT(Resumen!$E$6/12,Resumen!$E$9,-Resumen!$E$2,0,0)))</f>
        <v>680625000</v>
      </c>
      <c r="T5" s="124">
        <f>IF(T2&gt;MIN(Resumen!$E$10,Resumen!$K$19),0,IF(T2&lt;=Resumen!$E$7,Resumen!$E$6/12*Financiamiento!T4,PMT(Resumen!$E$6/12,Resumen!$E$9,-Resumen!$E$2,0,0)))</f>
        <v>680625000</v>
      </c>
      <c r="U5" s="124">
        <f>IF(U2&gt;MIN(Resumen!$E$10,Resumen!$K$19),0,IF(U2&lt;=Resumen!$E$7,Resumen!$E$6/12*Financiamiento!U4,PMT(Resumen!$E$6/12,Resumen!$E$9,-Resumen!$E$2,0,0)))</f>
        <v>707100121.22512937</v>
      </c>
      <c r="V5" s="124">
        <f>IF(V2&gt;MIN(Resumen!$E$10,Resumen!$K$19),0,IF(V2&lt;=Resumen!$E$7,Resumen!$E$6/12*Financiamiento!V4,PMT(Resumen!$E$6/12,Resumen!$E$9,-Resumen!$E$2,0,0)))</f>
        <v>707100121.22512937</v>
      </c>
      <c r="W5" s="124">
        <f>IF(W2&gt;MIN(Resumen!$E$10,Resumen!$K$19),0,IF(W2&lt;=Resumen!$E$7,Resumen!$E$6/12*Financiamiento!W4,PMT(Resumen!$E$6/12,Resumen!$E$9,-Resumen!$E$2,0,0)))</f>
        <v>707100121.22512937</v>
      </c>
      <c r="X5" s="124">
        <f>IF(X2&gt;MIN(Resumen!$E$10,Resumen!$K$19),0,IF(X2&lt;=Resumen!$E$7,Resumen!$E$6/12*Financiamiento!X4,PMT(Resumen!$E$6/12,Resumen!$E$9,-Resumen!$E$2,0,0)))</f>
        <v>707100121.22512937</v>
      </c>
      <c r="Y5" s="124">
        <f>IF(Y2&gt;MIN(Resumen!$E$10,Resumen!$K$19),0,IF(Y2&lt;=Resumen!$E$7,Resumen!$E$6/12*Financiamiento!Y4,PMT(Resumen!$E$6/12,Resumen!$E$9,-Resumen!$E$2,0,0)))</f>
        <v>707100121.22512937</v>
      </c>
      <c r="Z5" s="124">
        <f>IF(Z2&gt;MIN(Resumen!$E$10,Resumen!$K$19),0,IF(Z2&lt;=Resumen!$E$7,Resumen!$E$6/12*Financiamiento!Z4,PMT(Resumen!$E$6/12,Resumen!$E$9,-Resumen!$E$2,0,0)))</f>
        <v>707100121.22512937</v>
      </c>
      <c r="AA5" s="124">
        <f>IF(AA2&gt;MIN(Resumen!$E$10,Resumen!$K$19),0,IF(AA2&lt;=Resumen!$E$7,Resumen!$E$6/12*Financiamiento!AA4,PMT(Resumen!$E$6/12,Resumen!$E$9,-Resumen!$E$2,0,0)))</f>
        <v>707100121.22512937</v>
      </c>
      <c r="AB5" s="124">
        <f>IF(AB2&gt;MIN(Resumen!$E$10,Resumen!$K$19),0,IF(AB2&lt;=Resumen!$E$7,Resumen!$E$6/12*Financiamiento!AB4,PMT(Resumen!$E$6/12,Resumen!$E$9,-Resumen!$E$2,0,0)))</f>
        <v>707100121.22512937</v>
      </c>
      <c r="AC5" s="124">
        <f>IF(AC2&gt;MIN(Resumen!$E$10,Resumen!$K$19),0,IF(AC2&lt;=Resumen!$E$7,Resumen!$E$6/12*Financiamiento!AC4,PMT(Resumen!$E$6/12,Resumen!$E$9,-Resumen!$E$2,0,0)))</f>
        <v>707100121.22512937</v>
      </c>
      <c r="AD5" s="124">
        <f>IF(AD2&gt;MIN(Resumen!$E$10,Resumen!$K$19),0,IF(AD2&lt;=Resumen!$E$7,Resumen!$E$6/12*Financiamiento!AD4,PMT(Resumen!$E$6/12,Resumen!$E$9,-Resumen!$E$2,0,0)))</f>
        <v>707100121.22512937</v>
      </c>
      <c r="AE5" s="124">
        <f>IF(AE2&gt;MIN(Resumen!$E$10,Resumen!$K$19),0,IF(AE2&lt;=Resumen!$E$7,Resumen!$E$6/12*Financiamiento!AE4,PMT(Resumen!$E$6/12,Resumen!$E$9,-Resumen!$E$2,0,0)))</f>
        <v>707100121.22512937</v>
      </c>
      <c r="AF5" s="124">
        <f>IF(AF2&gt;MIN(Resumen!$E$10,Resumen!$K$19),0,IF(AF2&lt;=Resumen!$E$7,Resumen!$E$6/12*Financiamiento!AF4,PMT(Resumen!$E$6/12,Resumen!$E$9,-Resumen!$E$2,0,0)))</f>
        <v>707100121.22512937</v>
      </c>
      <c r="AG5" s="124">
        <f>IF(AG2&gt;MIN(Resumen!$E$10,Resumen!$K$19),0,IF(AG2&lt;=Resumen!$E$7,Resumen!$E$6/12*Financiamiento!AG4,PMT(Resumen!$E$6/12,Resumen!$E$9,-Resumen!$E$2,0,0)))</f>
        <v>707100121.22512937</v>
      </c>
      <c r="AH5" s="124">
        <f>IF(AH2&gt;MIN(Resumen!$E$10,Resumen!$K$19),0,IF(AH2&lt;=Resumen!$E$7,Resumen!$E$6/12*Financiamiento!AH4,PMT(Resumen!$E$6/12,Resumen!$E$9,-Resumen!$E$2,0,0)))</f>
        <v>707100121.22512937</v>
      </c>
      <c r="AI5" s="124">
        <f>IF(AI2&gt;MIN(Resumen!$E$10,Resumen!$K$19),0,IF(AI2&lt;=Resumen!$E$7,Resumen!$E$6/12*Financiamiento!AI4,PMT(Resumen!$E$6/12,Resumen!$E$9,-Resumen!$E$2,0,0)))</f>
        <v>707100121.22512937</v>
      </c>
      <c r="AJ5" s="124">
        <f>IF(AJ2&gt;MIN(Resumen!$E$10,Resumen!$K$19),0,IF(AJ2&lt;=Resumen!$E$7,Resumen!$E$6/12*Financiamiento!AJ4,PMT(Resumen!$E$6/12,Resumen!$E$9,-Resumen!$E$2,0,0)))</f>
        <v>707100121.22512937</v>
      </c>
      <c r="AK5" s="124">
        <f>IF(AK2&gt;MIN(Resumen!$E$10,Resumen!$K$19),0,IF(AK2&lt;=Resumen!$E$7,Resumen!$E$6/12*Financiamiento!AK4,PMT(Resumen!$E$6/12,Resumen!$E$9,-Resumen!$E$2,0,0)))</f>
        <v>707100121.22512937</v>
      </c>
      <c r="AL5" s="124">
        <f>IF(AL2&gt;MIN(Resumen!$E$10,Resumen!$K$19),0,IF(AL2&lt;=Resumen!$E$7,Resumen!$E$6/12*Financiamiento!AL4,PMT(Resumen!$E$6/12,Resumen!$E$9,-Resumen!$E$2,0,0)))</f>
        <v>707100121.22512937</v>
      </c>
      <c r="AM5" s="124">
        <f>IF(AM2&gt;MIN(Resumen!$E$10,Resumen!$K$19),0,IF(AM2&lt;=Resumen!$E$7,Resumen!$E$6/12*Financiamiento!AM4,PMT(Resumen!$E$6/12,Resumen!$E$9,-Resumen!$E$2,0,0)))</f>
        <v>707100121.22512937</v>
      </c>
      <c r="AN5" s="124">
        <f>IF(AN2&gt;MIN(Resumen!$E$10,Resumen!$K$19),0,IF(AN2&lt;=Resumen!$E$7,Resumen!$E$6/12*Financiamiento!AN4,PMT(Resumen!$E$6/12,Resumen!$E$9,-Resumen!$E$2,0,0)))</f>
        <v>707100121.22512937</v>
      </c>
      <c r="AO5" s="124">
        <f>IF(AO2&gt;MIN(Resumen!$E$10,Resumen!$K$19),0,IF(AO2&lt;=Resumen!$E$7,Resumen!$E$6/12*Financiamiento!AO4,PMT(Resumen!$E$6/12,Resumen!$E$9,-Resumen!$E$2,0,0)))</f>
        <v>707100121.22512937</v>
      </c>
      <c r="AP5" s="124">
        <f>IF(AP2&gt;MIN(Resumen!$E$10,Resumen!$K$19),0,IF(AP2&lt;=Resumen!$E$7,Resumen!$E$6/12*Financiamiento!AP4,PMT(Resumen!$E$6/12,Resumen!$E$9,-Resumen!$E$2,0,0)))</f>
        <v>707100121.22512937</v>
      </c>
      <c r="AQ5" s="124">
        <f>IF(AQ2&gt;MIN(Resumen!$E$10,Resumen!$K$19),0,IF(AQ2&lt;=Resumen!$E$7,Resumen!$E$6/12*Financiamiento!AQ4,PMT(Resumen!$E$6/12,Resumen!$E$9,-Resumen!$E$2,0,0)))</f>
        <v>707100121.22512937</v>
      </c>
      <c r="AR5" s="124">
        <f>IF(AR2&gt;MIN(Resumen!$E$10,Resumen!$K$19),0,IF(AR2&lt;=Resumen!$E$7,Resumen!$E$6/12*Financiamiento!AR4,PMT(Resumen!$E$6/12,Resumen!$E$9,-Resumen!$E$2,0,0)))</f>
        <v>707100121.22512937</v>
      </c>
      <c r="AS5" s="124">
        <f>IF(AS2&gt;MIN(Resumen!$E$10,Resumen!$K$19),0,IF(AS2&lt;=Resumen!$E$7,Resumen!$E$6/12*Financiamiento!AS4,PMT(Resumen!$E$6/12,Resumen!$E$9,-Resumen!$E$2,0,0)))</f>
        <v>707100121.22512937</v>
      </c>
      <c r="AT5" s="124">
        <f>IF(AT2&gt;MIN(Resumen!$E$10,Resumen!$K$19),0,IF(AT2&lt;=Resumen!$E$7,Resumen!$E$6/12*Financiamiento!AT4,PMT(Resumen!$E$6/12,Resumen!$E$9,-Resumen!$E$2,0,0)))</f>
        <v>707100121.22512937</v>
      </c>
      <c r="AU5" s="124">
        <f>IF(AU2&gt;MIN(Resumen!$E$10,Resumen!$K$19),0,IF(AU2&lt;=Resumen!$E$7,Resumen!$E$6/12*Financiamiento!AU4,PMT(Resumen!$E$6/12,Resumen!$E$9,-Resumen!$E$2,0,0)))</f>
        <v>707100121.22512937</v>
      </c>
      <c r="AV5" s="124">
        <f>IF(AV2&gt;MIN(Resumen!$E$10,Resumen!$K$19),0,IF(AV2&lt;=Resumen!$E$7,Resumen!$E$6/12*Financiamiento!AV4,PMT(Resumen!$E$6/12,Resumen!$E$9,-Resumen!$E$2,0,0)))</f>
        <v>707100121.22512937</v>
      </c>
      <c r="AW5" s="124">
        <f>IF(AW2&gt;MIN(Resumen!$E$10,Resumen!$K$19),0,IF(AW2&lt;=Resumen!$E$7,Resumen!$E$6/12*Financiamiento!AW4,PMT(Resumen!$E$6/12,Resumen!$E$9,-Resumen!$E$2,0,0)))</f>
        <v>707100121.22512937</v>
      </c>
      <c r="AX5" s="124">
        <f>IF(AX2&gt;MIN(Resumen!$E$10,Resumen!$K$19),0,IF(AX2&lt;=Resumen!$E$7,Resumen!$E$6/12*Financiamiento!AX4,PMT(Resumen!$E$6/12,Resumen!$E$9,-Resumen!$E$2,0,0)))</f>
        <v>707100121.22512937</v>
      </c>
      <c r="AY5" s="124">
        <f>IF(AY2&gt;MIN(Resumen!$E$10,Resumen!$K$19),0,IF(AY2&lt;=Resumen!$E$7,Resumen!$E$6/12*Financiamiento!AY4,PMT(Resumen!$E$6/12,Resumen!$E$9,-Resumen!$E$2,0,0)))</f>
        <v>707100121.22512937</v>
      </c>
      <c r="AZ5" s="124">
        <f>IF(AZ2&gt;MIN(Resumen!$E$10,Resumen!$K$19),0,IF(AZ2&lt;=Resumen!$E$7,Resumen!$E$6/12*Financiamiento!AZ4,PMT(Resumen!$E$6/12,Resumen!$E$9,-Resumen!$E$2,0,0)))</f>
        <v>707100121.22512937</v>
      </c>
      <c r="BA5" s="124">
        <f>IF(BA2&gt;MIN(Resumen!$E$10,Resumen!$K$19),0,IF(BA2&lt;=Resumen!$E$7,Resumen!$E$6/12*Financiamiento!BA4,PMT(Resumen!$E$6/12,Resumen!$E$9,-Resumen!$E$2,0,0)))</f>
        <v>707100121.22512937</v>
      </c>
      <c r="BB5" s="124">
        <f>IF(BB2&gt;MIN(Resumen!$E$10,Resumen!$K$19),0,IF(BB2&lt;=Resumen!$E$7,Resumen!$E$6/12*Financiamiento!BB4,PMT(Resumen!$E$6/12,Resumen!$E$9,-Resumen!$E$2,0,0)))</f>
        <v>707100121.22512937</v>
      </c>
      <c r="BC5" s="124">
        <f>IF(BC2&gt;MIN(Resumen!$E$10,Resumen!$K$19),0,IF(BC2&lt;=Resumen!$E$7,Resumen!$E$6/12*Financiamiento!BC4,PMT(Resumen!$E$6/12,Resumen!$E$9,-Resumen!$E$2,0,0)))</f>
        <v>707100121.22512937</v>
      </c>
      <c r="BD5" s="124">
        <f>IF(BD2&gt;MIN(Resumen!$E$10,Resumen!$K$19),0,IF(BD2&lt;=Resumen!$E$7,Resumen!$E$6/12*Financiamiento!BD4,PMT(Resumen!$E$6/12,Resumen!$E$9,-Resumen!$E$2,0,0)))</f>
        <v>707100121.22512937</v>
      </c>
      <c r="BE5" s="124">
        <f>IF(BE2&gt;MIN(Resumen!$E$10,Resumen!$K$19),0,IF(BE2&lt;=Resumen!$E$7,Resumen!$E$6/12*Financiamiento!BE4,PMT(Resumen!$E$6/12,Resumen!$E$9,-Resumen!$E$2,0,0)))</f>
        <v>707100121.22512937</v>
      </c>
      <c r="BF5" s="124">
        <f>IF(BF2&gt;MIN(Resumen!$E$10,Resumen!$K$19),0,IF(BF2&lt;=Resumen!$E$7,Resumen!$E$6/12*Financiamiento!BF4,PMT(Resumen!$E$6/12,Resumen!$E$9,-Resumen!$E$2,0,0)))</f>
        <v>707100121.22512937</v>
      </c>
      <c r="BG5" s="124">
        <f>IF(BG2&gt;MIN(Resumen!$E$10,Resumen!$K$19),0,IF(BG2&lt;=Resumen!$E$7,Resumen!$E$6/12*Financiamiento!BG4,PMT(Resumen!$E$6/12,Resumen!$E$9,-Resumen!$E$2,0,0)))</f>
        <v>707100121.22512937</v>
      </c>
      <c r="BH5" s="124">
        <f>IF(BH2&gt;MIN(Resumen!$E$10,Resumen!$K$19),0,IF(BH2&lt;=Resumen!$E$7,Resumen!$E$6/12*Financiamiento!BH4,PMT(Resumen!$E$6/12,Resumen!$E$9,-Resumen!$E$2,0,0)))</f>
        <v>707100121.22512937</v>
      </c>
      <c r="BI5" s="124">
        <f>IF(BI2&gt;MIN(Resumen!$E$10,Resumen!$K$19),0,IF(BI2&lt;=Resumen!$E$7,Resumen!$E$6/12*Financiamiento!BI4,PMT(Resumen!$E$6/12,Resumen!$E$9,-Resumen!$E$2,0,0)))</f>
        <v>707100121.22512937</v>
      </c>
      <c r="BJ5" s="124">
        <f>IF(BJ2&gt;MIN(Resumen!$E$10,Resumen!$K$19),0,IF(BJ2&lt;=Resumen!$E$7,Resumen!$E$6/12*Financiamiento!BJ4,PMT(Resumen!$E$6/12,Resumen!$E$9,-Resumen!$E$2,0,0)))</f>
        <v>707100121.22512937</v>
      </c>
      <c r="BK5" s="124">
        <f>IF(BK2&gt;MIN(Resumen!$E$10,Resumen!$K$19),0,IF(BK2&lt;=Resumen!$E$7,Resumen!$E$6/12*Financiamiento!BK4,PMT(Resumen!$E$6/12,Resumen!$E$9,-Resumen!$E$2,0,0)))</f>
        <v>0</v>
      </c>
      <c r="BL5" s="124">
        <f>IF(BL2&gt;MIN(Resumen!$E$10,Resumen!$K$19),0,IF(BL2&lt;=Resumen!$E$7,Resumen!$E$6/12*Financiamiento!BL4,PMT(Resumen!$E$6/12,Resumen!$E$9,-Resumen!$E$2,0,0)))</f>
        <v>0</v>
      </c>
      <c r="BM5" s="124">
        <f>IF(BM2&gt;MIN(Resumen!$E$10,Resumen!$K$19),0,IF(BM2&lt;=Resumen!$E$7,Resumen!$E$6/12*Financiamiento!BM4,PMT(Resumen!$E$6/12,Resumen!$E$9,-Resumen!$E$2,0,0)))</f>
        <v>0</v>
      </c>
      <c r="BN5" s="124">
        <f>IF(BN2&gt;MIN(Resumen!$E$10,Resumen!$K$19),0,IF(BN2&lt;=Resumen!$E$7,Resumen!$E$6/12*Financiamiento!BN4,PMT(Resumen!$E$6/12,Resumen!$E$9,-Resumen!$E$2,0,0)))</f>
        <v>0</v>
      </c>
      <c r="BO5" s="124">
        <f>IF(BO2&gt;MIN(Resumen!$E$10,Resumen!$K$19),0,IF(BO2&lt;=Resumen!$E$7,Resumen!$E$6/12*Financiamiento!BO4,PMT(Resumen!$E$6/12,Resumen!$E$9,-Resumen!$E$2,0,0)))</f>
        <v>0</v>
      </c>
      <c r="BP5" s="124">
        <f>IF(BP2&gt;MIN(Resumen!$E$10,Resumen!$K$19),0,IF(BP2&lt;=Resumen!$E$7,Resumen!$E$6/12*Financiamiento!BP4,PMT(Resumen!$E$6/12,Resumen!$E$9,-Resumen!$E$2,0,0)))</f>
        <v>0</v>
      </c>
      <c r="BQ5" s="124">
        <f>IF(BQ2&gt;MIN(Resumen!$E$10,Resumen!$K$19),0,IF(BQ2&lt;=Resumen!$E$7,Resumen!$E$6/12*Financiamiento!BQ4,PMT(Resumen!$E$6/12,Resumen!$E$9,-Resumen!$E$2,0,0)))</f>
        <v>0</v>
      </c>
      <c r="BR5" s="124">
        <f>IF(BR2&gt;MIN(Resumen!$E$10,Resumen!$K$19),0,IF(BR2&lt;=Resumen!$E$7,Resumen!$E$6/12*Financiamiento!BR4,PMT(Resumen!$E$6/12,Resumen!$E$9,-Resumen!$E$2,0,0)))</f>
        <v>0</v>
      </c>
      <c r="BS5" s="124">
        <f>IF(BS2&gt;MIN(Resumen!$E$10,Resumen!$K$19),0,IF(BS2&lt;=Resumen!$E$7,Resumen!$E$6/12*Financiamiento!BS4,PMT(Resumen!$E$6/12,Resumen!$E$9,-Resumen!$E$2,0,0)))</f>
        <v>0</v>
      </c>
      <c r="BT5" s="124">
        <f>IF(BT2&gt;MIN(Resumen!$E$10,Resumen!$K$19),0,IF(BT2&lt;=Resumen!$E$7,Resumen!$E$6/12*Financiamiento!BT4,PMT(Resumen!$E$6/12,Resumen!$E$9,-Resumen!$E$2,0,0)))</f>
        <v>0</v>
      </c>
      <c r="BU5" s="124">
        <f>IF(BU2&gt;MIN(Resumen!$E$10,Resumen!$K$19),0,IF(BU2&lt;=Resumen!$E$7,Resumen!$E$6/12*Financiamiento!BU4,PMT(Resumen!$E$6/12,Resumen!$E$9,-Resumen!$E$2,0,0)))</f>
        <v>0</v>
      </c>
      <c r="BV5" s="124">
        <f>IF(BV2&gt;MIN(Resumen!$E$10,Resumen!$K$19),0,IF(BV2&lt;=Resumen!$E$7,Resumen!$E$6/12*Financiamiento!BV4,PMT(Resumen!$E$6/12,Resumen!$E$9,-Resumen!$E$2,0,0)))</f>
        <v>0</v>
      </c>
      <c r="BW5" s="124">
        <f>IF(BW2&gt;MIN(Resumen!$E$10,Resumen!$K$19),0,IF(BW2&lt;=Resumen!$E$7,Resumen!$E$6/12*Financiamiento!BW4,PMT(Resumen!$E$6/12,Resumen!$E$9,-Resumen!$E$2,0,0)))</f>
        <v>0</v>
      </c>
      <c r="BX5" s="124">
        <f>IF(BX2&gt;MIN(Resumen!$E$10,Resumen!$K$19),0,IF(BX2&lt;=Resumen!$E$7,Resumen!$E$6/12*Financiamiento!BX4,PMT(Resumen!$E$6/12,Resumen!$E$9,-Resumen!$E$2,0,0)))</f>
        <v>0</v>
      </c>
      <c r="BY5" s="124">
        <f>IF(BY2&gt;MIN(Resumen!$E$10,Resumen!$K$19),0,IF(BY2&lt;=Resumen!$E$7,Resumen!$E$6/12*Financiamiento!BY4,PMT(Resumen!$E$6/12,Resumen!$E$9,-Resumen!$E$2,0,0)))</f>
        <v>0</v>
      </c>
      <c r="BZ5" s="124">
        <f>IF(BZ2&gt;MIN(Resumen!$E$10,Resumen!$K$19),0,IF(BZ2&lt;=Resumen!$E$7,Resumen!$E$6/12*Financiamiento!BZ4,PMT(Resumen!$E$6/12,Resumen!$E$9,-Resumen!$E$2,0,0)))</f>
        <v>0</v>
      </c>
      <c r="CA5" s="124">
        <f>IF(CA2&gt;MIN(Resumen!$E$10,Resumen!$K$19),0,IF(CA2&lt;=Resumen!$E$7,Resumen!$E$6/12*Financiamiento!CA4,PMT(Resumen!$E$6/12,Resumen!$E$9,-Resumen!$E$2,0,0)))</f>
        <v>0</v>
      </c>
      <c r="CB5" s="124">
        <f>IF(CB2&gt;MIN(Resumen!$E$10,Resumen!$K$19),0,IF(CB2&lt;=Resumen!$E$7,Resumen!$E$6/12*Financiamiento!CB4,PMT(Resumen!$E$6/12,Resumen!$E$9,-Resumen!$E$2,0,0)))</f>
        <v>0</v>
      </c>
      <c r="CC5" s="124">
        <f>IF(CC2&gt;MIN(Resumen!$E$10,Resumen!$K$19),0,IF(CC2&lt;=Resumen!$E$7,Resumen!$E$6/12*Financiamiento!CC4,PMT(Resumen!$E$6/12,Resumen!$E$9,-Resumen!$E$2,0,0)))</f>
        <v>0</v>
      </c>
      <c r="CD5" s="124">
        <f>IF(CD2&gt;MIN(Resumen!$E$10,Resumen!$K$19),0,IF(CD2&lt;=Resumen!$E$7,Resumen!$E$6/12*Financiamiento!CD4,PMT(Resumen!$E$6/12,Resumen!$E$9,-Resumen!$E$2,0,0)))</f>
        <v>0</v>
      </c>
      <c r="CE5" s="124">
        <f>IF(CE2&gt;MIN(Resumen!$E$10,Resumen!$K$19),0,IF(CE2&lt;=Resumen!$E$7,Resumen!$E$6/12*Financiamiento!CE4,PMT(Resumen!$E$6/12,Resumen!$E$9,-Resumen!$E$2,0,0)))</f>
        <v>0</v>
      </c>
      <c r="CF5" s="124">
        <f>IF(CF2&gt;MIN(Resumen!$E$10,Resumen!$K$19),0,IF(CF2&lt;=Resumen!$E$7,Resumen!$E$6/12*Financiamiento!CF4,PMT(Resumen!$E$6/12,Resumen!$E$9,-Resumen!$E$2,0,0)))</f>
        <v>0</v>
      </c>
      <c r="CG5" s="124">
        <f>IF(CG2&gt;MIN(Resumen!$E$10,Resumen!$K$19),0,IF(CG2&lt;=Resumen!$E$7,Resumen!$E$6/12*Financiamiento!CG4,PMT(Resumen!$E$6/12,Resumen!$E$9,-Resumen!$E$2,0,0)))</f>
        <v>0</v>
      </c>
      <c r="CH5" s="124">
        <f>IF(CH2&gt;MIN(Resumen!$E$10,Resumen!$K$19),0,IF(CH2&lt;=Resumen!$E$7,Resumen!$E$6/12*Financiamiento!CH4,PMT(Resumen!$E$6/12,Resumen!$E$9,-Resumen!$E$2,0,0)))</f>
        <v>0</v>
      </c>
      <c r="CI5" s="124">
        <f>IF(CI2&gt;MIN(Resumen!$E$10,Resumen!$K$19),0,IF(CI2&lt;=Resumen!$E$7,Resumen!$E$6/12*Financiamiento!CI4,PMT(Resumen!$E$6/12,Resumen!$E$9,-Resumen!$E$2,0,0)))</f>
        <v>0</v>
      </c>
      <c r="CJ5" s="124">
        <f>IF(CJ2&gt;MIN(Resumen!$E$10,Resumen!$K$19),0,IF(CJ2&lt;=Resumen!$E$7,Resumen!$E$6/12*Financiamiento!CJ4,PMT(Resumen!$E$6/12,Resumen!$E$9,-Resumen!$E$2,0,0)))</f>
        <v>0</v>
      </c>
      <c r="CK5" s="124">
        <f>IF(CK2&gt;MIN(Resumen!$E$10,Resumen!$K$19),0,IF(CK2&lt;=Resumen!$E$7,Resumen!$E$6/12*Financiamiento!CK4,PMT(Resumen!$E$6/12,Resumen!$E$9,-Resumen!$E$2,0,0)))</f>
        <v>0</v>
      </c>
      <c r="CL5" s="124">
        <f>IF(CL2&gt;MIN(Resumen!$E$10,Resumen!$K$19),0,IF(CL2&lt;=Resumen!$E$7,Resumen!$E$6/12*Financiamiento!CL4,PMT(Resumen!$E$6/12,Resumen!$E$9,-Resumen!$E$2,0,0)))</f>
        <v>0</v>
      </c>
      <c r="CM5" s="124">
        <f>IF(CM2&gt;MIN(Resumen!$E$10,Resumen!$K$19),0,IF(CM2&lt;=Resumen!$E$7,Resumen!$E$6/12*Financiamiento!CM4,PMT(Resumen!$E$6/12,Resumen!$E$9,-Resumen!$E$2,0,0)))</f>
        <v>0</v>
      </c>
      <c r="CN5" s="124">
        <f>IF(CN2&gt;MIN(Resumen!$E$10,Resumen!$K$19),0,IF(CN2&lt;=Resumen!$E$7,Resumen!$E$6/12*Financiamiento!CN4,PMT(Resumen!$E$6/12,Resumen!$E$9,-Resumen!$E$2,0,0)))</f>
        <v>0</v>
      </c>
      <c r="CO5" s="124">
        <f>IF(CO2&gt;MIN(Resumen!$E$10,Resumen!$K$19),0,IF(CO2&lt;=Resumen!$E$7,Resumen!$E$6/12*Financiamiento!CO4,PMT(Resumen!$E$6/12,Resumen!$E$9,-Resumen!$E$2,0,0)))</f>
        <v>0</v>
      </c>
      <c r="CP5" s="124">
        <f>IF(CP2&gt;MIN(Resumen!$E$10,Resumen!$K$19),0,IF(CP2&lt;=Resumen!$E$7,Resumen!$E$6/12*Financiamiento!CP4,PMT(Resumen!$E$6/12,Resumen!$E$9,-Resumen!$E$2,0,0)))</f>
        <v>0</v>
      </c>
      <c r="CQ5" s="124">
        <f>IF(CQ2&gt;MIN(Resumen!$E$10,Resumen!$K$19),0,IF(CQ2&lt;=Resumen!$E$7,Resumen!$E$6/12*Financiamiento!CQ4,PMT(Resumen!$E$6/12,Resumen!$E$9,-Resumen!$E$2,0,0)))</f>
        <v>0</v>
      </c>
      <c r="CR5" s="124">
        <f>IF(CR2&gt;MIN(Resumen!$E$10,Resumen!$K$19),0,IF(CR2&lt;=Resumen!$E$7,Resumen!$E$6/12*Financiamiento!CR4,PMT(Resumen!$E$6/12,Resumen!$E$9,-Resumen!$E$2,0,0)))</f>
        <v>0</v>
      </c>
      <c r="CS5" s="124">
        <f>IF(CS2&gt;MIN(Resumen!$E$10,Resumen!$K$19),0,IF(CS2&lt;=Resumen!$E$7,Resumen!$E$6/12*Financiamiento!CS4,PMT(Resumen!$E$6/12,Resumen!$E$9,-Resumen!$E$2,0,0)))</f>
        <v>0</v>
      </c>
      <c r="CT5" s="124">
        <f>IF(CT2&gt;MIN(Resumen!$E$10,Resumen!$K$19),0,IF(CT2&lt;=Resumen!$E$7,Resumen!$E$6/12*Financiamiento!CT4,PMT(Resumen!$E$6/12,Resumen!$E$9,-Resumen!$E$2,0,0)))</f>
        <v>0</v>
      </c>
      <c r="CU5" s="124">
        <f>IF(CU2&gt;MIN(Resumen!$E$10,Resumen!$K$19),0,IF(CU2&lt;=Resumen!$E$7,Resumen!$E$6/12*Financiamiento!CU4,PMT(Resumen!$E$6/12,Resumen!$E$9,-Resumen!$E$2,0,0)))</f>
        <v>0</v>
      </c>
      <c r="CV5" s="124">
        <f>IF(CV2&gt;MIN(Resumen!$E$10,Resumen!$K$19),0,IF(CV2&lt;=Resumen!$E$7,Resumen!$E$6/12*Financiamiento!CV4,PMT(Resumen!$E$6/12,Resumen!$E$9,-Resumen!$E$2,0,0)))</f>
        <v>0</v>
      </c>
      <c r="CW5" s="124">
        <f>IF(CW2&gt;MIN(Resumen!$E$10,Resumen!$K$19),0,IF(CW2&lt;=Resumen!$E$7,Resumen!$E$6/12*Financiamiento!CW4,PMT(Resumen!$E$6/12,Resumen!$E$9,-Resumen!$E$2,0,0)))</f>
        <v>0</v>
      </c>
      <c r="CX5" s="124">
        <f>IF(CX2&gt;MIN(Resumen!$E$10,Resumen!$K$19),0,IF(CX2&lt;=Resumen!$E$7,Resumen!$E$6/12*Financiamiento!CX4,PMT(Resumen!$E$6/12,Resumen!$E$9,-Resumen!$E$2,0,0)))</f>
        <v>0</v>
      </c>
      <c r="CY5" s="124">
        <f>IF(CY2&gt;MIN(Resumen!$E$10,Resumen!$K$19),0,IF(CY2&lt;=Resumen!$E$7,Resumen!$E$6/12*Financiamiento!CY4,PMT(Resumen!$E$6/12,Resumen!$E$9,-Resumen!$E$2,0,0)))</f>
        <v>0</v>
      </c>
      <c r="CZ5" s="124">
        <f>IF(CZ2&gt;MIN(Resumen!$E$10,Resumen!$K$19),0,IF(CZ2&lt;=Resumen!$E$7,Resumen!$E$6/12*Financiamiento!CZ4,PMT(Resumen!$E$6/12,Resumen!$E$9,-Resumen!$E$2,0,0)))</f>
        <v>0</v>
      </c>
      <c r="DA5" s="124">
        <f>IF(DA2&gt;MIN(Resumen!$E$10,Resumen!$K$19),0,IF(DA2&lt;=Resumen!$E$7,Resumen!$E$6/12*Financiamiento!DA4,PMT(Resumen!$E$6/12,Resumen!$E$9,-Resumen!$E$2,0,0)))</f>
        <v>0</v>
      </c>
      <c r="DB5" s="124">
        <f>IF(DB2&gt;MIN(Resumen!$E$10,Resumen!$K$19),0,IF(DB2&lt;=Resumen!$E$7,Resumen!$E$6/12*Financiamiento!DB4,PMT(Resumen!$E$6/12,Resumen!$E$9,-Resumen!$E$2,0,0)))</f>
        <v>0</v>
      </c>
      <c r="DC5" s="124">
        <f>IF(DC2&gt;MIN(Resumen!$E$10,Resumen!$K$19),0,IF(DC2&lt;=Resumen!$E$7,Resumen!$E$6/12*Financiamiento!DC4,PMT(Resumen!$E$6/12,Resumen!$E$9,-Resumen!$E$2,0,0)))</f>
        <v>0</v>
      </c>
      <c r="DD5" s="124">
        <f>IF(DD2&gt;MIN(Resumen!$E$10,Resumen!$K$19),0,IF(DD2&lt;=Resumen!$E$7,Resumen!$E$6/12*Financiamiento!DD4,PMT(Resumen!$E$6/12,Resumen!$E$9,-Resumen!$E$2,0,0)))</f>
        <v>0</v>
      </c>
      <c r="DE5" s="124">
        <f>IF(DE2&gt;MIN(Resumen!$E$10,Resumen!$K$19),0,IF(DE2&lt;=Resumen!$E$7,Resumen!$E$6/12*Financiamiento!DE4,PMT(Resumen!$E$6/12,Resumen!$E$9,-Resumen!$E$2,0,0)))</f>
        <v>0</v>
      </c>
      <c r="DF5" s="124">
        <f>IF(DF2&gt;MIN(Resumen!$E$10,Resumen!$K$19),0,IF(DF2&lt;=Resumen!$E$7,Resumen!$E$6/12*Financiamiento!DF4,PMT(Resumen!$E$6/12,Resumen!$E$9,-Resumen!$E$2,0,0)))</f>
        <v>0</v>
      </c>
      <c r="DG5" s="124">
        <f>IF(DG2&gt;MIN(Resumen!$E$10,Resumen!$K$19),0,IF(DG2&lt;=Resumen!$E$7,Resumen!$E$6/12*Financiamiento!DG4,PMT(Resumen!$E$6/12,Resumen!$E$9,-Resumen!$E$2,0,0)))</f>
        <v>0</v>
      </c>
      <c r="DH5" s="124">
        <f>IF(DH2&gt;MIN(Resumen!$E$10,Resumen!$K$19),0,IF(DH2&lt;=Resumen!$E$7,Resumen!$E$6/12*Financiamiento!DH4,PMT(Resumen!$E$6/12,Resumen!$E$9,-Resumen!$E$2,0,0)))</f>
        <v>0</v>
      </c>
      <c r="DI5" s="124">
        <f>IF(DI2&gt;MIN(Resumen!$E$10,Resumen!$K$19),0,IF(DI2&lt;=Resumen!$E$7,Resumen!$E$6/12*Financiamiento!DI4,PMT(Resumen!$E$6/12,Resumen!$E$9,-Resumen!$E$2,0,0)))</f>
        <v>0</v>
      </c>
      <c r="DJ5" s="124">
        <f>IF(DJ2&gt;MIN(Resumen!$E$10,Resumen!$K$19),0,IF(DJ2&lt;=Resumen!$E$7,Resumen!$E$6/12*Financiamiento!DJ4,PMT(Resumen!$E$6/12,Resumen!$E$9,-Resumen!$E$2,0,0)))</f>
        <v>0</v>
      </c>
      <c r="DK5" s="124">
        <f>IF(DK2&gt;MIN(Resumen!$E$10,Resumen!$K$19),0,IF(DK2&lt;=Resumen!$E$7,Resumen!$E$6/12*Financiamiento!DK4,PMT(Resumen!$E$6/12,Resumen!$E$9,-Resumen!$E$2,0,0)))</f>
        <v>0</v>
      </c>
      <c r="DL5" s="124">
        <f>IF(DL2&gt;MIN(Resumen!$E$10,Resumen!$K$19),0,IF(DL2&lt;=Resumen!$E$7,Resumen!$E$6/12*Financiamiento!DL4,PMT(Resumen!$E$6/12,Resumen!$E$9,-Resumen!$E$2,0,0)))</f>
        <v>0</v>
      </c>
      <c r="DM5" s="124">
        <f>IF(DM2&gt;MIN(Resumen!$E$10,Resumen!$K$19),0,IF(DM2&lt;=Resumen!$E$7,Resumen!$E$6/12*Financiamiento!DM4,PMT(Resumen!$E$6/12,Resumen!$E$9,-Resumen!$E$2,0,0)))</f>
        <v>0</v>
      </c>
      <c r="DN5" s="124">
        <f>IF(DN2&gt;MIN(Resumen!$E$10,Resumen!$K$19),0,IF(DN2&lt;=Resumen!$E$7,Resumen!$E$6/12*Financiamiento!DN4,PMT(Resumen!$E$6/12,Resumen!$E$9,-Resumen!$E$2,0,0)))</f>
        <v>0</v>
      </c>
      <c r="DO5" s="124">
        <f>IF(DO2&gt;MIN(Resumen!$E$10,Resumen!$K$19),0,IF(DO2&lt;=Resumen!$E$7,Resumen!$E$6/12*Financiamiento!DO4,PMT(Resumen!$E$6/12,Resumen!$E$9,-Resumen!$E$2,0,0)))</f>
        <v>0</v>
      </c>
      <c r="DP5" s="124">
        <f>IF(DP2&gt;MIN(Resumen!$E$10,Resumen!$K$19),0,IF(DP2&lt;=Resumen!$E$7,Resumen!$E$6/12*Financiamiento!DP4,PMT(Resumen!$E$6/12,Resumen!$E$9,-Resumen!$E$2,0,0)))</f>
        <v>0</v>
      </c>
      <c r="DQ5" s="124">
        <f>IF(DQ2&gt;MIN(Resumen!$E$10,Resumen!$K$19),0,IF(DQ2&lt;=Resumen!$E$7,Resumen!$E$6/12*Financiamiento!DQ4,PMT(Resumen!$E$6/12,Resumen!$E$9,-Resumen!$E$2,0,0)))</f>
        <v>0</v>
      </c>
      <c r="DR5" s="124">
        <f>IF(DR2&gt;MIN(Resumen!$E$10,Resumen!$K$19),0,IF(DR2&lt;=Resumen!$E$7,Resumen!$E$6/12*Financiamiento!DR4,PMT(Resumen!$E$6/12,Resumen!$E$9,-Resumen!$E$2,0,0)))</f>
        <v>0</v>
      </c>
      <c r="DS5" s="124">
        <f>IF(DS2&gt;MIN(Resumen!$E$10,Resumen!$K$19),0,IF(DS2&lt;=Resumen!$E$7,Resumen!$E$6/12*Financiamiento!DS4,PMT(Resumen!$E$6/12,Resumen!$E$9,-Resumen!$E$2,0,0)))</f>
        <v>0</v>
      </c>
      <c r="DT5" s="124">
        <f>IF(DT2&gt;MIN(Resumen!$E$10,Resumen!$K$19),0,IF(DT2&lt;=Resumen!$E$7,Resumen!$E$6/12*Financiamiento!DT4,PMT(Resumen!$E$6/12,Resumen!$E$9,-Resumen!$E$2,0,0)))</f>
        <v>0</v>
      </c>
      <c r="DU5" s="124">
        <f>IF(DU2&gt;MIN(Resumen!$E$10,Resumen!$K$19),0,IF(DU2&lt;=Resumen!$E$7,Resumen!$E$6/12*Financiamiento!DU4,PMT(Resumen!$E$6/12,Resumen!$E$9,-Resumen!$E$2,0,0)))</f>
        <v>0</v>
      </c>
      <c r="DV5" s="124">
        <f>IF(DV2&gt;MIN(Resumen!$E$10,Resumen!$K$19),0,IF(DV2&lt;=Resumen!$E$7,Resumen!$E$6/12*Financiamiento!DV4,PMT(Resumen!$E$6/12,Resumen!$E$9,-Resumen!$E$2,0,0)))</f>
        <v>0</v>
      </c>
      <c r="DW5" s="124">
        <f>IF(DW2&gt;MIN(Resumen!$E$10,Resumen!$K$19),0,IF(DW2&lt;=Resumen!$E$7,Resumen!$E$6/12*Financiamiento!DW4,PMT(Resumen!$E$6/12,Resumen!$E$9,-Resumen!$E$2,0,0)))</f>
        <v>0</v>
      </c>
      <c r="DX5" s="124">
        <f>IF(DX2&gt;MIN(Resumen!$E$10,Resumen!$K$19),0,IF(DX2&lt;=Resumen!$E$7,Resumen!$E$6/12*Financiamiento!DX4,PMT(Resumen!$E$6/12,Resumen!$E$9,-Resumen!$E$2,0,0)))</f>
        <v>0</v>
      </c>
      <c r="DY5" s="124">
        <f>IF(DY2&gt;MIN(Resumen!$E$10,Resumen!$K$19),0,IF(DY2&lt;=Resumen!$E$7,Resumen!$E$6/12*Financiamiento!DY4,PMT(Resumen!$E$6/12,Resumen!$E$9,-Resumen!$E$2,0,0)))</f>
        <v>0</v>
      </c>
      <c r="DZ5" s="124">
        <f>IF(DZ2&gt;MIN(Resumen!$E$10,Resumen!$K$19),0,IF(DZ2&lt;=Resumen!$E$7,Resumen!$E$6/12*Financiamiento!DZ4,PMT(Resumen!$E$6/12,Resumen!$E$9,-Resumen!$E$2,0,0)))</f>
        <v>0</v>
      </c>
      <c r="EA5" s="124">
        <f>IF(EA2&gt;MIN(Resumen!$E$10,Resumen!$K$19),0,IF(EA2&lt;=Resumen!$E$7,Resumen!$E$6/12*Financiamiento!EA4,PMT(Resumen!$E$6/12,Resumen!$E$9,-Resumen!$E$2,0,0)))</f>
        <v>0</v>
      </c>
      <c r="EB5" s="124">
        <f>IF(EB2&gt;MIN(Resumen!$E$10,Resumen!$K$19),0,IF(EB2&lt;=Resumen!$E$7,Resumen!$E$6/12*Financiamiento!EB4,PMT(Resumen!$E$6/12,Resumen!$E$9,-Resumen!$E$2,0,0)))</f>
        <v>0</v>
      </c>
      <c r="EC5" s="124">
        <f>IF(EC2&gt;MIN(Resumen!$E$10,Resumen!$K$19),0,IF(EC2&lt;=Resumen!$E$7,Resumen!$E$6/12*Financiamiento!EC4,PMT(Resumen!$E$6/12,Resumen!$E$9,-Resumen!$E$2,0,0)))</f>
        <v>0</v>
      </c>
      <c r="ED5" s="125">
        <f>IF(ED2&gt;MIN(Resumen!$E$10,Resumen!$K$19),0,IF(ED2&lt;=Resumen!$E$7,Resumen!$E$6/12*Financiamiento!ED4,PMT(Resumen!$E$6/12,Resumen!$E$9,-Resumen!$E$2,0,0)))</f>
        <v>0</v>
      </c>
    </row>
    <row r="6" spans="1:134" x14ac:dyDescent="0.25">
      <c r="A6" s="123">
        <f>SUM(C6:ED6)</f>
        <v>1348899906.5902653</v>
      </c>
      <c r="B6" s="5" t="s">
        <v>211</v>
      </c>
      <c r="C6" s="124">
        <f>C5-C7</f>
        <v>0</v>
      </c>
      <c r="D6" s="124">
        <f>D5-D7</f>
        <v>0</v>
      </c>
      <c r="E6" s="124">
        <f t="shared" ref="E6:BP6" si="6">E5-E7</f>
        <v>0</v>
      </c>
      <c r="F6" s="124">
        <f t="shared" si="6"/>
        <v>0</v>
      </c>
      <c r="G6" s="124">
        <f t="shared" si="6"/>
        <v>0</v>
      </c>
      <c r="H6" s="124">
        <f t="shared" si="6"/>
        <v>0</v>
      </c>
      <c r="I6" s="124">
        <f t="shared" si="6"/>
        <v>0</v>
      </c>
      <c r="J6" s="124">
        <f t="shared" si="6"/>
        <v>0</v>
      </c>
      <c r="K6" s="124">
        <f t="shared" si="6"/>
        <v>0</v>
      </c>
      <c r="L6" s="124">
        <f t="shared" si="6"/>
        <v>0</v>
      </c>
      <c r="M6" s="124">
        <f t="shared" si="6"/>
        <v>0</v>
      </c>
      <c r="N6" s="124">
        <f t="shared" si="6"/>
        <v>0</v>
      </c>
      <c r="O6" s="124">
        <f t="shared" si="6"/>
        <v>0</v>
      </c>
      <c r="P6" s="124">
        <f t="shared" si="6"/>
        <v>0</v>
      </c>
      <c r="Q6" s="124">
        <f t="shared" si="6"/>
        <v>0</v>
      </c>
      <c r="R6" s="124">
        <f t="shared" si="6"/>
        <v>0</v>
      </c>
      <c r="S6" s="124">
        <f t="shared" si="6"/>
        <v>0</v>
      </c>
      <c r="T6" s="124">
        <f t="shared" si="6"/>
        <v>0</v>
      </c>
      <c r="U6" s="124">
        <f t="shared" si="6"/>
        <v>26475121.225129366</v>
      </c>
      <c r="V6" s="124">
        <f t="shared" si="6"/>
        <v>26717809.836359739</v>
      </c>
      <c r="W6" s="124">
        <f t="shared" si="6"/>
        <v>26962723.093193054</v>
      </c>
      <c r="X6" s="124">
        <f t="shared" si="6"/>
        <v>27209881.388213992</v>
      </c>
      <c r="Y6" s="124">
        <f t="shared" si="6"/>
        <v>27459305.300939322</v>
      </c>
      <c r="Z6" s="124">
        <f t="shared" si="6"/>
        <v>27711015.599531293</v>
      </c>
      <c r="AA6" s="124">
        <f t="shared" si="6"/>
        <v>27965033.242526889</v>
      </c>
      <c r="AB6" s="124">
        <f t="shared" si="6"/>
        <v>28221379.380583405</v>
      </c>
      <c r="AC6" s="124">
        <f t="shared" si="6"/>
        <v>28480075.358238816</v>
      </c>
      <c r="AD6" s="124">
        <f t="shared" si="6"/>
        <v>28741142.715689301</v>
      </c>
      <c r="AE6" s="124">
        <f t="shared" si="6"/>
        <v>29004603.19058311</v>
      </c>
      <c r="AF6" s="124">
        <f t="shared" si="6"/>
        <v>29270478.719830155</v>
      </c>
      <c r="AG6" s="124">
        <f t="shared" si="6"/>
        <v>29538791.441428542</v>
      </c>
      <c r="AH6" s="124">
        <f t="shared" si="6"/>
        <v>29809563.696308255</v>
      </c>
      <c r="AI6" s="124">
        <f t="shared" si="6"/>
        <v>30082818.030191064</v>
      </c>
      <c r="AJ6" s="124">
        <f t="shared" si="6"/>
        <v>30358577.19546783</v>
      </c>
      <c r="AK6" s="124">
        <f t="shared" si="6"/>
        <v>30636864.15309298</v>
      </c>
      <c r="AL6" s="124">
        <f t="shared" si="6"/>
        <v>30917702.074496388</v>
      </c>
      <c r="AM6" s="124">
        <f t="shared" si="6"/>
        <v>31201114.343512535</v>
      </c>
      <c r="AN6" s="124">
        <f t="shared" si="6"/>
        <v>31487124.558328032</v>
      </c>
      <c r="AO6" s="124">
        <f t="shared" si="6"/>
        <v>31775756.533446074</v>
      </c>
      <c r="AP6" s="124">
        <f t="shared" si="6"/>
        <v>32067034.301669359</v>
      </c>
      <c r="AQ6" s="124">
        <f t="shared" si="6"/>
        <v>32360982.116101265</v>
      </c>
      <c r="AR6" s="124">
        <f t="shared" si="6"/>
        <v>32657624.452165484</v>
      </c>
      <c r="AS6" s="124">
        <f t="shared" si="6"/>
        <v>32956986.009643674</v>
      </c>
      <c r="AT6" s="124">
        <f t="shared" si="6"/>
        <v>33259091.714732051</v>
      </c>
      <c r="AU6" s="124">
        <f t="shared" si="6"/>
        <v>33563966.722117186</v>
      </c>
      <c r="AV6" s="124">
        <f t="shared" si="6"/>
        <v>33871636.417070031</v>
      </c>
      <c r="AW6" s="124">
        <f t="shared" si="6"/>
        <v>34182126.417559743</v>
      </c>
      <c r="AX6" s="124">
        <f t="shared" si="6"/>
        <v>34495462.576387405</v>
      </c>
      <c r="AY6" s="124">
        <f t="shared" si="6"/>
        <v>34811670.983337522</v>
      </c>
      <c r="AZ6" s="124">
        <f t="shared" si="6"/>
        <v>35130777.967351556</v>
      </c>
      <c r="BA6" s="124">
        <f t="shared" si="6"/>
        <v>35452810.098718882</v>
      </c>
      <c r="BB6" s="124">
        <f t="shared" si="6"/>
        <v>35777794.191290498</v>
      </c>
      <c r="BC6" s="124">
        <f t="shared" si="6"/>
        <v>36105757.304710627</v>
      </c>
      <c r="BD6" s="124">
        <f t="shared" si="6"/>
        <v>36436726.746670604</v>
      </c>
      <c r="BE6" s="124">
        <f t="shared" si="6"/>
        <v>36770730.075181723</v>
      </c>
      <c r="BF6" s="124">
        <f t="shared" si="6"/>
        <v>37107795.100870848</v>
      </c>
      <c r="BG6" s="124">
        <f t="shared" si="6"/>
        <v>37447949.889295578</v>
      </c>
      <c r="BH6" s="124">
        <f t="shared" si="6"/>
        <v>37791222.763280749</v>
      </c>
      <c r="BI6" s="124">
        <f t="shared" si="6"/>
        <v>38137642.305277467</v>
      </c>
      <c r="BJ6" s="124">
        <f t="shared" si="6"/>
        <v>38487237.359742522</v>
      </c>
      <c r="BK6" s="124">
        <f t="shared" si="6"/>
        <v>0</v>
      </c>
      <c r="BL6" s="124">
        <f t="shared" si="6"/>
        <v>0</v>
      </c>
      <c r="BM6" s="124">
        <f t="shared" si="6"/>
        <v>0</v>
      </c>
      <c r="BN6" s="124">
        <f t="shared" si="6"/>
        <v>0</v>
      </c>
      <c r="BO6" s="124">
        <f t="shared" si="6"/>
        <v>0</v>
      </c>
      <c r="BP6" s="124">
        <f t="shared" si="6"/>
        <v>0</v>
      </c>
      <c r="BQ6" s="124">
        <f t="shared" ref="BQ6:EB6" si="7">BQ5-BQ7</f>
        <v>0</v>
      </c>
      <c r="BR6" s="124">
        <f t="shared" si="7"/>
        <v>0</v>
      </c>
      <c r="BS6" s="124">
        <f t="shared" si="7"/>
        <v>0</v>
      </c>
      <c r="BT6" s="124">
        <f t="shared" si="7"/>
        <v>0</v>
      </c>
      <c r="BU6" s="124">
        <f t="shared" si="7"/>
        <v>0</v>
      </c>
      <c r="BV6" s="124">
        <f t="shared" si="7"/>
        <v>0</v>
      </c>
      <c r="BW6" s="124">
        <f t="shared" si="7"/>
        <v>0</v>
      </c>
      <c r="BX6" s="124">
        <f t="shared" si="7"/>
        <v>0</v>
      </c>
      <c r="BY6" s="124">
        <f t="shared" si="7"/>
        <v>0</v>
      </c>
      <c r="BZ6" s="124">
        <f t="shared" si="7"/>
        <v>0</v>
      </c>
      <c r="CA6" s="124">
        <f t="shared" si="7"/>
        <v>0</v>
      </c>
      <c r="CB6" s="124">
        <f t="shared" si="7"/>
        <v>0</v>
      </c>
      <c r="CC6" s="124">
        <f t="shared" si="7"/>
        <v>0</v>
      </c>
      <c r="CD6" s="124">
        <f t="shared" si="7"/>
        <v>0</v>
      </c>
      <c r="CE6" s="124">
        <f t="shared" si="7"/>
        <v>0</v>
      </c>
      <c r="CF6" s="124">
        <f t="shared" si="7"/>
        <v>0</v>
      </c>
      <c r="CG6" s="124">
        <f t="shared" si="7"/>
        <v>0</v>
      </c>
      <c r="CH6" s="124">
        <f t="shared" si="7"/>
        <v>0</v>
      </c>
      <c r="CI6" s="124">
        <f t="shared" si="7"/>
        <v>0</v>
      </c>
      <c r="CJ6" s="124">
        <f t="shared" si="7"/>
        <v>0</v>
      </c>
      <c r="CK6" s="124">
        <f t="shared" si="7"/>
        <v>0</v>
      </c>
      <c r="CL6" s="124">
        <f t="shared" si="7"/>
        <v>0</v>
      </c>
      <c r="CM6" s="124">
        <f t="shared" si="7"/>
        <v>0</v>
      </c>
      <c r="CN6" s="124">
        <f t="shared" si="7"/>
        <v>0</v>
      </c>
      <c r="CO6" s="124">
        <f t="shared" si="7"/>
        <v>0</v>
      </c>
      <c r="CP6" s="124">
        <f t="shared" si="7"/>
        <v>0</v>
      </c>
      <c r="CQ6" s="124">
        <f t="shared" si="7"/>
        <v>0</v>
      </c>
      <c r="CR6" s="124">
        <f t="shared" si="7"/>
        <v>0</v>
      </c>
      <c r="CS6" s="124">
        <f t="shared" si="7"/>
        <v>0</v>
      </c>
      <c r="CT6" s="124">
        <f t="shared" si="7"/>
        <v>0</v>
      </c>
      <c r="CU6" s="124">
        <f t="shared" si="7"/>
        <v>0</v>
      </c>
      <c r="CV6" s="124">
        <f t="shared" si="7"/>
        <v>0</v>
      </c>
      <c r="CW6" s="124">
        <f t="shared" si="7"/>
        <v>0</v>
      </c>
      <c r="CX6" s="124">
        <f t="shared" si="7"/>
        <v>0</v>
      </c>
      <c r="CY6" s="124">
        <f t="shared" si="7"/>
        <v>0</v>
      </c>
      <c r="CZ6" s="124">
        <f t="shared" si="7"/>
        <v>0</v>
      </c>
      <c r="DA6" s="124">
        <f t="shared" si="7"/>
        <v>0</v>
      </c>
      <c r="DB6" s="124">
        <f t="shared" si="7"/>
        <v>0</v>
      </c>
      <c r="DC6" s="124">
        <f t="shared" si="7"/>
        <v>0</v>
      </c>
      <c r="DD6" s="124">
        <f t="shared" si="7"/>
        <v>0</v>
      </c>
      <c r="DE6" s="124">
        <f t="shared" si="7"/>
        <v>0</v>
      </c>
      <c r="DF6" s="124">
        <f t="shared" si="7"/>
        <v>0</v>
      </c>
      <c r="DG6" s="124">
        <f t="shared" si="7"/>
        <v>0</v>
      </c>
      <c r="DH6" s="124">
        <f t="shared" si="7"/>
        <v>0</v>
      </c>
      <c r="DI6" s="124">
        <f t="shared" si="7"/>
        <v>0</v>
      </c>
      <c r="DJ6" s="124">
        <f t="shared" si="7"/>
        <v>0</v>
      </c>
      <c r="DK6" s="124">
        <f t="shared" si="7"/>
        <v>0</v>
      </c>
      <c r="DL6" s="124">
        <f t="shared" si="7"/>
        <v>0</v>
      </c>
      <c r="DM6" s="124">
        <f t="shared" si="7"/>
        <v>0</v>
      </c>
      <c r="DN6" s="124">
        <f t="shared" si="7"/>
        <v>0</v>
      </c>
      <c r="DO6" s="124">
        <f t="shared" si="7"/>
        <v>0</v>
      </c>
      <c r="DP6" s="124">
        <f t="shared" si="7"/>
        <v>0</v>
      </c>
      <c r="DQ6" s="124">
        <f t="shared" si="7"/>
        <v>0</v>
      </c>
      <c r="DR6" s="124">
        <f t="shared" si="7"/>
        <v>0</v>
      </c>
      <c r="DS6" s="124">
        <f t="shared" si="7"/>
        <v>0</v>
      </c>
      <c r="DT6" s="124">
        <f t="shared" si="7"/>
        <v>0</v>
      </c>
      <c r="DU6" s="124">
        <f t="shared" si="7"/>
        <v>0</v>
      </c>
      <c r="DV6" s="124">
        <f t="shared" si="7"/>
        <v>0</v>
      </c>
      <c r="DW6" s="124">
        <f t="shared" si="7"/>
        <v>0</v>
      </c>
      <c r="DX6" s="124">
        <f t="shared" si="7"/>
        <v>0</v>
      </c>
      <c r="DY6" s="124">
        <f t="shared" si="7"/>
        <v>0</v>
      </c>
      <c r="DZ6" s="124">
        <f t="shared" si="7"/>
        <v>0</v>
      </c>
      <c r="EA6" s="124">
        <f t="shared" si="7"/>
        <v>0</v>
      </c>
      <c r="EB6" s="124">
        <f t="shared" si="7"/>
        <v>0</v>
      </c>
      <c r="EC6" s="124">
        <f>EC5-EC7</f>
        <v>0</v>
      </c>
      <c r="ED6" s="125">
        <f>ED5-ED7</f>
        <v>0</v>
      </c>
    </row>
    <row r="7" spans="1:134" x14ac:dyDescent="0.25">
      <c r="A7" s="123">
        <f>SUM(C7:ED7)</f>
        <v>40600555184.865181</v>
      </c>
      <c r="B7" s="5" t="s">
        <v>212</v>
      </c>
      <c r="C7" s="124">
        <f>C4*Resumen!$E$6/12</f>
        <v>680625000</v>
      </c>
      <c r="D7" s="124">
        <f>D4*Resumen!$E$6/12</f>
        <v>680625000</v>
      </c>
      <c r="E7" s="124">
        <f>E4*Resumen!$E$6/12</f>
        <v>680625000</v>
      </c>
      <c r="F7" s="124">
        <f>F4*Resumen!$E$6/12</f>
        <v>680625000</v>
      </c>
      <c r="G7" s="124">
        <f>G4*Resumen!$E$6/12</f>
        <v>680625000</v>
      </c>
      <c r="H7" s="124">
        <f>H4*Resumen!$E$6/12</f>
        <v>680625000</v>
      </c>
      <c r="I7" s="124">
        <f>I4*Resumen!$E$6/12</f>
        <v>680625000</v>
      </c>
      <c r="J7" s="124">
        <f>J4*Resumen!$E$6/12</f>
        <v>680625000</v>
      </c>
      <c r="K7" s="124">
        <f>K4*Resumen!$E$6/12</f>
        <v>680625000</v>
      </c>
      <c r="L7" s="124">
        <f>L4*Resumen!$E$6/12</f>
        <v>680625000</v>
      </c>
      <c r="M7" s="124">
        <f>M4*Resumen!$E$6/12</f>
        <v>680625000</v>
      </c>
      <c r="N7" s="124">
        <f>N4*Resumen!$E$6/12</f>
        <v>680625000</v>
      </c>
      <c r="O7" s="124">
        <f>O4*Resumen!$E$6/12</f>
        <v>680625000</v>
      </c>
      <c r="P7" s="124">
        <f>P4*Resumen!$E$6/12</f>
        <v>680625000</v>
      </c>
      <c r="Q7" s="124">
        <f>Q4*Resumen!$E$6/12</f>
        <v>680625000</v>
      </c>
      <c r="R7" s="124">
        <f>R4*Resumen!$E$6/12</f>
        <v>680625000</v>
      </c>
      <c r="S7" s="124">
        <f>S4*Resumen!$E$6/12</f>
        <v>680625000</v>
      </c>
      <c r="T7" s="124">
        <f>T4*Resumen!$E$6/12</f>
        <v>680625000</v>
      </c>
      <c r="U7" s="124">
        <f>U4*Resumen!$E$6/12</f>
        <v>680625000</v>
      </c>
      <c r="V7" s="124">
        <f>V4*Resumen!$E$6/12</f>
        <v>680382311.38876963</v>
      </c>
      <c r="W7" s="124">
        <f>W4*Resumen!$E$6/12</f>
        <v>680137398.13193631</v>
      </c>
      <c r="X7" s="124">
        <f>X4*Resumen!$E$6/12</f>
        <v>679890239.83691537</v>
      </c>
      <c r="Y7" s="124">
        <f>Y4*Resumen!$E$6/12</f>
        <v>679640815.92419004</v>
      </c>
      <c r="Z7" s="124">
        <f>Z4*Resumen!$E$6/12</f>
        <v>679389105.62559807</v>
      </c>
      <c r="AA7" s="124">
        <f>AA4*Resumen!$E$6/12</f>
        <v>679135087.98260248</v>
      </c>
      <c r="AB7" s="124">
        <f>AB4*Resumen!$E$6/12</f>
        <v>678878741.84454596</v>
      </c>
      <c r="AC7" s="124">
        <f>AC4*Resumen!$E$6/12</f>
        <v>678620045.86689055</v>
      </c>
      <c r="AD7" s="124">
        <f>AD4*Resumen!$E$6/12</f>
        <v>678358978.50944006</v>
      </c>
      <c r="AE7" s="124">
        <f>AE4*Resumen!$E$6/12</f>
        <v>678095518.03454626</v>
      </c>
      <c r="AF7" s="124">
        <f>AF4*Resumen!$E$6/12</f>
        <v>677829642.50529921</v>
      </c>
      <c r="AG7" s="124">
        <f>AG4*Resumen!$E$6/12</f>
        <v>677561329.78370082</v>
      </c>
      <c r="AH7" s="124">
        <f>AH4*Resumen!$E$6/12</f>
        <v>677290557.52882111</v>
      </c>
      <c r="AI7" s="124">
        <f>AI4*Resumen!$E$6/12</f>
        <v>677017303.1949383</v>
      </c>
      <c r="AJ7" s="124">
        <f>AJ4*Resumen!$E$6/12</f>
        <v>676741544.02966154</v>
      </c>
      <c r="AK7" s="124">
        <f>AK4*Resumen!$E$6/12</f>
        <v>676463257.07203639</v>
      </c>
      <c r="AL7" s="124">
        <f>AL4*Resumen!$E$6/12</f>
        <v>676182419.15063298</v>
      </c>
      <c r="AM7" s="124">
        <f>AM4*Resumen!$E$6/12</f>
        <v>675899006.88161683</v>
      </c>
      <c r="AN7" s="124">
        <f>AN4*Resumen!$E$6/12</f>
        <v>675612996.66680133</v>
      </c>
      <c r="AO7" s="124">
        <f>AO4*Resumen!$E$6/12</f>
        <v>675324364.69168329</v>
      </c>
      <c r="AP7" s="124">
        <f>AP4*Resumen!$E$6/12</f>
        <v>675033086.92346001</v>
      </c>
      <c r="AQ7" s="124">
        <f>AQ4*Resumen!$E$6/12</f>
        <v>674739139.1090281</v>
      </c>
      <c r="AR7" s="124">
        <f>AR4*Resumen!$E$6/12</f>
        <v>674442496.77296388</v>
      </c>
      <c r="AS7" s="124">
        <f>AS4*Resumen!$E$6/12</f>
        <v>674143135.21548569</v>
      </c>
      <c r="AT7" s="124">
        <f>AT4*Resumen!$E$6/12</f>
        <v>673841029.51039732</v>
      </c>
      <c r="AU7" s="124">
        <f>AU4*Resumen!$E$6/12</f>
        <v>673536154.50301218</v>
      </c>
      <c r="AV7" s="124">
        <f>AV4*Resumen!$E$6/12</f>
        <v>673228484.80805933</v>
      </c>
      <c r="AW7" s="124">
        <f>AW4*Resumen!$E$6/12</f>
        <v>672917994.80756962</v>
      </c>
      <c r="AX7" s="124">
        <f>AX4*Resumen!$E$6/12</f>
        <v>672604658.64874196</v>
      </c>
      <c r="AY7" s="124">
        <f>AY4*Resumen!$E$6/12</f>
        <v>672288450.24179184</v>
      </c>
      <c r="AZ7" s="124">
        <f>AZ4*Resumen!$E$6/12</f>
        <v>671969343.25777781</v>
      </c>
      <c r="BA7" s="124">
        <f>BA4*Resumen!$E$6/12</f>
        <v>671647311.12641048</v>
      </c>
      <c r="BB7" s="124">
        <f>BB4*Resumen!$E$6/12</f>
        <v>671322327.03383887</v>
      </c>
      <c r="BC7" s="124">
        <f>BC4*Resumen!$E$6/12</f>
        <v>670994363.92041874</v>
      </c>
      <c r="BD7" s="124">
        <f>BD4*Resumen!$E$6/12</f>
        <v>670663394.47845876</v>
      </c>
      <c r="BE7" s="124">
        <f>BE4*Resumen!$E$6/12</f>
        <v>670329391.14994764</v>
      </c>
      <c r="BF7" s="124">
        <f>BF4*Resumen!$E$6/12</f>
        <v>669992326.12425852</v>
      </c>
      <c r="BG7" s="124">
        <f>BG4*Resumen!$E$6/12</f>
        <v>669652171.33583379</v>
      </c>
      <c r="BH7" s="124">
        <f>BH4*Resumen!$E$6/12</f>
        <v>669308898.46184862</v>
      </c>
      <c r="BI7" s="124">
        <f>BI4*Resumen!$E$6/12</f>
        <v>668962478.9198519</v>
      </c>
      <c r="BJ7" s="124">
        <f>BJ4*Resumen!$E$6/12</f>
        <v>668612883.86538684</v>
      </c>
      <c r="BK7" s="124">
        <f>BK4*Resumen!$E$6/12</f>
        <v>0</v>
      </c>
      <c r="BL7" s="124">
        <f>BL4*Resumen!$E$6/12</f>
        <v>0</v>
      </c>
      <c r="BM7" s="124">
        <f>BM4*Resumen!$E$6/12</f>
        <v>0</v>
      </c>
      <c r="BN7" s="124">
        <f>BN4*Resumen!$E$6/12</f>
        <v>0</v>
      </c>
      <c r="BO7" s="124">
        <f>BO4*Resumen!$E$6/12</f>
        <v>0</v>
      </c>
      <c r="BP7" s="124">
        <f>BP4*Resumen!$E$6/12</f>
        <v>0</v>
      </c>
      <c r="BQ7" s="124">
        <f>BQ4*Resumen!$E$6/12</f>
        <v>0</v>
      </c>
      <c r="BR7" s="124">
        <f>BR4*Resumen!$E$6/12</f>
        <v>0</v>
      </c>
      <c r="BS7" s="124">
        <f>BS4*Resumen!$E$6/12</f>
        <v>0</v>
      </c>
      <c r="BT7" s="124">
        <f>BT4*Resumen!$E$6/12</f>
        <v>0</v>
      </c>
      <c r="BU7" s="124">
        <f>BU4*Resumen!$E$6/12</f>
        <v>0</v>
      </c>
      <c r="BV7" s="124">
        <f>BV4*Resumen!$E$6/12</f>
        <v>0</v>
      </c>
      <c r="BW7" s="124">
        <f>BW4*Resumen!$E$6/12</f>
        <v>0</v>
      </c>
      <c r="BX7" s="124">
        <f>BX4*Resumen!$E$6/12</f>
        <v>0</v>
      </c>
      <c r="BY7" s="124">
        <f>BY4*Resumen!$E$6/12</f>
        <v>0</v>
      </c>
      <c r="BZ7" s="124">
        <f>BZ4*Resumen!$E$6/12</f>
        <v>0</v>
      </c>
      <c r="CA7" s="124">
        <f>CA4*Resumen!$E$6/12</f>
        <v>0</v>
      </c>
      <c r="CB7" s="124">
        <f>CB4*Resumen!$E$6/12</f>
        <v>0</v>
      </c>
      <c r="CC7" s="124">
        <f>CC4*Resumen!$E$6/12</f>
        <v>0</v>
      </c>
      <c r="CD7" s="124">
        <f>CD4*Resumen!$E$6/12</f>
        <v>0</v>
      </c>
      <c r="CE7" s="124">
        <f>CE4*Resumen!$E$6/12</f>
        <v>0</v>
      </c>
      <c r="CF7" s="124">
        <f>CF4*Resumen!$E$6/12</f>
        <v>0</v>
      </c>
      <c r="CG7" s="124">
        <f>CG4*Resumen!$E$6/12</f>
        <v>0</v>
      </c>
      <c r="CH7" s="124">
        <f>CH4*Resumen!$E$6/12</f>
        <v>0</v>
      </c>
      <c r="CI7" s="124">
        <f>CI4*Resumen!$E$6/12</f>
        <v>0</v>
      </c>
      <c r="CJ7" s="124">
        <f>CJ4*Resumen!$E$6/12</f>
        <v>0</v>
      </c>
      <c r="CK7" s="124">
        <f>CK4*Resumen!$E$6/12</f>
        <v>0</v>
      </c>
      <c r="CL7" s="124">
        <f>CL4*Resumen!$E$6/12</f>
        <v>0</v>
      </c>
      <c r="CM7" s="124">
        <f>CM4*Resumen!$E$6/12</f>
        <v>0</v>
      </c>
      <c r="CN7" s="124">
        <f>CN4*Resumen!$E$6/12</f>
        <v>0</v>
      </c>
      <c r="CO7" s="124">
        <f>CO4*Resumen!$E$6/12</f>
        <v>0</v>
      </c>
      <c r="CP7" s="124">
        <f>CP4*Resumen!$E$6/12</f>
        <v>0</v>
      </c>
      <c r="CQ7" s="124">
        <f>CQ4*Resumen!$E$6/12</f>
        <v>0</v>
      </c>
      <c r="CR7" s="124">
        <f>CR4*Resumen!$E$6/12</f>
        <v>0</v>
      </c>
      <c r="CS7" s="124">
        <f>CS4*Resumen!$E$6/12</f>
        <v>0</v>
      </c>
      <c r="CT7" s="124">
        <f>CT4*Resumen!$E$6/12</f>
        <v>0</v>
      </c>
      <c r="CU7" s="124">
        <f>CU4*Resumen!$E$6/12</f>
        <v>0</v>
      </c>
      <c r="CV7" s="124">
        <f>CV4*Resumen!$E$6/12</f>
        <v>0</v>
      </c>
      <c r="CW7" s="124">
        <f>CW4*Resumen!$E$6/12</f>
        <v>0</v>
      </c>
      <c r="CX7" s="124">
        <f>CX4*Resumen!$E$6/12</f>
        <v>0</v>
      </c>
      <c r="CY7" s="124">
        <f>CY4*Resumen!$E$6/12</f>
        <v>0</v>
      </c>
      <c r="CZ7" s="124">
        <f>CZ4*Resumen!$E$6/12</f>
        <v>0</v>
      </c>
      <c r="DA7" s="124">
        <f>DA4*Resumen!$E$6/12</f>
        <v>0</v>
      </c>
      <c r="DB7" s="124">
        <f>DB4*Resumen!$E$6/12</f>
        <v>0</v>
      </c>
      <c r="DC7" s="124">
        <f>DC4*Resumen!$E$6/12</f>
        <v>0</v>
      </c>
      <c r="DD7" s="124">
        <f>DD4*Resumen!$E$6/12</f>
        <v>0</v>
      </c>
      <c r="DE7" s="124">
        <f>DE4*Resumen!$E$6/12</f>
        <v>0</v>
      </c>
      <c r="DF7" s="124">
        <f>DF4*Resumen!$E$6/12</f>
        <v>0</v>
      </c>
      <c r="DG7" s="124">
        <f>DG4*Resumen!$E$6/12</f>
        <v>0</v>
      </c>
      <c r="DH7" s="124">
        <f>DH4*Resumen!$E$6/12</f>
        <v>0</v>
      </c>
      <c r="DI7" s="124">
        <f>DI4*Resumen!$E$6/12</f>
        <v>0</v>
      </c>
      <c r="DJ7" s="124">
        <f>DJ4*Resumen!$E$6/12</f>
        <v>0</v>
      </c>
      <c r="DK7" s="124">
        <f>DK4*Resumen!$E$6/12</f>
        <v>0</v>
      </c>
      <c r="DL7" s="124">
        <f>DL4*Resumen!$E$6/12</f>
        <v>0</v>
      </c>
      <c r="DM7" s="124">
        <f>DM4*Resumen!$E$6/12</f>
        <v>0</v>
      </c>
      <c r="DN7" s="124">
        <f>DN4*Resumen!$E$6/12</f>
        <v>0</v>
      </c>
      <c r="DO7" s="124">
        <f>DO4*Resumen!$E$6/12</f>
        <v>0</v>
      </c>
      <c r="DP7" s="124">
        <f>DP4*Resumen!$E$6/12</f>
        <v>0</v>
      </c>
      <c r="DQ7" s="124">
        <f>DQ4*Resumen!$E$6/12</f>
        <v>0</v>
      </c>
      <c r="DR7" s="124">
        <f>DR4*Resumen!$E$6/12</f>
        <v>0</v>
      </c>
      <c r="DS7" s="124">
        <f>DS4*Resumen!$E$6/12</f>
        <v>0</v>
      </c>
      <c r="DT7" s="124">
        <f>DT4*Resumen!$E$6/12</f>
        <v>0</v>
      </c>
      <c r="DU7" s="124">
        <f>DU4*Resumen!$E$6/12</f>
        <v>0</v>
      </c>
      <c r="DV7" s="124">
        <f>DV4*Resumen!$E$6/12</f>
        <v>0</v>
      </c>
      <c r="DW7" s="124">
        <f>DW4*Resumen!$E$6/12</f>
        <v>0</v>
      </c>
      <c r="DX7" s="124">
        <f>DX4*Resumen!$E$6/12</f>
        <v>0</v>
      </c>
      <c r="DY7" s="124">
        <f>DY4*Resumen!$E$6/12</f>
        <v>0</v>
      </c>
      <c r="DZ7" s="124">
        <f>DZ4*Resumen!$E$6/12</f>
        <v>0</v>
      </c>
      <c r="EA7" s="124">
        <f>EA4*Resumen!$E$6/12</f>
        <v>0</v>
      </c>
      <c r="EB7" s="124">
        <f>EB4*Resumen!$E$6/12</f>
        <v>0</v>
      </c>
      <c r="EC7" s="124">
        <f>EC4*Resumen!$E$6/12</f>
        <v>0</v>
      </c>
      <c r="ED7" s="125">
        <f>ED4*Resumen!$E$6/12</f>
        <v>0</v>
      </c>
    </row>
    <row r="8" spans="1:134" x14ac:dyDescent="0.25">
      <c r="A8" s="123">
        <f>SUM(C8:ED8)</f>
        <v>-72901100093.409729</v>
      </c>
      <c r="B8" s="5" t="s">
        <v>188</v>
      </c>
      <c r="C8" s="124">
        <f>IF(C2=MIN(Resumen!$E$10,Resumen!$K$19),-Financiamiento!C4+Financiamiento!C6,0)</f>
        <v>0</v>
      </c>
      <c r="D8" s="124">
        <f>IF(D2=MIN(Resumen!$E$10,Resumen!$K$19),-Financiamiento!D4+Financiamiento!D6,0)</f>
        <v>0</v>
      </c>
      <c r="E8" s="124">
        <f>IF(E2=MIN(Resumen!$E$10,Resumen!$K$19),-Financiamiento!E4+Financiamiento!E6,0)</f>
        <v>0</v>
      </c>
      <c r="F8" s="124">
        <f>IF(F2=MIN(Resumen!$E$10,Resumen!$K$19),-Financiamiento!F4+Financiamiento!F6,0)</f>
        <v>0</v>
      </c>
      <c r="G8" s="124">
        <f>IF(G2=MIN(Resumen!$E$10,Resumen!$K$19),-Financiamiento!G4+Financiamiento!G6,0)</f>
        <v>0</v>
      </c>
      <c r="H8" s="124">
        <f>IF(H2=MIN(Resumen!$E$10,Resumen!$K$19),-Financiamiento!H4+Financiamiento!H6,0)</f>
        <v>0</v>
      </c>
      <c r="I8" s="124">
        <f>IF(I2=MIN(Resumen!$E$10,Resumen!$K$19),-Financiamiento!I4+Financiamiento!I6,0)</f>
        <v>0</v>
      </c>
      <c r="J8" s="124">
        <f>IF(J2=MIN(Resumen!$E$10,Resumen!$K$19),-Financiamiento!J4+Financiamiento!J6,0)</f>
        <v>0</v>
      </c>
      <c r="K8" s="124">
        <f>IF(K2=MIN(Resumen!$E$10,Resumen!$K$19),-Financiamiento!K4+Financiamiento!K6,0)</f>
        <v>0</v>
      </c>
      <c r="L8" s="124">
        <f>IF(L2=MIN(Resumen!$E$10,Resumen!$K$19),-Financiamiento!L4+Financiamiento!L6,0)</f>
        <v>0</v>
      </c>
      <c r="M8" s="124">
        <f>IF(M2=MIN(Resumen!$E$10,Resumen!$K$19),-Financiamiento!M4+Financiamiento!M6,0)</f>
        <v>0</v>
      </c>
      <c r="N8" s="124">
        <f>IF(N2=MIN(Resumen!$E$10,Resumen!$K$19),-Financiamiento!N4+Financiamiento!N6,0)</f>
        <v>0</v>
      </c>
      <c r="O8" s="124">
        <f>IF(O2=MIN(Resumen!$E$10,Resumen!$K$19),-Financiamiento!O4+Financiamiento!O6,0)</f>
        <v>0</v>
      </c>
      <c r="P8" s="124">
        <f>IF(P2=MIN(Resumen!$E$10,Resumen!$K$19),-Financiamiento!P4+Financiamiento!P6,0)</f>
        <v>0</v>
      </c>
      <c r="Q8" s="124">
        <f>IF(Q2=MIN(Resumen!$E$10,Resumen!$K$19),-Financiamiento!Q4+Financiamiento!Q6,0)</f>
        <v>0</v>
      </c>
      <c r="R8" s="124">
        <f>IF(R2=MIN(Resumen!$E$10,Resumen!$K$19),-Financiamiento!R4+Financiamiento!R6,0)</f>
        <v>0</v>
      </c>
      <c r="S8" s="124">
        <f>IF(S2=MIN(Resumen!$E$10,Resumen!$K$19),-Financiamiento!S4+Financiamiento!S6,0)</f>
        <v>0</v>
      </c>
      <c r="T8" s="124">
        <f>IF(T2=MIN(Resumen!$E$10,Resumen!$K$19),-Financiamiento!T4+Financiamiento!T6,0)</f>
        <v>0</v>
      </c>
      <c r="U8" s="124">
        <f>IF(U2=MIN(Resumen!$E$10,Resumen!$K$19),-Financiamiento!U4+Financiamiento!U6,0)</f>
        <v>0</v>
      </c>
      <c r="V8" s="124">
        <f>IF(V2=MIN(Resumen!$E$10,Resumen!$K$19),-Financiamiento!V4+Financiamiento!V6,0)</f>
        <v>0</v>
      </c>
      <c r="W8" s="124">
        <f>IF(W2=MIN(Resumen!$E$10,Resumen!$K$19),-Financiamiento!W4+Financiamiento!W6,0)</f>
        <v>0</v>
      </c>
      <c r="X8" s="124">
        <f>IF(X2=MIN(Resumen!$E$10,Resumen!$K$19),-Financiamiento!X4+Financiamiento!X6,0)</f>
        <v>0</v>
      </c>
      <c r="Y8" s="124">
        <f>IF(Y2=MIN(Resumen!$E$10,Resumen!$K$19),-Financiamiento!Y4+Financiamiento!Y6,0)</f>
        <v>0</v>
      </c>
      <c r="Z8" s="124">
        <f>IF(Z2=MIN(Resumen!$E$10,Resumen!$K$19),-Financiamiento!Z4+Financiamiento!Z6,0)</f>
        <v>0</v>
      </c>
      <c r="AA8" s="124">
        <f>IF(AA2=MIN(Resumen!$E$10,Resumen!$K$19),-Financiamiento!AA4+Financiamiento!AA6,0)</f>
        <v>0</v>
      </c>
      <c r="AB8" s="124">
        <f>IF(AB2=MIN(Resumen!$E$10,Resumen!$K$19),-Financiamiento!AB4+Financiamiento!AB6,0)</f>
        <v>0</v>
      </c>
      <c r="AC8" s="124">
        <f>IF(AC2=MIN(Resumen!$E$10,Resumen!$K$19),-Financiamiento!AC4+Financiamiento!AC6,0)</f>
        <v>0</v>
      </c>
      <c r="AD8" s="124">
        <f>IF(AD2=MIN(Resumen!$E$10,Resumen!$K$19),-Financiamiento!AD4+Financiamiento!AD6,0)</f>
        <v>0</v>
      </c>
      <c r="AE8" s="124">
        <f>IF(AE2=MIN(Resumen!$E$10,Resumen!$K$19),-Financiamiento!AE4+Financiamiento!AE6,0)</f>
        <v>0</v>
      </c>
      <c r="AF8" s="124">
        <f>IF(AF2=MIN(Resumen!$E$10,Resumen!$K$19),-Financiamiento!AF4+Financiamiento!AF6,0)</f>
        <v>0</v>
      </c>
      <c r="AG8" s="124">
        <f>IF(AG2=MIN(Resumen!$E$10,Resumen!$K$19),-Financiamiento!AG4+Financiamiento!AG6,0)</f>
        <v>0</v>
      </c>
      <c r="AH8" s="124">
        <f>IF(AH2=MIN(Resumen!$E$10,Resumen!$K$19),-Financiamiento!AH4+Financiamiento!AH6,0)</f>
        <v>0</v>
      </c>
      <c r="AI8" s="124">
        <f>IF(AI2=MIN(Resumen!$E$10,Resumen!$K$19),-Financiamiento!AI4+Financiamiento!AI6,0)</f>
        <v>0</v>
      </c>
      <c r="AJ8" s="124">
        <f>IF(AJ2=MIN(Resumen!$E$10,Resumen!$K$19),-Financiamiento!AJ4+Financiamiento!AJ6,0)</f>
        <v>0</v>
      </c>
      <c r="AK8" s="124">
        <f>IF(AK2=MIN(Resumen!$E$10,Resumen!$K$19),-Financiamiento!AK4+Financiamiento!AK6,0)</f>
        <v>0</v>
      </c>
      <c r="AL8" s="124">
        <f>IF(AL2=MIN(Resumen!$E$10,Resumen!$K$19),-Financiamiento!AL4+Financiamiento!AL6,0)</f>
        <v>0</v>
      </c>
      <c r="AM8" s="124">
        <f>IF(AM2=MIN(Resumen!$E$10,Resumen!$K$19),-Financiamiento!AM4+Financiamiento!AM6,0)</f>
        <v>0</v>
      </c>
      <c r="AN8" s="124">
        <f>IF(AN2=MIN(Resumen!$E$10,Resumen!$K$19),-Financiamiento!AN4+Financiamiento!AN6,0)</f>
        <v>0</v>
      </c>
      <c r="AO8" s="124">
        <f>IF(AO2=MIN(Resumen!$E$10,Resumen!$K$19),-Financiamiento!AO4+Financiamiento!AO6,0)</f>
        <v>0</v>
      </c>
      <c r="AP8" s="124">
        <f>IF(AP2=MIN(Resumen!$E$10,Resumen!$K$19),-Financiamiento!AP4+Financiamiento!AP6,0)</f>
        <v>0</v>
      </c>
      <c r="AQ8" s="124">
        <f>IF(AQ2=MIN(Resumen!$E$10,Resumen!$K$19),-Financiamiento!AQ4+Financiamiento!AQ6,0)</f>
        <v>0</v>
      </c>
      <c r="AR8" s="124">
        <f>IF(AR2=MIN(Resumen!$E$10,Resumen!$K$19),-Financiamiento!AR4+Financiamiento!AR6,0)</f>
        <v>0</v>
      </c>
      <c r="AS8" s="124">
        <f>IF(AS2=MIN(Resumen!$E$10,Resumen!$K$19),-Financiamiento!AS4+Financiamiento!AS6,0)</f>
        <v>0</v>
      </c>
      <c r="AT8" s="124">
        <f>IF(AT2=MIN(Resumen!$E$10,Resumen!$K$19),-Financiamiento!AT4+Financiamiento!AT6,0)</f>
        <v>0</v>
      </c>
      <c r="AU8" s="124">
        <f>IF(AU2=MIN(Resumen!$E$10,Resumen!$K$19),-Financiamiento!AU4+Financiamiento!AU6,0)</f>
        <v>0</v>
      </c>
      <c r="AV8" s="124">
        <f>IF(AV2=MIN(Resumen!$E$10,Resumen!$K$19),-Financiamiento!AV4+Financiamiento!AV6,0)</f>
        <v>0</v>
      </c>
      <c r="AW8" s="124">
        <f>IF(AW2=MIN(Resumen!$E$10,Resumen!$K$19),-Financiamiento!AW4+Financiamiento!AW6,0)</f>
        <v>0</v>
      </c>
      <c r="AX8" s="124">
        <f>IF(AX2=MIN(Resumen!$E$10,Resumen!$K$19),-Financiamiento!AX4+Financiamiento!AX6,0)</f>
        <v>0</v>
      </c>
      <c r="AY8" s="124">
        <f>IF(AY2=MIN(Resumen!$E$10,Resumen!$K$19),-Financiamiento!AY4+Financiamiento!AY6,0)</f>
        <v>0</v>
      </c>
      <c r="AZ8" s="124">
        <f>IF(AZ2=MIN(Resumen!$E$10,Resumen!$K$19),-Financiamiento!AZ4+Financiamiento!AZ6,0)</f>
        <v>0</v>
      </c>
      <c r="BA8" s="124">
        <f>IF(BA2=MIN(Resumen!$E$10,Resumen!$K$19),-Financiamiento!BA4+Financiamiento!BA6,0)</f>
        <v>0</v>
      </c>
      <c r="BB8" s="124">
        <f>IF(BB2=MIN(Resumen!$E$10,Resumen!$K$19),-Financiamiento!BB4+Financiamiento!BB6,0)</f>
        <v>0</v>
      </c>
      <c r="BC8" s="124">
        <f>IF(BC2=MIN(Resumen!$E$10,Resumen!$K$19),-Financiamiento!BC4+Financiamiento!BC6,0)</f>
        <v>0</v>
      </c>
      <c r="BD8" s="124">
        <f>IF(BD2=MIN(Resumen!$E$10,Resumen!$K$19),-Financiamiento!BD4+Financiamiento!BD6,0)</f>
        <v>0</v>
      </c>
      <c r="BE8" s="124">
        <f>IF(BE2=MIN(Resumen!$E$10,Resumen!$K$19),-Financiamiento!BE4+Financiamiento!BE6,0)</f>
        <v>0</v>
      </c>
      <c r="BF8" s="124">
        <f>IF(BF2=MIN(Resumen!$E$10,Resumen!$K$19),-Financiamiento!BF4+Financiamiento!BF6,0)</f>
        <v>0</v>
      </c>
      <c r="BG8" s="124">
        <f>IF(BG2=MIN(Resumen!$E$10,Resumen!$K$19),-Financiamiento!BG4+Financiamiento!BG6,0)</f>
        <v>0</v>
      </c>
      <c r="BH8" s="124">
        <f>IF(BH2=MIN(Resumen!$E$10,Resumen!$K$19),-Financiamiento!BH4+Financiamiento!BH6,0)</f>
        <v>0</v>
      </c>
      <c r="BI8" s="124">
        <f>IF(BI2=MIN(Resumen!$E$10,Resumen!$K$19),-Financiamiento!BI4+Financiamiento!BI6,0)</f>
        <v>0</v>
      </c>
      <c r="BJ8" s="124">
        <f>IF(BJ2=MIN(Resumen!$E$10,Resumen!$K$19),-Financiamiento!BJ4+Financiamiento!BJ6,0)</f>
        <v>-72901100093.409729</v>
      </c>
      <c r="BK8" s="124">
        <f>IF(BK2=MIN(Resumen!$E$10,Resumen!$K$19),-Financiamiento!BK4+Financiamiento!BK6,0)</f>
        <v>0</v>
      </c>
      <c r="BL8" s="124">
        <f>IF(BL2=MIN(Resumen!$E$10,Resumen!$K$19),-Financiamiento!BL4+Financiamiento!BL6,0)</f>
        <v>0</v>
      </c>
      <c r="BM8" s="124">
        <f>IF(BM2=MIN(Resumen!$E$10,Resumen!$K$19),-Financiamiento!BM4+Financiamiento!BM6,0)</f>
        <v>0</v>
      </c>
      <c r="BN8" s="124">
        <f>IF(BN2=MIN(Resumen!$E$10,Resumen!$K$19),-Financiamiento!BN4+Financiamiento!BN6,0)</f>
        <v>0</v>
      </c>
      <c r="BO8" s="124">
        <f>IF(BO2=MIN(Resumen!$E$10,Resumen!$K$19),-Financiamiento!BO4+Financiamiento!BO6,0)</f>
        <v>0</v>
      </c>
      <c r="BP8" s="124">
        <f>IF(BP2=MIN(Resumen!$E$10,Resumen!$K$19),-Financiamiento!BP4+Financiamiento!BP6,0)</f>
        <v>0</v>
      </c>
      <c r="BQ8" s="124">
        <f>IF(BQ2=MIN(Resumen!$E$10,Resumen!$K$19),-Financiamiento!BQ4+Financiamiento!BQ6,0)</f>
        <v>0</v>
      </c>
      <c r="BR8" s="124">
        <f>IF(BR2=MIN(Resumen!$E$10,Resumen!$K$19),-Financiamiento!BR4+Financiamiento!BR6,0)</f>
        <v>0</v>
      </c>
      <c r="BS8" s="124">
        <f>IF(BS2=MIN(Resumen!$E$10,Resumen!$K$19),-Financiamiento!BS4+Financiamiento!BS6,0)</f>
        <v>0</v>
      </c>
      <c r="BT8" s="124">
        <f>IF(BT2=MIN(Resumen!$E$10,Resumen!$K$19),-Financiamiento!BT4+Financiamiento!BT6,0)</f>
        <v>0</v>
      </c>
      <c r="BU8" s="124">
        <f>IF(BU2=MIN(Resumen!$E$10,Resumen!$K$19),-Financiamiento!BU4+Financiamiento!BU6,0)</f>
        <v>0</v>
      </c>
      <c r="BV8" s="124">
        <f>IF(BV2=MIN(Resumen!$E$10,Resumen!$K$19),-Financiamiento!BV4+Financiamiento!BV6,0)</f>
        <v>0</v>
      </c>
      <c r="BW8" s="124">
        <f>IF(BW2=MIN(Resumen!$E$10,Resumen!$K$19),-Financiamiento!BW4+Financiamiento!BW6,0)</f>
        <v>0</v>
      </c>
      <c r="BX8" s="124">
        <f>IF(BX2=MIN(Resumen!$E$10,Resumen!$K$19),-Financiamiento!BX4+Financiamiento!BX6,0)</f>
        <v>0</v>
      </c>
      <c r="BY8" s="124">
        <f>IF(BY2=MIN(Resumen!$E$10,Resumen!$K$19),-Financiamiento!BY4+Financiamiento!BY6,0)</f>
        <v>0</v>
      </c>
      <c r="BZ8" s="124">
        <f>IF(BZ2=MIN(Resumen!$E$10,Resumen!$K$19),-Financiamiento!BZ4+Financiamiento!BZ6,0)</f>
        <v>0</v>
      </c>
      <c r="CA8" s="124">
        <f>IF(CA2=MIN(Resumen!$E$10,Resumen!$K$19),-Financiamiento!CA4+Financiamiento!CA6,0)</f>
        <v>0</v>
      </c>
      <c r="CB8" s="124">
        <f>IF(CB2=MIN(Resumen!$E$10,Resumen!$K$19),-Financiamiento!CB4+Financiamiento!CB6,0)</f>
        <v>0</v>
      </c>
      <c r="CC8" s="124">
        <f>IF(CC2=MIN(Resumen!$E$10,Resumen!$K$19),-Financiamiento!CC4+Financiamiento!CC6,0)</f>
        <v>0</v>
      </c>
      <c r="CD8" s="124">
        <f>IF(CD2=MIN(Resumen!$E$10,Resumen!$K$19),-Financiamiento!CD4+Financiamiento!CD6,0)</f>
        <v>0</v>
      </c>
      <c r="CE8" s="124">
        <f>IF(CE2=MIN(Resumen!$E$10,Resumen!$K$19),-Financiamiento!CE4+Financiamiento!CE6,0)</f>
        <v>0</v>
      </c>
      <c r="CF8" s="124">
        <f>IF(CF2=MIN(Resumen!$E$10,Resumen!$K$19),-Financiamiento!CF4+Financiamiento!CF6,0)</f>
        <v>0</v>
      </c>
      <c r="CG8" s="124">
        <f>IF(CG2=MIN(Resumen!$E$10,Resumen!$K$19),-Financiamiento!CG4+Financiamiento!CG6,0)</f>
        <v>0</v>
      </c>
      <c r="CH8" s="124">
        <f>IF(CH2=MIN(Resumen!$E$10,Resumen!$K$19),-Financiamiento!CH4+Financiamiento!CH6,0)</f>
        <v>0</v>
      </c>
      <c r="CI8" s="124">
        <f>IF(CI2=MIN(Resumen!$E$10,Resumen!$K$19),-Financiamiento!CI4+Financiamiento!CI6,0)</f>
        <v>0</v>
      </c>
      <c r="CJ8" s="124">
        <f>IF(CJ2=MIN(Resumen!$E$10,Resumen!$K$19),-Financiamiento!CJ4+Financiamiento!CJ6,0)</f>
        <v>0</v>
      </c>
      <c r="CK8" s="124">
        <f>IF(CK2=MIN(Resumen!$E$10,Resumen!$K$19),-Financiamiento!CK4+Financiamiento!CK6,0)</f>
        <v>0</v>
      </c>
      <c r="CL8" s="124">
        <f>IF(CL2=MIN(Resumen!$E$10,Resumen!$K$19),-Financiamiento!CL4+Financiamiento!CL6,0)</f>
        <v>0</v>
      </c>
      <c r="CM8" s="124">
        <f>IF(CM2=MIN(Resumen!$E$10,Resumen!$K$19),-Financiamiento!CM4+Financiamiento!CM6,0)</f>
        <v>0</v>
      </c>
      <c r="CN8" s="124">
        <f>IF(CN2=MIN(Resumen!$E$10,Resumen!$K$19),-Financiamiento!CN4+Financiamiento!CN6,0)</f>
        <v>0</v>
      </c>
      <c r="CO8" s="124">
        <f>IF(CO2=MIN(Resumen!$E$10,Resumen!$K$19),-Financiamiento!CO4+Financiamiento!CO6,0)</f>
        <v>0</v>
      </c>
      <c r="CP8" s="124">
        <f>IF(CP2=MIN(Resumen!$E$10,Resumen!$K$19),-Financiamiento!CP4+Financiamiento!CP6,0)</f>
        <v>0</v>
      </c>
      <c r="CQ8" s="124">
        <f>IF(CQ2=MIN(Resumen!$E$10,Resumen!$K$19),-Financiamiento!CQ4+Financiamiento!CQ6,0)</f>
        <v>0</v>
      </c>
      <c r="CR8" s="124">
        <f>IF(CR2=MIN(Resumen!$E$10,Resumen!$K$19),-Financiamiento!CR4+Financiamiento!CR6,0)</f>
        <v>0</v>
      </c>
      <c r="CS8" s="124">
        <f>IF(CS2=MIN(Resumen!$E$10,Resumen!$K$19),-Financiamiento!CS4+Financiamiento!CS6,0)</f>
        <v>0</v>
      </c>
      <c r="CT8" s="124">
        <f>IF(CT2=MIN(Resumen!$E$10,Resumen!$K$19),-Financiamiento!CT4+Financiamiento!CT6,0)</f>
        <v>0</v>
      </c>
      <c r="CU8" s="124">
        <f>IF(CU2=MIN(Resumen!$E$10,Resumen!$K$19),-Financiamiento!CU4+Financiamiento!CU6,0)</f>
        <v>0</v>
      </c>
      <c r="CV8" s="124">
        <f>IF(CV2=MIN(Resumen!$E$10,Resumen!$K$19),-Financiamiento!CV4+Financiamiento!CV6,0)</f>
        <v>0</v>
      </c>
      <c r="CW8" s="124">
        <f>IF(CW2=MIN(Resumen!$E$10,Resumen!$K$19),-Financiamiento!CW4+Financiamiento!CW6,0)</f>
        <v>0</v>
      </c>
      <c r="CX8" s="124">
        <f>IF(CX2=MIN(Resumen!$E$10,Resumen!$K$19),-Financiamiento!CX4+Financiamiento!CX6,0)</f>
        <v>0</v>
      </c>
      <c r="CY8" s="124">
        <f>IF(CY2=MIN(Resumen!$E$10,Resumen!$K$19),-Financiamiento!CY4+Financiamiento!CY6,0)</f>
        <v>0</v>
      </c>
      <c r="CZ8" s="124">
        <f>IF(CZ2=MIN(Resumen!$E$10,Resumen!$K$19),-Financiamiento!CZ4+Financiamiento!CZ6,0)</f>
        <v>0</v>
      </c>
      <c r="DA8" s="124">
        <f>IF(DA2=MIN(Resumen!$E$10,Resumen!$K$19),-Financiamiento!DA4+Financiamiento!DA6,0)</f>
        <v>0</v>
      </c>
      <c r="DB8" s="124">
        <f>IF(DB2=MIN(Resumen!$E$10,Resumen!$K$19),-Financiamiento!DB4+Financiamiento!DB6,0)</f>
        <v>0</v>
      </c>
      <c r="DC8" s="124">
        <f>IF(DC2=MIN(Resumen!$E$10,Resumen!$K$19),-Financiamiento!DC4+Financiamiento!DC6,0)</f>
        <v>0</v>
      </c>
      <c r="DD8" s="124">
        <f>IF(DD2=MIN(Resumen!$E$10,Resumen!$K$19),-Financiamiento!DD4+Financiamiento!DD6,0)</f>
        <v>0</v>
      </c>
      <c r="DE8" s="124">
        <f>IF(DE2=MIN(Resumen!$E$10,Resumen!$K$19),-Financiamiento!DE4+Financiamiento!DE6,0)</f>
        <v>0</v>
      </c>
      <c r="DF8" s="124">
        <f>IF(DF2=MIN(Resumen!$E$10,Resumen!$K$19),-Financiamiento!DF4+Financiamiento!DF6,0)</f>
        <v>0</v>
      </c>
      <c r="DG8" s="124">
        <f>IF(DG2=MIN(Resumen!$E$10,Resumen!$K$19),-Financiamiento!DG4+Financiamiento!DG6,0)</f>
        <v>0</v>
      </c>
      <c r="DH8" s="124">
        <f>IF(DH2=MIN(Resumen!$E$10,Resumen!$K$19),-Financiamiento!DH4+Financiamiento!DH6,0)</f>
        <v>0</v>
      </c>
      <c r="DI8" s="124">
        <f>IF(DI2=MIN(Resumen!$E$10,Resumen!$K$19),-Financiamiento!DI4+Financiamiento!DI6,0)</f>
        <v>0</v>
      </c>
      <c r="DJ8" s="124">
        <f>IF(DJ2=MIN(Resumen!$E$10,Resumen!$K$19),-Financiamiento!DJ4+Financiamiento!DJ6,0)</f>
        <v>0</v>
      </c>
      <c r="DK8" s="124">
        <f>IF(DK2=MIN(Resumen!$E$10,Resumen!$K$19),-Financiamiento!DK4+Financiamiento!DK6,0)</f>
        <v>0</v>
      </c>
      <c r="DL8" s="124">
        <f>IF(DL2=MIN(Resumen!$E$10,Resumen!$K$19),-Financiamiento!DL4+Financiamiento!DL6,0)</f>
        <v>0</v>
      </c>
      <c r="DM8" s="124">
        <f>IF(DM2=MIN(Resumen!$E$10,Resumen!$K$19),-Financiamiento!DM4+Financiamiento!DM6,0)</f>
        <v>0</v>
      </c>
      <c r="DN8" s="124">
        <f>IF(DN2=MIN(Resumen!$E$10,Resumen!$K$19),-Financiamiento!DN4+Financiamiento!DN6,0)</f>
        <v>0</v>
      </c>
      <c r="DO8" s="124">
        <f>IF(DO2=MIN(Resumen!$E$10,Resumen!$K$19),-Financiamiento!DO4+Financiamiento!DO6,0)</f>
        <v>0</v>
      </c>
      <c r="DP8" s="124">
        <f>IF(DP2=MIN(Resumen!$E$10,Resumen!$K$19),-Financiamiento!DP4+Financiamiento!DP6,0)</f>
        <v>0</v>
      </c>
      <c r="DQ8" s="124">
        <f>IF(DQ2=MIN(Resumen!$E$10,Resumen!$K$19),-Financiamiento!DQ4+Financiamiento!DQ6,0)</f>
        <v>0</v>
      </c>
      <c r="DR8" s="124">
        <f>IF(DR2=MIN(Resumen!$E$10,Resumen!$K$19),-Financiamiento!DR4+Financiamiento!DR6,0)</f>
        <v>0</v>
      </c>
      <c r="DS8" s="124">
        <f>IF(DS2=MIN(Resumen!$E$10,Resumen!$K$19),-Financiamiento!DS4+Financiamiento!DS6,0)</f>
        <v>0</v>
      </c>
      <c r="DT8" s="124">
        <f>IF(DT2=MIN(Resumen!$E$10,Resumen!$K$19),-Financiamiento!DT4+Financiamiento!DT6,0)</f>
        <v>0</v>
      </c>
      <c r="DU8" s="124">
        <f>IF(DU2=MIN(Resumen!$E$10,Resumen!$K$19),-Financiamiento!DU4+Financiamiento!DU6,0)</f>
        <v>0</v>
      </c>
      <c r="DV8" s="124">
        <f>IF(DV2=MIN(Resumen!$E$10,Resumen!$K$19),-Financiamiento!DV4+Financiamiento!DV6,0)</f>
        <v>0</v>
      </c>
      <c r="DW8" s="124">
        <f>IF(DW2=MIN(Resumen!$E$10,Resumen!$K$19),-Financiamiento!DW4+Financiamiento!DW6,0)</f>
        <v>0</v>
      </c>
      <c r="DX8" s="124">
        <f>IF(DX2=MIN(Resumen!$E$10,Resumen!$K$19),-Financiamiento!DX4+Financiamiento!DX6,0)</f>
        <v>0</v>
      </c>
      <c r="DY8" s="124">
        <f>IF(DY2=MIN(Resumen!$E$10,Resumen!$K$19),-Financiamiento!DY4+Financiamiento!DY6,0)</f>
        <v>0</v>
      </c>
      <c r="DZ8" s="124">
        <f>IF(DZ2=MIN(Resumen!$E$10,Resumen!$K$19),-Financiamiento!DZ4+Financiamiento!DZ6,0)</f>
        <v>0</v>
      </c>
      <c r="EA8" s="124">
        <f>IF(EA2=MIN(Resumen!$E$10,Resumen!$K$19),-Financiamiento!EA4+Financiamiento!EA6,0)</f>
        <v>0</v>
      </c>
      <c r="EB8" s="124">
        <f>IF(EB2=MIN(Resumen!$E$10,Resumen!$K$19),-Financiamiento!EB4+Financiamiento!EB6,0)</f>
        <v>0</v>
      </c>
      <c r="EC8" s="124">
        <f>IF(EC2=MIN(Resumen!$E$10,Resumen!$K$19),-Financiamiento!EC4+Financiamiento!EC6,0)</f>
        <v>0</v>
      </c>
      <c r="ED8" s="125">
        <f>IF(ED2=MIN(Resumen!$E$10,Resumen!$K$19),-Financiamiento!ED4+Financiamiento!ED6,0)</f>
        <v>0</v>
      </c>
    </row>
    <row r="9" spans="1:134" x14ac:dyDescent="0.25">
      <c r="B9" s="14" t="s">
        <v>35</v>
      </c>
      <c r="C9" s="126">
        <f>C4-C6+C8</f>
        <v>74250000000</v>
      </c>
      <c r="D9" s="126">
        <f>D4-D6+D8</f>
        <v>74250000000</v>
      </c>
      <c r="E9" s="126">
        <f t="shared" ref="E9:BP9" si="8">E4-E6+E8</f>
        <v>74250000000</v>
      </c>
      <c r="F9" s="126">
        <f t="shared" si="8"/>
        <v>74250000000</v>
      </c>
      <c r="G9" s="126">
        <f t="shared" si="8"/>
        <v>74250000000</v>
      </c>
      <c r="H9" s="126">
        <f t="shared" si="8"/>
        <v>74250000000</v>
      </c>
      <c r="I9" s="126">
        <f t="shared" si="8"/>
        <v>74250000000</v>
      </c>
      <c r="J9" s="126">
        <f t="shared" si="8"/>
        <v>74250000000</v>
      </c>
      <c r="K9" s="126">
        <f t="shared" si="8"/>
        <v>74250000000</v>
      </c>
      <c r="L9" s="126">
        <f t="shared" si="8"/>
        <v>74250000000</v>
      </c>
      <c r="M9" s="126">
        <f t="shared" si="8"/>
        <v>74250000000</v>
      </c>
      <c r="N9" s="126">
        <f t="shared" si="8"/>
        <v>74250000000</v>
      </c>
      <c r="O9" s="126">
        <f t="shared" si="8"/>
        <v>74250000000</v>
      </c>
      <c r="P9" s="126">
        <f t="shared" si="8"/>
        <v>74250000000</v>
      </c>
      <c r="Q9" s="126">
        <f t="shared" si="8"/>
        <v>74250000000</v>
      </c>
      <c r="R9" s="126">
        <f t="shared" si="8"/>
        <v>74250000000</v>
      </c>
      <c r="S9" s="126">
        <f t="shared" si="8"/>
        <v>74250000000</v>
      </c>
      <c r="T9" s="126">
        <f t="shared" si="8"/>
        <v>74250000000</v>
      </c>
      <c r="U9" s="126">
        <f t="shared" si="8"/>
        <v>74223524878.774872</v>
      </c>
      <c r="V9" s="126">
        <f t="shared" si="8"/>
        <v>74196807068.938507</v>
      </c>
      <c r="W9" s="126">
        <f t="shared" si="8"/>
        <v>74169844345.845306</v>
      </c>
      <c r="X9" s="126">
        <f t="shared" si="8"/>
        <v>74142634464.457092</v>
      </c>
      <c r="Y9" s="126">
        <f t="shared" si="8"/>
        <v>74115175159.156158</v>
      </c>
      <c r="Z9" s="126">
        <f t="shared" si="8"/>
        <v>74087464143.556625</v>
      </c>
      <c r="AA9" s="126">
        <f t="shared" si="8"/>
        <v>74059499110.314102</v>
      </c>
      <c r="AB9" s="126">
        <f t="shared" si="8"/>
        <v>74031277730.933517</v>
      </c>
      <c r="AC9" s="126">
        <f t="shared" si="8"/>
        <v>74002797655.575272</v>
      </c>
      <c r="AD9" s="126">
        <f t="shared" si="8"/>
        <v>73974056512.859589</v>
      </c>
      <c r="AE9" s="126">
        <f t="shared" si="8"/>
        <v>73945051909.669006</v>
      </c>
      <c r="AF9" s="126">
        <f t="shared" si="8"/>
        <v>73915781430.949173</v>
      </c>
      <c r="AG9" s="126">
        <f t="shared" si="8"/>
        <v>73886242639.507751</v>
      </c>
      <c r="AH9" s="126">
        <f t="shared" si="8"/>
        <v>73856433075.811447</v>
      </c>
      <c r="AI9" s="126">
        <f t="shared" si="8"/>
        <v>73826350257.78125</v>
      </c>
      <c r="AJ9" s="126">
        <f t="shared" si="8"/>
        <v>73795991680.585785</v>
      </c>
      <c r="AK9" s="126">
        <f t="shared" si="8"/>
        <v>73765354816.432693</v>
      </c>
      <c r="AL9" s="126">
        <f t="shared" si="8"/>
        <v>73734437114.3582</v>
      </c>
      <c r="AM9" s="126">
        <f t="shared" si="8"/>
        <v>73703236000.014694</v>
      </c>
      <c r="AN9" s="126">
        <f t="shared" si="8"/>
        <v>73671748875.45636</v>
      </c>
      <c r="AO9" s="126">
        <f t="shared" si="8"/>
        <v>73639973118.922913</v>
      </c>
      <c r="AP9" s="126">
        <f t="shared" si="8"/>
        <v>73607906084.621246</v>
      </c>
      <c r="AQ9" s="126">
        <f t="shared" si="8"/>
        <v>73575545102.505142</v>
      </c>
      <c r="AR9" s="126">
        <f t="shared" si="8"/>
        <v>73542887478.052979</v>
      </c>
      <c r="AS9" s="126">
        <f t="shared" si="8"/>
        <v>73509930492.043335</v>
      </c>
      <c r="AT9" s="126">
        <f t="shared" si="8"/>
        <v>73476671400.328598</v>
      </c>
      <c r="AU9" s="126">
        <f t="shared" si="8"/>
        <v>73443107433.606476</v>
      </c>
      <c r="AV9" s="126">
        <f t="shared" si="8"/>
        <v>73409235797.189407</v>
      </c>
      <c r="AW9" s="126">
        <f t="shared" si="8"/>
        <v>73375053670.771851</v>
      </c>
      <c r="AX9" s="126">
        <f t="shared" si="8"/>
        <v>73340558208.195465</v>
      </c>
      <c r="AY9" s="126">
        <f t="shared" si="8"/>
        <v>73305746537.212128</v>
      </c>
      <c r="AZ9" s="126">
        <f t="shared" si="8"/>
        <v>73270615759.244781</v>
      </c>
      <c r="BA9" s="126">
        <f t="shared" si="8"/>
        <v>73235162949.146057</v>
      </c>
      <c r="BB9" s="126">
        <f t="shared" si="8"/>
        <v>73199385154.954773</v>
      </c>
      <c r="BC9" s="126">
        <f t="shared" si="8"/>
        <v>73163279397.650055</v>
      </c>
      <c r="BD9" s="126">
        <f t="shared" si="8"/>
        <v>73126842670.903381</v>
      </c>
      <c r="BE9" s="126">
        <f t="shared" si="8"/>
        <v>73090071940.828201</v>
      </c>
      <c r="BF9" s="126">
        <f t="shared" si="8"/>
        <v>73052964145.727325</v>
      </c>
      <c r="BG9" s="126">
        <f t="shared" si="8"/>
        <v>73015516195.838028</v>
      </c>
      <c r="BH9" s="126">
        <f t="shared" si="8"/>
        <v>72977724973.074753</v>
      </c>
      <c r="BI9" s="126">
        <f t="shared" si="8"/>
        <v>72939587330.76947</v>
      </c>
      <c r="BJ9" s="126">
        <f t="shared" si="8"/>
        <v>0</v>
      </c>
      <c r="BK9" s="126">
        <f t="shared" si="8"/>
        <v>0</v>
      </c>
      <c r="BL9" s="126">
        <f t="shared" si="8"/>
        <v>0</v>
      </c>
      <c r="BM9" s="126">
        <f t="shared" si="8"/>
        <v>0</v>
      </c>
      <c r="BN9" s="126">
        <f t="shared" si="8"/>
        <v>0</v>
      </c>
      <c r="BO9" s="126">
        <f t="shared" si="8"/>
        <v>0</v>
      </c>
      <c r="BP9" s="126">
        <f t="shared" si="8"/>
        <v>0</v>
      </c>
      <c r="BQ9" s="126">
        <f t="shared" ref="BQ9:EB9" si="9">BQ4-BQ6+BQ8</f>
        <v>0</v>
      </c>
      <c r="BR9" s="126">
        <f t="shared" si="9"/>
        <v>0</v>
      </c>
      <c r="BS9" s="126">
        <f t="shared" si="9"/>
        <v>0</v>
      </c>
      <c r="BT9" s="126">
        <f t="shared" si="9"/>
        <v>0</v>
      </c>
      <c r="BU9" s="126">
        <f t="shared" si="9"/>
        <v>0</v>
      </c>
      <c r="BV9" s="126">
        <f t="shared" si="9"/>
        <v>0</v>
      </c>
      <c r="BW9" s="126">
        <f t="shared" si="9"/>
        <v>0</v>
      </c>
      <c r="BX9" s="126">
        <f t="shared" si="9"/>
        <v>0</v>
      </c>
      <c r="BY9" s="126">
        <f t="shared" si="9"/>
        <v>0</v>
      </c>
      <c r="BZ9" s="126">
        <f t="shared" si="9"/>
        <v>0</v>
      </c>
      <c r="CA9" s="126">
        <f t="shared" si="9"/>
        <v>0</v>
      </c>
      <c r="CB9" s="126">
        <f t="shared" si="9"/>
        <v>0</v>
      </c>
      <c r="CC9" s="126">
        <f t="shared" si="9"/>
        <v>0</v>
      </c>
      <c r="CD9" s="126">
        <f t="shared" si="9"/>
        <v>0</v>
      </c>
      <c r="CE9" s="126">
        <f t="shared" si="9"/>
        <v>0</v>
      </c>
      <c r="CF9" s="126">
        <f t="shared" si="9"/>
        <v>0</v>
      </c>
      <c r="CG9" s="126">
        <f t="shared" si="9"/>
        <v>0</v>
      </c>
      <c r="CH9" s="126">
        <f t="shared" si="9"/>
        <v>0</v>
      </c>
      <c r="CI9" s="126">
        <f t="shared" si="9"/>
        <v>0</v>
      </c>
      <c r="CJ9" s="126">
        <f t="shared" si="9"/>
        <v>0</v>
      </c>
      <c r="CK9" s="126">
        <f t="shared" si="9"/>
        <v>0</v>
      </c>
      <c r="CL9" s="126">
        <f t="shared" si="9"/>
        <v>0</v>
      </c>
      <c r="CM9" s="126">
        <f t="shared" si="9"/>
        <v>0</v>
      </c>
      <c r="CN9" s="126">
        <f t="shared" si="9"/>
        <v>0</v>
      </c>
      <c r="CO9" s="126">
        <f t="shared" si="9"/>
        <v>0</v>
      </c>
      <c r="CP9" s="126">
        <f t="shared" si="9"/>
        <v>0</v>
      </c>
      <c r="CQ9" s="126">
        <f t="shared" si="9"/>
        <v>0</v>
      </c>
      <c r="CR9" s="126">
        <f t="shared" si="9"/>
        <v>0</v>
      </c>
      <c r="CS9" s="126">
        <f t="shared" si="9"/>
        <v>0</v>
      </c>
      <c r="CT9" s="126">
        <f t="shared" si="9"/>
        <v>0</v>
      </c>
      <c r="CU9" s="126">
        <f t="shared" si="9"/>
        <v>0</v>
      </c>
      <c r="CV9" s="126">
        <f t="shared" si="9"/>
        <v>0</v>
      </c>
      <c r="CW9" s="126">
        <f t="shared" si="9"/>
        <v>0</v>
      </c>
      <c r="CX9" s="126">
        <f t="shared" si="9"/>
        <v>0</v>
      </c>
      <c r="CY9" s="126">
        <f t="shared" si="9"/>
        <v>0</v>
      </c>
      <c r="CZ9" s="126">
        <f t="shared" si="9"/>
        <v>0</v>
      </c>
      <c r="DA9" s="126">
        <f t="shared" si="9"/>
        <v>0</v>
      </c>
      <c r="DB9" s="126">
        <f t="shared" si="9"/>
        <v>0</v>
      </c>
      <c r="DC9" s="126">
        <f t="shared" si="9"/>
        <v>0</v>
      </c>
      <c r="DD9" s="126">
        <f t="shared" si="9"/>
        <v>0</v>
      </c>
      <c r="DE9" s="126">
        <f t="shared" si="9"/>
        <v>0</v>
      </c>
      <c r="DF9" s="126">
        <f t="shared" si="9"/>
        <v>0</v>
      </c>
      <c r="DG9" s="126">
        <f t="shared" si="9"/>
        <v>0</v>
      </c>
      <c r="DH9" s="126">
        <f t="shared" si="9"/>
        <v>0</v>
      </c>
      <c r="DI9" s="126">
        <f t="shared" si="9"/>
        <v>0</v>
      </c>
      <c r="DJ9" s="126">
        <f t="shared" si="9"/>
        <v>0</v>
      </c>
      <c r="DK9" s="126">
        <f t="shared" si="9"/>
        <v>0</v>
      </c>
      <c r="DL9" s="126">
        <f t="shared" si="9"/>
        <v>0</v>
      </c>
      <c r="DM9" s="126">
        <f t="shared" si="9"/>
        <v>0</v>
      </c>
      <c r="DN9" s="126">
        <f t="shared" si="9"/>
        <v>0</v>
      </c>
      <c r="DO9" s="126">
        <f t="shared" si="9"/>
        <v>0</v>
      </c>
      <c r="DP9" s="126">
        <f t="shared" si="9"/>
        <v>0</v>
      </c>
      <c r="DQ9" s="126">
        <f t="shared" si="9"/>
        <v>0</v>
      </c>
      <c r="DR9" s="126">
        <f t="shared" si="9"/>
        <v>0</v>
      </c>
      <c r="DS9" s="126">
        <f t="shared" si="9"/>
        <v>0</v>
      </c>
      <c r="DT9" s="126">
        <f t="shared" si="9"/>
        <v>0</v>
      </c>
      <c r="DU9" s="126">
        <f t="shared" si="9"/>
        <v>0</v>
      </c>
      <c r="DV9" s="126">
        <f t="shared" si="9"/>
        <v>0</v>
      </c>
      <c r="DW9" s="126">
        <f t="shared" si="9"/>
        <v>0</v>
      </c>
      <c r="DX9" s="126">
        <f t="shared" si="9"/>
        <v>0</v>
      </c>
      <c r="DY9" s="126">
        <f t="shared" si="9"/>
        <v>0</v>
      </c>
      <c r="DZ9" s="126">
        <f t="shared" si="9"/>
        <v>0</v>
      </c>
      <c r="EA9" s="126">
        <f t="shared" si="9"/>
        <v>0</v>
      </c>
      <c r="EB9" s="126">
        <f t="shared" si="9"/>
        <v>0</v>
      </c>
      <c r="EC9" s="126">
        <f>EC4-EC6+EC8</f>
        <v>0</v>
      </c>
      <c r="ED9" s="127">
        <f>ED4-ED6+ED8</f>
        <v>0</v>
      </c>
    </row>
    <row r="11" spans="1:134" x14ac:dyDescent="0.25">
      <c r="A11" s="128" t="s">
        <v>32</v>
      </c>
      <c r="B11" s="114" t="s">
        <v>146</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c r="BM11" s="115"/>
      <c r="BN11" s="115"/>
      <c r="BO11" s="115"/>
      <c r="BP11" s="115"/>
      <c r="BQ11" s="115"/>
      <c r="BR11" s="115"/>
      <c r="BS11" s="115"/>
      <c r="BT11" s="115"/>
      <c r="BU11" s="115"/>
      <c r="BV11" s="115"/>
      <c r="BW11" s="115"/>
      <c r="BX11" s="115"/>
      <c r="BY11" s="115"/>
      <c r="BZ11" s="115"/>
      <c r="CA11" s="115"/>
      <c r="CB11" s="115"/>
      <c r="CC11" s="115"/>
      <c r="CD11" s="115"/>
      <c r="CE11" s="115"/>
      <c r="CF11" s="115"/>
      <c r="CG11" s="115"/>
      <c r="CH11" s="115"/>
      <c r="CI11" s="115"/>
      <c r="CJ11" s="115"/>
      <c r="CK11" s="115"/>
      <c r="CL11" s="115"/>
      <c r="CM11" s="115"/>
      <c r="CN11" s="115"/>
      <c r="CO11" s="115"/>
      <c r="CP11" s="115"/>
      <c r="CQ11" s="115"/>
      <c r="CR11" s="115"/>
      <c r="CS11" s="115"/>
      <c r="CT11" s="115"/>
      <c r="CU11" s="115"/>
      <c r="CV11" s="115"/>
      <c r="CW11" s="115"/>
      <c r="CX11" s="115"/>
      <c r="CY11" s="115"/>
      <c r="CZ11" s="115"/>
      <c r="DA11" s="115"/>
      <c r="DB11" s="115"/>
      <c r="DC11" s="115"/>
      <c r="DD11" s="115"/>
      <c r="DE11" s="115"/>
      <c r="DF11" s="115"/>
      <c r="DG11" s="115"/>
      <c r="DH11" s="115"/>
      <c r="DI11" s="115"/>
      <c r="DJ11" s="115"/>
      <c r="DK11" s="115"/>
      <c r="DL11" s="115"/>
      <c r="DM11" s="115"/>
      <c r="DN11" s="115"/>
      <c r="DO11" s="115"/>
      <c r="DP11" s="115"/>
      <c r="DQ11" s="115"/>
      <c r="DR11" s="115"/>
      <c r="DS11" s="115"/>
      <c r="DT11" s="115"/>
      <c r="DU11" s="115"/>
      <c r="DV11" s="115"/>
      <c r="DW11" s="115"/>
      <c r="DX11" s="115"/>
      <c r="DY11" s="115"/>
      <c r="DZ11" s="115"/>
      <c r="EA11" s="115"/>
      <c r="EB11" s="115"/>
      <c r="EC11" s="115"/>
      <c r="ED11" s="116">
        <v>0</v>
      </c>
    </row>
    <row r="12" spans="1:134" x14ac:dyDescent="0.25">
      <c r="A12" s="110" t="str">
        <f>IF(ABS(A16-A18-A14)&lt;0.0001,"OK","ERROR")</f>
        <v>OK</v>
      </c>
      <c r="B12" s="117" t="s">
        <v>143</v>
      </c>
      <c r="C12" s="118">
        <v>1</v>
      </c>
      <c r="D12" s="118">
        <f>C12+1</f>
        <v>2</v>
      </c>
      <c r="E12" s="118">
        <f t="shared" ref="E12:BP12" si="10">D12+1</f>
        <v>3</v>
      </c>
      <c r="F12" s="118">
        <f t="shared" si="10"/>
        <v>4</v>
      </c>
      <c r="G12" s="118">
        <f t="shared" si="10"/>
        <v>5</v>
      </c>
      <c r="H12" s="118">
        <f t="shared" si="10"/>
        <v>6</v>
      </c>
      <c r="I12" s="118">
        <f t="shared" si="10"/>
        <v>7</v>
      </c>
      <c r="J12" s="118">
        <f t="shared" si="10"/>
        <v>8</v>
      </c>
      <c r="K12" s="118">
        <f t="shared" si="10"/>
        <v>9</v>
      </c>
      <c r="L12" s="118">
        <f t="shared" si="10"/>
        <v>10</v>
      </c>
      <c r="M12" s="118">
        <f t="shared" si="10"/>
        <v>11</v>
      </c>
      <c r="N12" s="118">
        <f t="shared" si="10"/>
        <v>12</v>
      </c>
      <c r="O12" s="118">
        <f t="shared" si="10"/>
        <v>13</v>
      </c>
      <c r="P12" s="118">
        <f t="shared" si="10"/>
        <v>14</v>
      </c>
      <c r="Q12" s="118">
        <f t="shared" si="10"/>
        <v>15</v>
      </c>
      <c r="R12" s="118">
        <f t="shared" si="10"/>
        <v>16</v>
      </c>
      <c r="S12" s="118">
        <f t="shared" si="10"/>
        <v>17</v>
      </c>
      <c r="T12" s="118">
        <f t="shared" si="10"/>
        <v>18</v>
      </c>
      <c r="U12" s="118">
        <f t="shared" si="10"/>
        <v>19</v>
      </c>
      <c r="V12" s="118">
        <f t="shared" si="10"/>
        <v>20</v>
      </c>
      <c r="W12" s="118">
        <f t="shared" si="10"/>
        <v>21</v>
      </c>
      <c r="X12" s="118">
        <f t="shared" si="10"/>
        <v>22</v>
      </c>
      <c r="Y12" s="118">
        <f t="shared" si="10"/>
        <v>23</v>
      </c>
      <c r="Z12" s="118">
        <f t="shared" si="10"/>
        <v>24</v>
      </c>
      <c r="AA12" s="118">
        <f t="shared" si="10"/>
        <v>25</v>
      </c>
      <c r="AB12" s="118">
        <f t="shared" si="10"/>
        <v>26</v>
      </c>
      <c r="AC12" s="118">
        <f t="shared" si="10"/>
        <v>27</v>
      </c>
      <c r="AD12" s="118">
        <f t="shared" si="10"/>
        <v>28</v>
      </c>
      <c r="AE12" s="118">
        <f t="shared" si="10"/>
        <v>29</v>
      </c>
      <c r="AF12" s="118">
        <f t="shared" si="10"/>
        <v>30</v>
      </c>
      <c r="AG12" s="118">
        <f t="shared" si="10"/>
        <v>31</v>
      </c>
      <c r="AH12" s="118">
        <f t="shared" si="10"/>
        <v>32</v>
      </c>
      <c r="AI12" s="118">
        <f t="shared" si="10"/>
        <v>33</v>
      </c>
      <c r="AJ12" s="118">
        <f t="shared" si="10"/>
        <v>34</v>
      </c>
      <c r="AK12" s="118">
        <f t="shared" si="10"/>
        <v>35</v>
      </c>
      <c r="AL12" s="118">
        <f t="shared" si="10"/>
        <v>36</v>
      </c>
      <c r="AM12" s="118">
        <f t="shared" si="10"/>
        <v>37</v>
      </c>
      <c r="AN12" s="118">
        <f t="shared" si="10"/>
        <v>38</v>
      </c>
      <c r="AO12" s="118">
        <f t="shared" si="10"/>
        <v>39</v>
      </c>
      <c r="AP12" s="118">
        <f t="shared" si="10"/>
        <v>40</v>
      </c>
      <c r="AQ12" s="118">
        <f t="shared" si="10"/>
        <v>41</v>
      </c>
      <c r="AR12" s="118">
        <f t="shared" si="10"/>
        <v>42</v>
      </c>
      <c r="AS12" s="118">
        <f t="shared" si="10"/>
        <v>43</v>
      </c>
      <c r="AT12" s="118">
        <f t="shared" si="10"/>
        <v>44</v>
      </c>
      <c r="AU12" s="118">
        <f t="shared" si="10"/>
        <v>45</v>
      </c>
      <c r="AV12" s="118">
        <f t="shared" si="10"/>
        <v>46</v>
      </c>
      <c r="AW12" s="118">
        <f t="shared" si="10"/>
        <v>47</v>
      </c>
      <c r="AX12" s="118">
        <f t="shared" si="10"/>
        <v>48</v>
      </c>
      <c r="AY12" s="118">
        <f t="shared" si="10"/>
        <v>49</v>
      </c>
      <c r="AZ12" s="118">
        <f t="shared" si="10"/>
        <v>50</v>
      </c>
      <c r="BA12" s="118">
        <f t="shared" si="10"/>
        <v>51</v>
      </c>
      <c r="BB12" s="118">
        <f t="shared" si="10"/>
        <v>52</v>
      </c>
      <c r="BC12" s="118">
        <f t="shared" si="10"/>
        <v>53</v>
      </c>
      <c r="BD12" s="118">
        <f t="shared" si="10"/>
        <v>54</v>
      </c>
      <c r="BE12" s="118">
        <f t="shared" si="10"/>
        <v>55</v>
      </c>
      <c r="BF12" s="118">
        <f t="shared" si="10"/>
        <v>56</v>
      </c>
      <c r="BG12" s="118">
        <f t="shared" si="10"/>
        <v>57</v>
      </c>
      <c r="BH12" s="118">
        <f t="shared" si="10"/>
        <v>58</v>
      </c>
      <c r="BI12" s="118">
        <f t="shared" si="10"/>
        <v>59</v>
      </c>
      <c r="BJ12" s="118">
        <f t="shared" si="10"/>
        <v>60</v>
      </c>
      <c r="BK12" s="118">
        <f t="shared" si="10"/>
        <v>61</v>
      </c>
      <c r="BL12" s="118">
        <f t="shared" si="10"/>
        <v>62</v>
      </c>
      <c r="BM12" s="118">
        <f t="shared" si="10"/>
        <v>63</v>
      </c>
      <c r="BN12" s="118">
        <f t="shared" si="10"/>
        <v>64</v>
      </c>
      <c r="BO12" s="118">
        <f t="shared" si="10"/>
        <v>65</v>
      </c>
      <c r="BP12" s="118">
        <f t="shared" si="10"/>
        <v>66</v>
      </c>
      <c r="BQ12" s="118">
        <f t="shared" ref="BQ12:EB12" si="11">BP12+1</f>
        <v>67</v>
      </c>
      <c r="BR12" s="118">
        <f t="shared" si="11"/>
        <v>68</v>
      </c>
      <c r="BS12" s="118">
        <f t="shared" si="11"/>
        <v>69</v>
      </c>
      <c r="BT12" s="118">
        <f t="shared" si="11"/>
        <v>70</v>
      </c>
      <c r="BU12" s="118">
        <f t="shared" si="11"/>
        <v>71</v>
      </c>
      <c r="BV12" s="118">
        <f t="shared" si="11"/>
        <v>72</v>
      </c>
      <c r="BW12" s="118">
        <f t="shared" si="11"/>
        <v>73</v>
      </c>
      <c r="BX12" s="118">
        <f t="shared" si="11"/>
        <v>74</v>
      </c>
      <c r="BY12" s="118">
        <f t="shared" si="11"/>
        <v>75</v>
      </c>
      <c r="BZ12" s="118">
        <f t="shared" si="11"/>
        <v>76</v>
      </c>
      <c r="CA12" s="118">
        <f t="shared" si="11"/>
        <v>77</v>
      </c>
      <c r="CB12" s="118">
        <f t="shared" si="11"/>
        <v>78</v>
      </c>
      <c r="CC12" s="118">
        <f t="shared" si="11"/>
        <v>79</v>
      </c>
      <c r="CD12" s="118">
        <f t="shared" si="11"/>
        <v>80</v>
      </c>
      <c r="CE12" s="118">
        <f t="shared" si="11"/>
        <v>81</v>
      </c>
      <c r="CF12" s="118">
        <f t="shared" si="11"/>
        <v>82</v>
      </c>
      <c r="CG12" s="118">
        <f t="shared" si="11"/>
        <v>83</v>
      </c>
      <c r="CH12" s="118">
        <f t="shared" si="11"/>
        <v>84</v>
      </c>
      <c r="CI12" s="118">
        <f t="shared" si="11"/>
        <v>85</v>
      </c>
      <c r="CJ12" s="118">
        <f t="shared" si="11"/>
        <v>86</v>
      </c>
      <c r="CK12" s="118">
        <f t="shared" si="11"/>
        <v>87</v>
      </c>
      <c r="CL12" s="118">
        <f t="shared" si="11"/>
        <v>88</v>
      </c>
      <c r="CM12" s="118">
        <f t="shared" si="11"/>
        <v>89</v>
      </c>
      <c r="CN12" s="118">
        <f t="shared" si="11"/>
        <v>90</v>
      </c>
      <c r="CO12" s="118">
        <f t="shared" si="11"/>
        <v>91</v>
      </c>
      <c r="CP12" s="118">
        <f t="shared" si="11"/>
        <v>92</v>
      </c>
      <c r="CQ12" s="118">
        <f t="shared" si="11"/>
        <v>93</v>
      </c>
      <c r="CR12" s="118">
        <f t="shared" si="11"/>
        <v>94</v>
      </c>
      <c r="CS12" s="118">
        <f t="shared" si="11"/>
        <v>95</v>
      </c>
      <c r="CT12" s="118">
        <f t="shared" si="11"/>
        <v>96</v>
      </c>
      <c r="CU12" s="118">
        <f t="shared" si="11"/>
        <v>97</v>
      </c>
      <c r="CV12" s="118">
        <f t="shared" si="11"/>
        <v>98</v>
      </c>
      <c r="CW12" s="118">
        <f t="shared" si="11"/>
        <v>99</v>
      </c>
      <c r="CX12" s="118">
        <f t="shared" si="11"/>
        <v>100</v>
      </c>
      <c r="CY12" s="118">
        <f t="shared" si="11"/>
        <v>101</v>
      </c>
      <c r="CZ12" s="118">
        <f t="shared" si="11"/>
        <v>102</v>
      </c>
      <c r="DA12" s="118">
        <f t="shared" si="11"/>
        <v>103</v>
      </c>
      <c r="DB12" s="118">
        <f t="shared" si="11"/>
        <v>104</v>
      </c>
      <c r="DC12" s="118">
        <f t="shared" si="11"/>
        <v>105</v>
      </c>
      <c r="DD12" s="118">
        <f t="shared" si="11"/>
        <v>106</v>
      </c>
      <c r="DE12" s="118">
        <f t="shared" si="11"/>
        <v>107</v>
      </c>
      <c r="DF12" s="118">
        <f t="shared" si="11"/>
        <v>108</v>
      </c>
      <c r="DG12" s="118">
        <f t="shared" si="11"/>
        <v>109</v>
      </c>
      <c r="DH12" s="118">
        <f t="shared" si="11"/>
        <v>110</v>
      </c>
      <c r="DI12" s="118">
        <f t="shared" si="11"/>
        <v>111</v>
      </c>
      <c r="DJ12" s="118">
        <f t="shared" si="11"/>
        <v>112</v>
      </c>
      <c r="DK12" s="118">
        <f t="shared" si="11"/>
        <v>113</v>
      </c>
      <c r="DL12" s="118">
        <f t="shared" si="11"/>
        <v>114</v>
      </c>
      <c r="DM12" s="118">
        <f t="shared" si="11"/>
        <v>115</v>
      </c>
      <c r="DN12" s="118">
        <f t="shared" si="11"/>
        <v>116</v>
      </c>
      <c r="DO12" s="118">
        <f t="shared" si="11"/>
        <v>117</v>
      </c>
      <c r="DP12" s="118">
        <f t="shared" si="11"/>
        <v>118</v>
      </c>
      <c r="DQ12" s="118">
        <f t="shared" si="11"/>
        <v>119</v>
      </c>
      <c r="DR12" s="118">
        <f t="shared" si="11"/>
        <v>120</v>
      </c>
      <c r="DS12" s="118">
        <f t="shared" si="11"/>
        <v>121</v>
      </c>
      <c r="DT12" s="118">
        <f t="shared" si="11"/>
        <v>122</v>
      </c>
      <c r="DU12" s="118">
        <f t="shared" si="11"/>
        <v>123</v>
      </c>
      <c r="DV12" s="118">
        <f t="shared" si="11"/>
        <v>124</v>
      </c>
      <c r="DW12" s="118">
        <f t="shared" si="11"/>
        <v>125</v>
      </c>
      <c r="DX12" s="118">
        <f t="shared" si="11"/>
        <v>126</v>
      </c>
      <c r="DY12" s="118">
        <f t="shared" si="11"/>
        <v>127</v>
      </c>
      <c r="DZ12" s="118">
        <f t="shared" si="11"/>
        <v>128</v>
      </c>
      <c r="EA12" s="118">
        <f t="shared" si="11"/>
        <v>129</v>
      </c>
      <c r="EB12" s="118">
        <f t="shared" si="11"/>
        <v>130</v>
      </c>
      <c r="EC12" s="118">
        <f>EB12+1</f>
        <v>131</v>
      </c>
      <c r="ED12" s="119">
        <f>EC12+1</f>
        <v>132</v>
      </c>
    </row>
    <row r="13" spans="1:134" x14ac:dyDescent="0.25">
      <c r="B13" s="120" t="s">
        <v>144</v>
      </c>
      <c r="C13" s="121">
        <f>C3</f>
        <v>44255</v>
      </c>
      <c r="D13" s="121">
        <f>EOMONTH(C13,1)</f>
        <v>44286</v>
      </c>
      <c r="E13" s="121">
        <f t="shared" ref="E13:BP13" si="12">EOMONTH(D13,1)</f>
        <v>44316</v>
      </c>
      <c r="F13" s="121">
        <f t="shared" si="12"/>
        <v>44347</v>
      </c>
      <c r="G13" s="121">
        <f t="shared" si="12"/>
        <v>44377</v>
      </c>
      <c r="H13" s="121">
        <f t="shared" si="12"/>
        <v>44408</v>
      </c>
      <c r="I13" s="121">
        <f t="shared" si="12"/>
        <v>44439</v>
      </c>
      <c r="J13" s="121">
        <f t="shared" si="12"/>
        <v>44469</v>
      </c>
      <c r="K13" s="121">
        <f t="shared" si="12"/>
        <v>44500</v>
      </c>
      <c r="L13" s="121">
        <f t="shared" si="12"/>
        <v>44530</v>
      </c>
      <c r="M13" s="121">
        <f t="shared" si="12"/>
        <v>44561</v>
      </c>
      <c r="N13" s="121">
        <f t="shared" si="12"/>
        <v>44592</v>
      </c>
      <c r="O13" s="121">
        <f t="shared" si="12"/>
        <v>44620</v>
      </c>
      <c r="P13" s="121">
        <f t="shared" si="12"/>
        <v>44651</v>
      </c>
      <c r="Q13" s="121">
        <f t="shared" si="12"/>
        <v>44681</v>
      </c>
      <c r="R13" s="121">
        <f t="shared" si="12"/>
        <v>44712</v>
      </c>
      <c r="S13" s="121">
        <f t="shared" si="12"/>
        <v>44742</v>
      </c>
      <c r="T13" s="121">
        <f t="shared" si="12"/>
        <v>44773</v>
      </c>
      <c r="U13" s="121">
        <f t="shared" si="12"/>
        <v>44804</v>
      </c>
      <c r="V13" s="121">
        <f t="shared" si="12"/>
        <v>44834</v>
      </c>
      <c r="W13" s="121">
        <f t="shared" si="12"/>
        <v>44865</v>
      </c>
      <c r="X13" s="121">
        <f t="shared" si="12"/>
        <v>44895</v>
      </c>
      <c r="Y13" s="121">
        <f t="shared" si="12"/>
        <v>44926</v>
      </c>
      <c r="Z13" s="121">
        <f t="shared" si="12"/>
        <v>44957</v>
      </c>
      <c r="AA13" s="121">
        <f t="shared" si="12"/>
        <v>44985</v>
      </c>
      <c r="AB13" s="121">
        <f t="shared" si="12"/>
        <v>45016</v>
      </c>
      <c r="AC13" s="121">
        <f t="shared" si="12"/>
        <v>45046</v>
      </c>
      <c r="AD13" s="121">
        <f t="shared" si="12"/>
        <v>45077</v>
      </c>
      <c r="AE13" s="121">
        <f t="shared" si="12"/>
        <v>45107</v>
      </c>
      <c r="AF13" s="121">
        <f t="shared" si="12"/>
        <v>45138</v>
      </c>
      <c r="AG13" s="121">
        <f t="shared" si="12"/>
        <v>45169</v>
      </c>
      <c r="AH13" s="121">
        <f t="shared" si="12"/>
        <v>45199</v>
      </c>
      <c r="AI13" s="121">
        <f t="shared" si="12"/>
        <v>45230</v>
      </c>
      <c r="AJ13" s="121">
        <f t="shared" si="12"/>
        <v>45260</v>
      </c>
      <c r="AK13" s="121">
        <f t="shared" si="12"/>
        <v>45291</v>
      </c>
      <c r="AL13" s="121">
        <f t="shared" si="12"/>
        <v>45322</v>
      </c>
      <c r="AM13" s="121">
        <f t="shared" si="12"/>
        <v>45351</v>
      </c>
      <c r="AN13" s="121">
        <f t="shared" si="12"/>
        <v>45382</v>
      </c>
      <c r="AO13" s="121">
        <f t="shared" si="12"/>
        <v>45412</v>
      </c>
      <c r="AP13" s="121">
        <f t="shared" si="12"/>
        <v>45443</v>
      </c>
      <c r="AQ13" s="121">
        <f t="shared" si="12"/>
        <v>45473</v>
      </c>
      <c r="AR13" s="121">
        <f t="shared" si="12"/>
        <v>45504</v>
      </c>
      <c r="AS13" s="121">
        <f t="shared" si="12"/>
        <v>45535</v>
      </c>
      <c r="AT13" s="121">
        <f t="shared" si="12"/>
        <v>45565</v>
      </c>
      <c r="AU13" s="121">
        <f t="shared" si="12"/>
        <v>45596</v>
      </c>
      <c r="AV13" s="121">
        <f t="shared" si="12"/>
        <v>45626</v>
      </c>
      <c r="AW13" s="121">
        <f t="shared" si="12"/>
        <v>45657</v>
      </c>
      <c r="AX13" s="121">
        <f t="shared" si="12"/>
        <v>45688</v>
      </c>
      <c r="AY13" s="121">
        <f t="shared" si="12"/>
        <v>45716</v>
      </c>
      <c r="AZ13" s="121">
        <f t="shared" si="12"/>
        <v>45747</v>
      </c>
      <c r="BA13" s="121">
        <f t="shared" si="12"/>
        <v>45777</v>
      </c>
      <c r="BB13" s="121">
        <f t="shared" si="12"/>
        <v>45808</v>
      </c>
      <c r="BC13" s="121">
        <f t="shared" si="12"/>
        <v>45838</v>
      </c>
      <c r="BD13" s="121">
        <f t="shared" si="12"/>
        <v>45869</v>
      </c>
      <c r="BE13" s="121">
        <f t="shared" si="12"/>
        <v>45900</v>
      </c>
      <c r="BF13" s="121">
        <f t="shared" si="12"/>
        <v>45930</v>
      </c>
      <c r="BG13" s="121">
        <f t="shared" si="12"/>
        <v>45961</v>
      </c>
      <c r="BH13" s="121">
        <f t="shared" si="12"/>
        <v>45991</v>
      </c>
      <c r="BI13" s="121">
        <f t="shared" si="12"/>
        <v>46022</v>
      </c>
      <c r="BJ13" s="121">
        <f t="shared" si="12"/>
        <v>46053</v>
      </c>
      <c r="BK13" s="121">
        <f t="shared" si="12"/>
        <v>46081</v>
      </c>
      <c r="BL13" s="121">
        <f t="shared" si="12"/>
        <v>46112</v>
      </c>
      <c r="BM13" s="121">
        <f t="shared" si="12"/>
        <v>46142</v>
      </c>
      <c r="BN13" s="121">
        <f t="shared" si="12"/>
        <v>46173</v>
      </c>
      <c r="BO13" s="121">
        <f t="shared" si="12"/>
        <v>46203</v>
      </c>
      <c r="BP13" s="121">
        <f t="shared" si="12"/>
        <v>46234</v>
      </c>
      <c r="BQ13" s="121">
        <f t="shared" ref="BQ13:EB13" si="13">EOMONTH(BP13,1)</f>
        <v>46265</v>
      </c>
      <c r="BR13" s="121">
        <f t="shared" si="13"/>
        <v>46295</v>
      </c>
      <c r="BS13" s="121">
        <f t="shared" si="13"/>
        <v>46326</v>
      </c>
      <c r="BT13" s="121">
        <f t="shared" si="13"/>
        <v>46356</v>
      </c>
      <c r="BU13" s="121">
        <f t="shared" si="13"/>
        <v>46387</v>
      </c>
      <c r="BV13" s="121">
        <f t="shared" si="13"/>
        <v>46418</v>
      </c>
      <c r="BW13" s="121">
        <f t="shared" si="13"/>
        <v>46446</v>
      </c>
      <c r="BX13" s="121">
        <f t="shared" si="13"/>
        <v>46477</v>
      </c>
      <c r="BY13" s="121">
        <f t="shared" si="13"/>
        <v>46507</v>
      </c>
      <c r="BZ13" s="121">
        <f t="shared" si="13"/>
        <v>46538</v>
      </c>
      <c r="CA13" s="121">
        <f t="shared" si="13"/>
        <v>46568</v>
      </c>
      <c r="CB13" s="121">
        <f t="shared" si="13"/>
        <v>46599</v>
      </c>
      <c r="CC13" s="121">
        <f t="shared" si="13"/>
        <v>46630</v>
      </c>
      <c r="CD13" s="121">
        <f t="shared" si="13"/>
        <v>46660</v>
      </c>
      <c r="CE13" s="121">
        <f t="shared" si="13"/>
        <v>46691</v>
      </c>
      <c r="CF13" s="121">
        <f t="shared" si="13"/>
        <v>46721</v>
      </c>
      <c r="CG13" s="121">
        <f t="shared" si="13"/>
        <v>46752</v>
      </c>
      <c r="CH13" s="121">
        <f t="shared" si="13"/>
        <v>46783</v>
      </c>
      <c r="CI13" s="121">
        <f t="shared" si="13"/>
        <v>46812</v>
      </c>
      <c r="CJ13" s="121">
        <f t="shared" si="13"/>
        <v>46843</v>
      </c>
      <c r="CK13" s="121">
        <f t="shared" si="13"/>
        <v>46873</v>
      </c>
      <c r="CL13" s="121">
        <f t="shared" si="13"/>
        <v>46904</v>
      </c>
      <c r="CM13" s="121">
        <f t="shared" si="13"/>
        <v>46934</v>
      </c>
      <c r="CN13" s="121">
        <f t="shared" si="13"/>
        <v>46965</v>
      </c>
      <c r="CO13" s="121">
        <f t="shared" si="13"/>
        <v>46996</v>
      </c>
      <c r="CP13" s="121">
        <f t="shared" si="13"/>
        <v>47026</v>
      </c>
      <c r="CQ13" s="121">
        <f t="shared" si="13"/>
        <v>47057</v>
      </c>
      <c r="CR13" s="121">
        <f t="shared" si="13"/>
        <v>47087</v>
      </c>
      <c r="CS13" s="121">
        <f t="shared" si="13"/>
        <v>47118</v>
      </c>
      <c r="CT13" s="121">
        <f t="shared" si="13"/>
        <v>47149</v>
      </c>
      <c r="CU13" s="121">
        <f t="shared" si="13"/>
        <v>47177</v>
      </c>
      <c r="CV13" s="121">
        <f t="shared" si="13"/>
        <v>47208</v>
      </c>
      <c r="CW13" s="121">
        <f t="shared" si="13"/>
        <v>47238</v>
      </c>
      <c r="CX13" s="121">
        <f t="shared" si="13"/>
        <v>47269</v>
      </c>
      <c r="CY13" s="121">
        <f t="shared" si="13"/>
        <v>47299</v>
      </c>
      <c r="CZ13" s="121">
        <f t="shared" si="13"/>
        <v>47330</v>
      </c>
      <c r="DA13" s="121">
        <f t="shared" si="13"/>
        <v>47361</v>
      </c>
      <c r="DB13" s="121">
        <f t="shared" si="13"/>
        <v>47391</v>
      </c>
      <c r="DC13" s="121">
        <f t="shared" si="13"/>
        <v>47422</v>
      </c>
      <c r="DD13" s="121">
        <f t="shared" si="13"/>
        <v>47452</v>
      </c>
      <c r="DE13" s="121">
        <f t="shared" si="13"/>
        <v>47483</v>
      </c>
      <c r="DF13" s="121">
        <f t="shared" si="13"/>
        <v>47514</v>
      </c>
      <c r="DG13" s="121">
        <f t="shared" si="13"/>
        <v>47542</v>
      </c>
      <c r="DH13" s="121">
        <f t="shared" si="13"/>
        <v>47573</v>
      </c>
      <c r="DI13" s="121">
        <f t="shared" si="13"/>
        <v>47603</v>
      </c>
      <c r="DJ13" s="121">
        <f t="shared" si="13"/>
        <v>47634</v>
      </c>
      <c r="DK13" s="121">
        <f t="shared" si="13"/>
        <v>47664</v>
      </c>
      <c r="DL13" s="121">
        <f t="shared" si="13"/>
        <v>47695</v>
      </c>
      <c r="DM13" s="121">
        <f t="shared" si="13"/>
        <v>47726</v>
      </c>
      <c r="DN13" s="121">
        <f t="shared" si="13"/>
        <v>47756</v>
      </c>
      <c r="DO13" s="121">
        <f t="shared" si="13"/>
        <v>47787</v>
      </c>
      <c r="DP13" s="121">
        <f t="shared" si="13"/>
        <v>47817</v>
      </c>
      <c r="DQ13" s="121">
        <f t="shared" si="13"/>
        <v>47848</v>
      </c>
      <c r="DR13" s="121">
        <f t="shared" si="13"/>
        <v>47879</v>
      </c>
      <c r="DS13" s="121">
        <f t="shared" si="13"/>
        <v>47907</v>
      </c>
      <c r="DT13" s="121">
        <f t="shared" si="13"/>
        <v>47938</v>
      </c>
      <c r="DU13" s="121">
        <f t="shared" si="13"/>
        <v>47968</v>
      </c>
      <c r="DV13" s="121">
        <f t="shared" si="13"/>
        <v>47999</v>
      </c>
      <c r="DW13" s="121">
        <f t="shared" si="13"/>
        <v>48029</v>
      </c>
      <c r="DX13" s="121">
        <f t="shared" si="13"/>
        <v>48060</v>
      </c>
      <c r="DY13" s="121">
        <f t="shared" si="13"/>
        <v>48091</v>
      </c>
      <c r="DZ13" s="121">
        <f t="shared" si="13"/>
        <v>48121</v>
      </c>
      <c r="EA13" s="121">
        <f t="shared" si="13"/>
        <v>48152</v>
      </c>
      <c r="EB13" s="121">
        <f t="shared" si="13"/>
        <v>48182</v>
      </c>
      <c r="EC13" s="121">
        <f>EOMONTH(EB13,1)</f>
        <v>48213</v>
      </c>
      <c r="ED13" s="122">
        <f>EOMONTH(EC13,1)</f>
        <v>48244</v>
      </c>
    </row>
    <row r="14" spans="1:134" x14ac:dyDescent="0.25">
      <c r="A14" s="123">
        <f>MAX(C14:ED14)</f>
        <v>113487791579.24863</v>
      </c>
      <c r="B14" s="4" t="s">
        <v>209</v>
      </c>
      <c r="C14" s="124">
        <f>IF(OR(C12&gt;Resumen!$K$19,Resumen!$K$19=Resumen!$E$10,C12&lt;Resumen!$E$10),0,IF(C12=Resumen!$E$13,Resumen!$E$14,Financiamiento!B19))</f>
        <v>0</v>
      </c>
      <c r="D14" s="124">
        <f>IF(OR(D12&gt;Resumen!$K$19,Resumen!$K$19=Resumen!$E$10,D12&lt;Resumen!$E$10),0,IF(D12=Resumen!$E$13,Resumen!$E$14,Financiamiento!C19))</f>
        <v>0</v>
      </c>
      <c r="E14" s="124">
        <f>IF(OR(E12&gt;Resumen!$K$19,Resumen!$K$19=Resumen!$E$10,E12&lt;Resumen!$E$10),0,IF(E12=Resumen!$E$13,Resumen!$E$14,Financiamiento!D19))</f>
        <v>0</v>
      </c>
      <c r="F14" s="124">
        <f>IF(OR(F12&gt;Resumen!$K$19,Resumen!$K$19=Resumen!$E$10,F12&lt;Resumen!$E$10),0,IF(F12=Resumen!$E$13,Resumen!$E$14,Financiamiento!E19))</f>
        <v>0</v>
      </c>
      <c r="G14" s="124">
        <f>IF(OR(G12&gt;Resumen!$K$19,Resumen!$K$19=Resumen!$E$10,G12&lt;Resumen!$E$10),0,IF(G12=Resumen!$E$13,Resumen!$E$14,Financiamiento!F19))</f>
        <v>0</v>
      </c>
      <c r="H14" s="124">
        <f>IF(OR(H12&gt;Resumen!$K$19,Resumen!$K$19=Resumen!$E$10,H12&lt;Resumen!$E$10),0,IF(H12=Resumen!$E$13,Resumen!$E$14,Financiamiento!G19))</f>
        <v>0</v>
      </c>
      <c r="I14" s="124">
        <f>IF(OR(I12&gt;Resumen!$K$19,Resumen!$K$19=Resumen!$E$10,I12&lt;Resumen!$E$10),0,IF(I12=Resumen!$E$13,Resumen!$E$14,Financiamiento!H19))</f>
        <v>0</v>
      </c>
      <c r="J14" s="124">
        <f>IF(OR(J12&gt;Resumen!$K$19,Resumen!$K$19=Resumen!$E$10,J12&lt;Resumen!$E$10),0,IF(J12=Resumen!$E$13,Resumen!$E$14,Financiamiento!I19))</f>
        <v>0</v>
      </c>
      <c r="K14" s="124">
        <f>IF(OR(K12&gt;Resumen!$K$19,Resumen!$K$19=Resumen!$E$10,K12&lt;Resumen!$E$10),0,IF(K12=Resumen!$E$13,Resumen!$E$14,Financiamiento!J19))</f>
        <v>0</v>
      </c>
      <c r="L14" s="124">
        <f>IF(OR(L12&gt;Resumen!$K$19,Resumen!$K$19=Resumen!$E$10,L12&lt;Resumen!$E$10),0,IF(L12=Resumen!$E$13,Resumen!$E$14,Financiamiento!K19))</f>
        <v>0</v>
      </c>
      <c r="M14" s="124">
        <f>IF(OR(M12&gt;Resumen!$K$19,Resumen!$K$19=Resumen!$E$10,M12&lt;Resumen!$E$10),0,IF(M12=Resumen!$E$13,Resumen!$E$14,Financiamiento!L19))</f>
        <v>0</v>
      </c>
      <c r="N14" s="124">
        <f>IF(OR(N12&gt;Resumen!$K$19,Resumen!$K$19=Resumen!$E$10,N12&lt;Resumen!$E$10),0,IF(N12=Resumen!$E$13,Resumen!$E$14,Financiamiento!M19))</f>
        <v>0</v>
      </c>
      <c r="O14" s="124">
        <f>IF(OR(O12&gt;Resumen!$K$19,Resumen!$K$19=Resumen!$E$10,O12&lt;Resumen!$E$10),0,IF(O12=Resumen!$E$13,Resumen!$E$14,Financiamiento!N19))</f>
        <v>0</v>
      </c>
      <c r="P14" s="124">
        <f>IF(OR(P12&gt;Resumen!$K$19,Resumen!$K$19=Resumen!$E$10,P12&lt;Resumen!$E$10),0,IF(P12=Resumen!$E$13,Resumen!$E$14,Financiamiento!O19))</f>
        <v>0</v>
      </c>
      <c r="Q14" s="124">
        <f>IF(OR(Q12&gt;Resumen!$K$19,Resumen!$K$19=Resumen!$E$10,Q12&lt;Resumen!$E$10),0,IF(Q12=Resumen!$E$13,Resumen!$E$14,Financiamiento!P19))</f>
        <v>0</v>
      </c>
      <c r="R14" s="124">
        <f>IF(OR(R12&gt;Resumen!$K$19,Resumen!$K$19=Resumen!$E$10,R12&lt;Resumen!$E$10),0,IF(R12=Resumen!$E$13,Resumen!$E$14,Financiamiento!Q19))</f>
        <v>0</v>
      </c>
      <c r="S14" s="124">
        <f>IF(OR(S12&gt;Resumen!$K$19,Resumen!$K$19=Resumen!$E$10,S12&lt;Resumen!$E$10),0,IF(S12=Resumen!$E$13,Resumen!$E$14,Financiamiento!R19))</f>
        <v>0</v>
      </c>
      <c r="T14" s="124">
        <f>IF(OR(T12&gt;Resumen!$K$19,Resumen!$K$19=Resumen!$E$10,T12&lt;Resumen!$E$10),0,IF(T12=Resumen!$E$13,Resumen!$E$14,Financiamiento!S19))</f>
        <v>0</v>
      </c>
      <c r="U14" s="124">
        <f>IF(OR(U12&gt;Resumen!$K$19,Resumen!$K$19=Resumen!$E$10,U12&lt;Resumen!$E$10),0,IF(U12=Resumen!$E$13,Resumen!$E$14,Financiamiento!T19))</f>
        <v>0</v>
      </c>
      <c r="V14" s="124">
        <f>IF(OR(V12&gt;Resumen!$K$19,Resumen!$K$19=Resumen!$E$10,V12&lt;Resumen!$E$10),0,IF(V12=Resumen!$E$13,Resumen!$E$14,Financiamiento!U19))</f>
        <v>0</v>
      </c>
      <c r="W14" s="124">
        <f>IF(OR(W12&gt;Resumen!$K$19,Resumen!$K$19=Resumen!$E$10,W12&lt;Resumen!$E$10),0,IF(W12=Resumen!$E$13,Resumen!$E$14,Financiamiento!V19))</f>
        <v>0</v>
      </c>
      <c r="X14" s="124">
        <f>IF(OR(X12&gt;Resumen!$K$19,Resumen!$K$19=Resumen!$E$10,X12&lt;Resumen!$E$10),0,IF(X12=Resumen!$E$13,Resumen!$E$14,Financiamiento!W19))</f>
        <v>0</v>
      </c>
      <c r="Y14" s="124">
        <f>IF(OR(Y12&gt;Resumen!$K$19,Resumen!$K$19=Resumen!$E$10,Y12&lt;Resumen!$E$10),0,IF(Y12=Resumen!$E$13,Resumen!$E$14,Financiamiento!X19))</f>
        <v>0</v>
      </c>
      <c r="Z14" s="124">
        <f>IF(OR(Z12&gt;Resumen!$K$19,Resumen!$K$19=Resumen!$E$10,Z12&lt;Resumen!$E$10),0,IF(Z12=Resumen!$E$13,Resumen!$E$14,Financiamiento!Y19))</f>
        <v>0</v>
      </c>
      <c r="AA14" s="124">
        <f>IF(OR(AA12&gt;Resumen!$K$19,Resumen!$K$19=Resumen!$E$10,AA12&lt;Resumen!$E$10),0,IF(AA12=Resumen!$E$13,Resumen!$E$14,Financiamiento!Z19))</f>
        <v>0</v>
      </c>
      <c r="AB14" s="124">
        <f>IF(OR(AB12&gt;Resumen!$K$19,Resumen!$K$19=Resumen!$E$10,AB12&lt;Resumen!$E$10),0,IF(AB12=Resumen!$E$13,Resumen!$E$14,Financiamiento!AA19))</f>
        <v>0</v>
      </c>
      <c r="AC14" s="124">
        <f>IF(OR(AC12&gt;Resumen!$K$19,Resumen!$K$19=Resumen!$E$10,AC12&lt;Resumen!$E$10),0,IF(AC12=Resumen!$E$13,Resumen!$E$14,Financiamiento!AB19))</f>
        <v>0</v>
      </c>
      <c r="AD14" s="124">
        <f>IF(OR(AD12&gt;Resumen!$K$19,Resumen!$K$19=Resumen!$E$10,AD12&lt;Resumen!$E$10),0,IF(AD12=Resumen!$E$13,Resumen!$E$14,Financiamiento!AC19))</f>
        <v>0</v>
      </c>
      <c r="AE14" s="124">
        <f>IF(OR(AE12&gt;Resumen!$K$19,Resumen!$K$19=Resumen!$E$10,AE12&lt;Resumen!$E$10),0,IF(AE12=Resumen!$E$13,Resumen!$E$14,Financiamiento!AD19))</f>
        <v>0</v>
      </c>
      <c r="AF14" s="124">
        <f>IF(OR(AF12&gt;Resumen!$K$19,Resumen!$K$19=Resumen!$E$10,AF12&lt;Resumen!$E$10),0,IF(AF12=Resumen!$E$13,Resumen!$E$14,Financiamiento!AE19))</f>
        <v>0</v>
      </c>
      <c r="AG14" s="124">
        <f>IF(OR(AG12&gt;Resumen!$K$19,Resumen!$K$19=Resumen!$E$10,AG12&lt;Resumen!$E$10),0,IF(AG12=Resumen!$E$13,Resumen!$E$14,Financiamiento!AF19))</f>
        <v>0</v>
      </c>
      <c r="AH14" s="124">
        <f>IF(OR(AH12&gt;Resumen!$K$19,Resumen!$K$19=Resumen!$E$10,AH12&lt;Resumen!$E$10),0,IF(AH12=Resumen!$E$13,Resumen!$E$14,Financiamiento!AG19))</f>
        <v>0</v>
      </c>
      <c r="AI14" s="124">
        <f>IF(OR(AI12&gt;Resumen!$K$19,Resumen!$K$19=Resumen!$E$10,AI12&lt;Resumen!$E$10),0,IF(AI12=Resumen!$E$13,Resumen!$E$14,Financiamiento!AH19))</f>
        <v>0</v>
      </c>
      <c r="AJ14" s="124">
        <f>IF(OR(AJ12&gt;Resumen!$K$19,Resumen!$K$19=Resumen!$E$10,AJ12&lt;Resumen!$E$10),0,IF(AJ12=Resumen!$E$13,Resumen!$E$14,Financiamiento!AI19))</f>
        <v>0</v>
      </c>
      <c r="AK14" s="124">
        <f>IF(OR(AK12&gt;Resumen!$K$19,Resumen!$K$19=Resumen!$E$10,AK12&lt;Resumen!$E$10),0,IF(AK12=Resumen!$E$13,Resumen!$E$14,Financiamiento!AJ19))</f>
        <v>0</v>
      </c>
      <c r="AL14" s="124">
        <f>IF(OR(AL12&gt;Resumen!$K$19,Resumen!$K$19=Resumen!$E$10,AL12&lt;Resumen!$E$10),0,IF(AL12=Resumen!$E$13,Resumen!$E$14,Financiamiento!AK19))</f>
        <v>0</v>
      </c>
      <c r="AM14" s="124">
        <f>IF(OR(AM12&gt;Resumen!$K$19,Resumen!$K$19=Resumen!$E$10,AM12&lt;Resumen!$E$10),0,IF(AM12=Resumen!$E$13,Resumen!$E$14,Financiamiento!AL19))</f>
        <v>0</v>
      </c>
      <c r="AN14" s="124">
        <f>IF(OR(AN12&gt;Resumen!$K$19,Resumen!$K$19=Resumen!$E$10,AN12&lt;Resumen!$E$10),0,IF(AN12=Resumen!$E$13,Resumen!$E$14,Financiamiento!AM19))</f>
        <v>0</v>
      </c>
      <c r="AO14" s="124">
        <f>IF(OR(AO12&gt;Resumen!$K$19,Resumen!$K$19=Resumen!$E$10,AO12&lt;Resumen!$E$10),0,IF(AO12=Resumen!$E$13,Resumen!$E$14,Financiamiento!AN19))</f>
        <v>0</v>
      </c>
      <c r="AP14" s="124">
        <f>IF(OR(AP12&gt;Resumen!$K$19,Resumen!$K$19=Resumen!$E$10,AP12&lt;Resumen!$E$10),0,IF(AP12=Resumen!$E$13,Resumen!$E$14,Financiamiento!AO19))</f>
        <v>0</v>
      </c>
      <c r="AQ14" s="124">
        <f>IF(OR(AQ12&gt;Resumen!$K$19,Resumen!$K$19=Resumen!$E$10,AQ12&lt;Resumen!$E$10),0,IF(AQ12=Resumen!$E$13,Resumen!$E$14,Financiamiento!AP19))</f>
        <v>0</v>
      </c>
      <c r="AR14" s="124">
        <f>IF(OR(AR12&gt;Resumen!$K$19,Resumen!$K$19=Resumen!$E$10,AR12&lt;Resumen!$E$10),0,IF(AR12=Resumen!$E$13,Resumen!$E$14,Financiamiento!AQ19))</f>
        <v>0</v>
      </c>
      <c r="AS14" s="124">
        <f>IF(OR(AS12&gt;Resumen!$K$19,Resumen!$K$19=Resumen!$E$10,AS12&lt;Resumen!$E$10),0,IF(AS12=Resumen!$E$13,Resumen!$E$14,Financiamiento!AR19))</f>
        <v>0</v>
      </c>
      <c r="AT14" s="124">
        <f>IF(OR(AT12&gt;Resumen!$K$19,Resumen!$K$19=Resumen!$E$10,AT12&lt;Resumen!$E$10),0,IF(AT12=Resumen!$E$13,Resumen!$E$14,Financiamiento!AS19))</f>
        <v>0</v>
      </c>
      <c r="AU14" s="124">
        <f>IF(OR(AU12&gt;Resumen!$K$19,Resumen!$K$19=Resumen!$E$10,AU12&lt;Resumen!$E$10),0,IF(AU12=Resumen!$E$13,Resumen!$E$14,Financiamiento!AT19))</f>
        <v>0</v>
      </c>
      <c r="AV14" s="124">
        <f>IF(OR(AV12&gt;Resumen!$K$19,Resumen!$K$19=Resumen!$E$10,AV12&lt;Resumen!$E$10),0,IF(AV12=Resumen!$E$13,Resumen!$E$14,Financiamiento!AU19))</f>
        <v>0</v>
      </c>
      <c r="AW14" s="124">
        <f>IF(OR(AW12&gt;Resumen!$K$19,Resumen!$K$19=Resumen!$E$10,AW12&lt;Resumen!$E$10),0,IF(AW12=Resumen!$E$13,Resumen!$E$14,Financiamiento!AV19))</f>
        <v>0</v>
      </c>
      <c r="AX14" s="124">
        <f>IF(OR(AX12&gt;Resumen!$K$19,Resumen!$K$19=Resumen!$E$10,AX12&lt;Resumen!$E$10),0,IF(AX12=Resumen!$E$13,Resumen!$E$14,Financiamiento!AW19))</f>
        <v>0</v>
      </c>
      <c r="AY14" s="124">
        <f>IF(OR(AY12&gt;Resumen!$K$19,Resumen!$K$19=Resumen!$E$10,AY12&lt;Resumen!$E$10),0,IF(AY12=Resumen!$E$13,Resumen!$E$14,Financiamiento!AX19))</f>
        <v>0</v>
      </c>
      <c r="AZ14" s="124">
        <f>IF(OR(AZ12&gt;Resumen!$K$19,Resumen!$K$19=Resumen!$E$10,AZ12&lt;Resumen!$E$10),0,IF(AZ12=Resumen!$E$13,Resumen!$E$14,Financiamiento!AY19))</f>
        <v>0</v>
      </c>
      <c r="BA14" s="124">
        <f>IF(OR(BA12&gt;Resumen!$K$19,Resumen!$K$19=Resumen!$E$10,BA12&lt;Resumen!$E$10),0,IF(BA12=Resumen!$E$13,Resumen!$E$14,Financiamiento!AZ19))</f>
        <v>0</v>
      </c>
      <c r="BB14" s="124">
        <f>IF(OR(BB12&gt;Resumen!$K$19,Resumen!$K$19=Resumen!$E$10,BB12&lt;Resumen!$E$10),0,IF(BB12=Resumen!$E$13,Resumen!$E$14,Financiamiento!BA19))</f>
        <v>0</v>
      </c>
      <c r="BC14" s="124">
        <f>IF(OR(BC12&gt;Resumen!$K$19,Resumen!$K$19=Resumen!$E$10,BC12&lt;Resumen!$E$10),0,IF(BC12=Resumen!$E$13,Resumen!$E$14,Financiamiento!BB19))</f>
        <v>0</v>
      </c>
      <c r="BD14" s="124">
        <f>IF(OR(BD12&gt;Resumen!$K$19,Resumen!$K$19=Resumen!$E$10,BD12&lt;Resumen!$E$10),0,IF(BD12=Resumen!$E$13,Resumen!$E$14,Financiamiento!BC19))</f>
        <v>0</v>
      </c>
      <c r="BE14" s="124">
        <f>IF(OR(BE12&gt;Resumen!$K$19,Resumen!$K$19=Resumen!$E$10,BE12&lt;Resumen!$E$10),0,IF(BE12=Resumen!$E$13,Resumen!$E$14,Financiamiento!BD19))</f>
        <v>0</v>
      </c>
      <c r="BF14" s="124">
        <f>IF(OR(BF12&gt;Resumen!$K$19,Resumen!$K$19=Resumen!$E$10,BF12&lt;Resumen!$E$10),0,IF(BF12=Resumen!$E$13,Resumen!$E$14,Financiamiento!BE19))</f>
        <v>0</v>
      </c>
      <c r="BG14" s="124">
        <f>IF(OR(BG12&gt;Resumen!$K$19,Resumen!$K$19=Resumen!$E$10,BG12&lt;Resumen!$E$10),0,IF(BG12=Resumen!$E$13,Resumen!$E$14,Financiamiento!BF19))</f>
        <v>0</v>
      </c>
      <c r="BH14" s="124">
        <f>IF(OR(BH12&gt;Resumen!$K$19,Resumen!$K$19=Resumen!$E$10,BH12&lt;Resumen!$E$10),0,IF(BH12=Resumen!$E$13,Resumen!$E$14,Financiamiento!BG19))</f>
        <v>0</v>
      </c>
      <c r="BI14" s="124">
        <f>IF(OR(BI12&gt;Resumen!$K$19,Resumen!$K$19=Resumen!$E$10,BI12&lt;Resumen!$E$10),0,IF(BI12=Resumen!$E$13,Resumen!$E$14,Financiamiento!BH19))</f>
        <v>0</v>
      </c>
      <c r="BJ14" s="124">
        <f>IF(OR(BJ12&gt;Resumen!$K$19,Resumen!$K$19=Resumen!$E$10,BJ12&lt;Resumen!$E$10),0,IF(BJ12=Resumen!$E$13,Resumen!$E$14,Financiamiento!BI19))</f>
        <v>113487791579.24863</v>
      </c>
      <c r="BK14" s="124">
        <f>IF(OR(BK12&gt;Resumen!$K$19,Resumen!$K$19=Resumen!$E$10,BK12&lt;Resumen!$E$10),0,IF(BK12=Resumen!$E$13,Resumen!$E$14,Financiamiento!BJ19))</f>
        <v>113487791579.24863</v>
      </c>
      <c r="BL14" s="124">
        <f>IF(OR(BL12&gt;Resumen!$K$19,Resumen!$K$19=Resumen!$E$10,BL12&lt;Resumen!$E$10),0,IF(BL12=Resumen!$E$13,Resumen!$E$14,Financiamiento!BK19))</f>
        <v>113437586581.32124</v>
      </c>
      <c r="BM14" s="124">
        <f>IF(OR(BM12&gt;Resumen!$K$19,Resumen!$K$19=Resumen!$E$10,BM12&lt;Resumen!$E$10),0,IF(BM12=Resumen!$E$13,Resumen!$E$14,Financiamiento!BL19))</f>
        <v>113386963208.41113</v>
      </c>
      <c r="BN14" s="124">
        <f>IF(OR(BN12&gt;Resumen!$K$19,Resumen!$K$19=Resumen!$E$10,BN12&lt;Resumen!$E$10),0,IF(BN12=Resumen!$E$13,Resumen!$E$14,Financiamiento!BM19))</f>
        <v>113335917974.0601</v>
      </c>
      <c r="BO14" s="124">
        <f>IF(OR(BO12&gt;Resumen!$K$19,Resumen!$K$19=Resumen!$E$10,BO12&lt;Resumen!$E$10),0,IF(BO12=Resumen!$E$13,Resumen!$E$14,Financiamiento!BN19))</f>
        <v>113284447362.75615</v>
      </c>
      <c r="BP14" s="124">
        <f>IF(OR(BP12&gt;Resumen!$K$19,Resumen!$K$19=Resumen!$E$10,BP12&lt;Resumen!$E$10),0,IF(BP12=Resumen!$E$13,Resumen!$E$14,Financiamiento!BO19))</f>
        <v>113232547829.69133</v>
      </c>
      <c r="BQ14" s="124">
        <f>IF(OR(BQ12&gt;Resumen!$K$19,Resumen!$K$19=Resumen!$E$10,BQ12&lt;Resumen!$E$10),0,IF(BQ12=Resumen!$E$13,Resumen!$E$14,Financiamiento!BP19))</f>
        <v>113180215800.51764</v>
      </c>
      <c r="BR14" s="124">
        <f>IF(OR(BR12&gt;Resumen!$K$19,Resumen!$K$19=Resumen!$E$10,BR12&lt;Resumen!$E$10),0,IF(BR12=Resumen!$E$13,Resumen!$E$14,Financiamiento!BQ19))</f>
        <v>113127447671.10083</v>
      </c>
      <c r="BS14" s="124">
        <f>IF(OR(BS12&gt;Resumen!$K$19,Resumen!$K$19=Resumen!$E$10,BS12&lt;Resumen!$E$10),0,IF(BS12=Resumen!$E$13,Resumen!$E$14,Financiamiento!BR19))</f>
        <v>113074239807.27222</v>
      </c>
      <c r="BT14" s="124">
        <f>IF(OR(BT12&gt;Resumen!$K$19,Resumen!$K$19=Resumen!$E$10,BT12&lt;Resumen!$E$10),0,IF(BT12=Resumen!$E$13,Resumen!$E$14,Financiamiento!BS19))</f>
        <v>113020588544.57837</v>
      </c>
      <c r="BU14" s="124">
        <f>IF(OR(BU12&gt;Resumen!$K$19,Resumen!$K$19=Resumen!$E$10,BU12&lt;Resumen!$E$10),0,IF(BU12=Resumen!$E$13,Resumen!$E$14,Financiamiento!BT19))</f>
        <v>112966490188.02873</v>
      </c>
      <c r="BV14" s="124">
        <f>IF(OR(BV12&gt;Resumen!$K$19,Resumen!$K$19=Resumen!$E$10,BV12&lt;Resumen!$E$10),0,IF(BV12=Resumen!$E$13,Resumen!$E$14,Financiamiento!BU19))</f>
        <v>112911941011.84119</v>
      </c>
      <c r="BW14" s="124">
        <f>IF(OR(BW12&gt;Resumen!$K$19,Resumen!$K$19=Resumen!$E$10,BW12&lt;Resumen!$E$10),0,IF(BW12=Resumen!$E$13,Resumen!$E$14,Financiamiento!BV19))</f>
        <v>112856937259.18541</v>
      </c>
      <c r="BX14" s="124">
        <f>IF(OR(BX12&gt;Resumen!$K$19,Resumen!$K$19=Resumen!$E$10,BX12&lt;Resumen!$E$10),0,IF(BX12=Resumen!$E$13,Resumen!$E$14,Financiamiento!BW19))</f>
        <v>112801475141.92418</v>
      </c>
      <c r="BY14" s="124">
        <f>IF(OR(BY12&gt;Resumen!$K$19,Resumen!$K$19=Resumen!$E$10,BY12&lt;Resumen!$E$10),0,IF(BY12=Resumen!$E$13,Resumen!$E$14,Financiamiento!BX19))</f>
        <v>112745550840.35243</v>
      </c>
      <c r="BZ14" s="124">
        <f>IF(OR(BZ12&gt;Resumen!$K$19,Resumen!$K$19=Resumen!$E$10,BZ12&lt;Resumen!$E$10),0,IF(BZ12=Resumen!$E$13,Resumen!$E$14,Financiamiento!BY19))</f>
        <v>112689160502.93425</v>
      </c>
      <c r="CA14" s="124">
        <f>IF(OR(CA12&gt;Resumen!$K$19,Resumen!$K$19=Resumen!$E$10,CA12&lt;Resumen!$E$10),0,IF(CA12=Resumen!$E$13,Resumen!$E$14,Financiamiento!BZ19))</f>
        <v>112632300246.03758</v>
      </c>
      <c r="CB14" s="124">
        <f>IF(OR(CB12&gt;Resumen!$K$19,Resumen!$K$19=Resumen!$E$10,CB12&lt;Resumen!$E$10),0,IF(CB12=Resumen!$E$13,Resumen!$E$14,Financiamiento!CA19))</f>
        <v>112574966153.66678</v>
      </c>
      <c r="CC14" s="124">
        <f>IF(OR(CC12&gt;Resumen!$K$19,Resumen!$K$19=Resumen!$E$10,CC12&lt;Resumen!$E$10),0,IF(CC12=Resumen!$E$13,Resumen!$E$14,Financiamiento!CB19))</f>
        <v>112517154277.19289</v>
      </c>
      <c r="CD14" s="124">
        <f>IF(OR(CD12&gt;Resumen!$K$19,Resumen!$K$19=Resumen!$E$10,CD12&lt;Resumen!$E$10),0,IF(CD12=Resumen!$E$13,Resumen!$E$14,Financiamiento!CC19))</f>
        <v>112458860635.08171</v>
      </c>
      <c r="CE14" s="124">
        <f>IF(OR(CE12&gt;Resumen!$K$19,Resumen!$K$19=Resumen!$E$10,CE12&lt;Resumen!$E$10),0,IF(CE12=Resumen!$E$13,Resumen!$E$14,Financiamiento!CD19))</f>
        <v>112400081212.61961</v>
      </c>
      <c r="CF14" s="124">
        <f>IF(OR(CF12&gt;Resumen!$K$19,Resumen!$K$19=Resumen!$E$10,CF12&lt;Resumen!$E$10),0,IF(CF12=Resumen!$E$13,Resumen!$E$14,Financiamiento!CE19))</f>
        <v>112340811961.63699</v>
      </c>
      <c r="CG14" s="124">
        <f>IF(OR(CG12&gt;Resumen!$K$19,Resumen!$K$19=Resumen!$E$10,CG12&lt;Resumen!$E$10),0,IF(CG12=Resumen!$E$13,Resumen!$E$14,Financiamiento!CF19))</f>
        <v>112281048800.22952</v>
      </c>
      <c r="CH14" s="124">
        <f>IF(OR(CH12&gt;Resumen!$K$19,Resumen!$K$19=Resumen!$E$10,CH12&lt;Resumen!$E$10),0,IF(CH12=Resumen!$E$13,Resumen!$E$14,Financiamiento!CG19))</f>
        <v>112220787612.47699</v>
      </c>
      <c r="CI14" s="124">
        <f>IF(OR(CI12&gt;Resumen!$K$19,Resumen!$K$19=Resumen!$E$10,CI12&lt;Resumen!$E$10),0,IF(CI12=Resumen!$E$13,Resumen!$E$14,Financiamiento!CH19))</f>
        <v>112160024248.15985</v>
      </c>
      <c r="CJ14" s="124">
        <f>IF(OR(CJ12&gt;Resumen!$K$19,Resumen!$K$19=Resumen!$E$10,CJ12&lt;Resumen!$E$10),0,IF(CJ12=Resumen!$E$13,Resumen!$E$14,Financiamiento!CI19))</f>
        <v>112098754522.4734</v>
      </c>
      <c r="CK14" s="124">
        <f>IF(OR(CK12&gt;Resumen!$K$19,Resumen!$K$19=Resumen!$E$10,CK12&lt;Resumen!$E$10),0,IF(CK12=Resumen!$E$13,Resumen!$E$14,Financiamiento!CJ19))</f>
        <v>112036974215.73956</v>
      </c>
      <c r="CL14" s="124">
        <f>IF(OR(CL12&gt;Resumen!$K$19,Resumen!$K$19=Resumen!$E$10,CL12&lt;Resumen!$E$10),0,IF(CL12=Resumen!$E$13,Resumen!$E$14,Financiamiento!CK19))</f>
        <v>111974679073.11627</v>
      </c>
      <c r="CM14" s="124">
        <f>IF(OR(CM12&gt;Resumen!$K$19,Resumen!$K$19=Resumen!$E$10,CM12&lt;Resumen!$E$10),0,IF(CM12=Resumen!$E$13,Resumen!$E$14,Financiamiento!CL19))</f>
        <v>111911864804.30446</v>
      </c>
      <c r="CN14" s="124">
        <f>IF(OR(CN12&gt;Resumen!$K$19,Resumen!$K$19=Resumen!$E$10,CN12&lt;Resumen!$E$10),0,IF(CN12=Resumen!$E$13,Resumen!$E$14,Financiamiento!CM19))</f>
        <v>111848527083.25255</v>
      </c>
      <c r="CO14" s="124">
        <f>IF(OR(CO12&gt;Resumen!$K$19,Resumen!$K$19=Resumen!$E$10,CO12&lt;Resumen!$E$10),0,IF(CO12=Resumen!$E$13,Resumen!$E$14,Financiamiento!CN19))</f>
        <v>111784661547.85854</v>
      </c>
      <c r="CP14" s="124">
        <f>IF(OR(CP12&gt;Resumen!$K$19,Resumen!$K$19=Resumen!$E$10,CP12&lt;Resumen!$E$10),0,IF(CP12=Resumen!$E$13,Resumen!$E$14,Financiamiento!CO19))</f>
        <v>111720263799.66957</v>
      </c>
      <c r="CQ14" s="124">
        <f>IF(OR(CQ12&gt;Resumen!$K$19,Resumen!$K$19=Resumen!$E$10,CQ12&lt;Resumen!$E$10),0,IF(CQ12=Resumen!$E$13,Resumen!$E$14,Financiamiento!CP19))</f>
        <v>111655329403.57904</v>
      </c>
      <c r="CR14" s="124">
        <f>IF(OR(CR12&gt;Resumen!$K$19,Resumen!$K$19=Resumen!$E$10,CR12&lt;Resumen!$E$10),0,IF(CR12=Resumen!$E$13,Resumen!$E$14,Financiamiento!CQ19))</f>
        <v>111589853887.52109</v>
      </c>
      <c r="CS14" s="124">
        <f>IF(OR(CS12&gt;Resumen!$K$19,Resumen!$K$19=Resumen!$E$10,CS12&lt;Resumen!$E$10),0,IF(CS12=Resumen!$E$13,Resumen!$E$14,Financiamiento!CR19))</f>
        <v>111523832742.16264</v>
      </c>
      <c r="CT14" s="124">
        <f>IF(OR(CT12&gt;Resumen!$K$19,Resumen!$K$19=Resumen!$E$10,CT12&lt;Resumen!$E$10),0,IF(CT12=Resumen!$E$13,Resumen!$E$14,Financiamiento!CS19))</f>
        <v>111457261420.59288</v>
      </c>
      <c r="CU14" s="124">
        <f>IF(OR(CU12&gt;Resumen!$K$19,Resumen!$K$19=Resumen!$E$10,CU12&lt;Resumen!$E$10),0,IF(CU12=Resumen!$E$13,Resumen!$E$14,Financiamiento!CT19))</f>
        <v>111390135338.01004</v>
      </c>
      <c r="CV14" s="124">
        <f>IF(OR(CV12&gt;Resumen!$K$19,Resumen!$K$19=Resumen!$E$10,CV12&lt;Resumen!$E$10),0,IF(CV12=Resumen!$E$13,Resumen!$E$14,Financiamiento!CU19))</f>
        <v>111322449871.40567</v>
      </c>
      <c r="CW14" s="124">
        <f>IF(OR(CW12&gt;Resumen!$K$19,Resumen!$K$19=Resumen!$E$10,CW12&lt;Resumen!$E$10),0,IF(CW12=Resumen!$E$13,Resumen!$E$14,Financiamiento!CV19))</f>
        <v>111254200359.24626</v>
      </c>
      <c r="CX14" s="124">
        <f>IF(OR(CX12&gt;Resumen!$K$19,Resumen!$K$19=Resumen!$E$10,CX12&lt;Resumen!$E$10),0,IF(CX12=Resumen!$E$13,Resumen!$E$14,Financiamiento!CW19))</f>
        <v>111185382101.15219</v>
      </c>
      <c r="CY14" s="124">
        <f>IF(OR(CY12&gt;Resumen!$K$19,Resumen!$K$19=Resumen!$E$10,CY12&lt;Resumen!$E$10),0,IF(CY12=Resumen!$E$13,Resumen!$E$14,Financiamiento!CX19))</f>
        <v>111115990357.57401</v>
      </c>
      <c r="CZ14" s="124">
        <f>IF(OR(CZ12&gt;Resumen!$K$19,Resumen!$K$19=Resumen!$E$10,CZ12&lt;Resumen!$E$10),0,IF(CZ12=Resumen!$E$13,Resumen!$E$14,Financiamiento!CY19))</f>
        <v>111046020349.466</v>
      </c>
      <c r="DA14" s="124">
        <f>IF(OR(DA12&gt;Resumen!$K$19,Resumen!$K$19=Resumen!$E$10,DA12&lt;Resumen!$E$10),0,IF(DA12=Resumen!$E$13,Resumen!$E$14,Financiamiento!CZ19))</f>
        <v>110975467257.95711</v>
      </c>
      <c r="DB14" s="124">
        <f>IF(OR(DB12&gt;Resumen!$K$19,Resumen!$K$19=Resumen!$E$10,DB12&lt;Resumen!$E$10),0,IF(DB12=Resumen!$E$13,Resumen!$E$14,Financiamiento!DA19))</f>
        <v>110904326224.01897</v>
      </c>
      <c r="DC14" s="124">
        <f>IF(OR(DC12&gt;Resumen!$K$19,Resumen!$K$19=Resumen!$E$10,DC12&lt;Resumen!$E$10),0,IF(DC12=Resumen!$E$13,Resumen!$E$14,Financiamiento!DB19))</f>
        <v>110832592348.13135</v>
      </c>
      <c r="DD14" s="124">
        <f>IF(OR(DD12&gt;Resumen!$K$19,Resumen!$K$19=Resumen!$E$10,DD12&lt;Resumen!$E$10),0,IF(DD12=Resumen!$E$13,Resumen!$E$14,Financiamiento!DC19))</f>
        <v>110760260689.94466</v>
      </c>
      <c r="DE14" s="124">
        <f>IF(OR(DE12&gt;Resumen!$K$19,Resumen!$K$19=Resumen!$E$10,DE12&lt;Resumen!$E$10),0,IF(DE12=Resumen!$E$13,Resumen!$E$14,Financiamiento!DD19))</f>
        <v>110687326267.93974</v>
      </c>
      <c r="DF14" s="124">
        <f>IF(OR(DF12&gt;Resumen!$K$19,Resumen!$K$19=Resumen!$E$10,DF12&lt;Resumen!$E$10),0,IF(DF12=Resumen!$E$13,Resumen!$E$14,Financiamiento!DE19))</f>
        <v>110613784059.08479</v>
      </c>
      <c r="DG14" s="124">
        <f>IF(OR(DG12&gt;Resumen!$K$19,Resumen!$K$19=Resumen!$E$10,DG12&lt;Resumen!$E$10),0,IF(DG12=Resumen!$E$13,Resumen!$E$14,Financiamiento!DF19))</f>
        <v>110539628998.48938</v>
      </c>
      <c r="DH14" s="124">
        <f>IF(OR(DH12&gt;Resumen!$K$19,Resumen!$K$19=Resumen!$E$10,DH12&lt;Resumen!$E$10),0,IF(DH12=Resumen!$E$13,Resumen!$E$14,Financiamiento!DG19))</f>
        <v>110464855979.05568</v>
      </c>
      <c r="DI14" s="124">
        <f>IF(OR(DI12&gt;Resumen!$K$19,Resumen!$K$19=Resumen!$E$10,DI12&lt;Resumen!$E$10),0,IF(DI12=Resumen!$E$13,Resumen!$E$14,Financiamiento!DH19))</f>
        <v>110389459851.12669</v>
      </c>
      <c r="DJ14" s="124">
        <f>IF(OR(DJ12&gt;Resumen!$K$19,Resumen!$K$19=Resumen!$E$10,DJ12&lt;Resumen!$E$10),0,IF(DJ12=Resumen!$E$13,Resumen!$E$14,Financiamiento!DI19))</f>
        <v>110313435422.13164</v>
      </c>
      <c r="DK14" s="124">
        <f>IF(OR(DK12&gt;Resumen!$K$19,Resumen!$K$19=Resumen!$E$10,DK12&lt;Resumen!$E$10),0,IF(DK12=Resumen!$E$13,Resumen!$E$14,Financiamiento!DJ19))</f>
        <v>110236777456.22829</v>
      </c>
      <c r="DL14" s="124">
        <f>IF(OR(DL12&gt;Resumen!$K$19,Resumen!$K$19=Resumen!$E$10,DL12&lt;Resumen!$E$10),0,IF(DL12=Resumen!$E$13,Resumen!$E$14,Financiamiento!DK19))</f>
        <v>110159480673.94241</v>
      </c>
      <c r="DM14" s="124">
        <f>IF(OR(DM12&gt;Resumen!$K$19,Resumen!$K$19=Resumen!$E$10,DM12&lt;Resumen!$E$10),0,IF(DM12=Resumen!$E$13,Resumen!$E$14,Financiamiento!DL19))</f>
        <v>110081539751.80415</v>
      </c>
      <c r="DN14" s="124">
        <f>IF(OR(DN12&gt;Resumen!$K$19,Resumen!$K$19=Resumen!$E$10,DN12&lt;Resumen!$E$10),0,IF(DN12=Resumen!$E$13,Resumen!$E$14,Financiamiento!DM19))</f>
        <v>110002949321.9814</v>
      </c>
      <c r="DO14" s="124">
        <f>IF(OR(DO12&gt;Resumen!$K$19,Resumen!$K$19=Resumen!$E$10,DO12&lt;Resumen!$E$10),0,IF(DO12=Resumen!$E$13,Resumen!$E$14,Financiamiento!DN19))</f>
        <v>109923703971.91013</v>
      </c>
      <c r="DP14" s="124">
        <f>IF(OR(DP12&gt;Resumen!$K$19,Resumen!$K$19=Resumen!$E$10,DP12&lt;Resumen!$E$10),0,IF(DP12=Resumen!$E$13,Resumen!$E$14,Financiamiento!DO19))</f>
        <v>109843798243.9216</v>
      </c>
      <c r="DQ14" s="124">
        <f>IF(OR(DQ12&gt;Resumen!$K$19,Resumen!$K$19=Resumen!$E$10,DQ12&lt;Resumen!$E$10),0,IF(DQ12=Resumen!$E$13,Resumen!$E$14,Financiamiento!DP19))</f>
        <v>109763226634.8665</v>
      </c>
      <c r="DR14" s="124">
        <f>IF(OR(DR12&gt;Resumen!$K$19,Resumen!$K$19=Resumen!$E$10,DR12&lt;Resumen!$E$10),0,IF(DR12=Resumen!$E$13,Resumen!$E$14,Financiamiento!DQ19))</f>
        <v>109681983595.73595</v>
      </c>
      <c r="DS14" s="124">
        <f>IF(OR(DS12&gt;Resumen!$K$19,Resumen!$K$19=Resumen!$E$10,DS12&lt;Resumen!$E$10),0,IF(DS12=Resumen!$E$13,Resumen!$E$14,Financiamiento!DR19))</f>
        <v>0</v>
      </c>
      <c r="DT14" s="124">
        <f>IF(OR(DT12&gt;Resumen!$K$19,Resumen!$K$19=Resumen!$E$10,DT12&lt;Resumen!$E$10),0,IF(DT12=Resumen!$E$13,Resumen!$E$14,Financiamiento!DS19))</f>
        <v>0</v>
      </c>
      <c r="DU14" s="124">
        <f>IF(OR(DU12&gt;Resumen!$K$19,Resumen!$K$19=Resumen!$E$10,DU12&lt;Resumen!$E$10),0,IF(DU12=Resumen!$E$13,Resumen!$E$14,Financiamiento!DT19))</f>
        <v>0</v>
      </c>
      <c r="DV14" s="124">
        <f>IF(OR(DV12&gt;Resumen!$K$19,Resumen!$K$19=Resumen!$E$10,DV12&lt;Resumen!$E$10),0,IF(DV12=Resumen!$E$13,Resumen!$E$14,Financiamiento!DU19))</f>
        <v>0</v>
      </c>
      <c r="DW14" s="124">
        <f>IF(OR(DW12&gt;Resumen!$K$19,Resumen!$K$19=Resumen!$E$10,DW12&lt;Resumen!$E$10),0,IF(DW12=Resumen!$E$13,Resumen!$E$14,Financiamiento!DV19))</f>
        <v>0</v>
      </c>
      <c r="DX14" s="124">
        <f>IF(OR(DX12&gt;Resumen!$K$19,Resumen!$K$19=Resumen!$E$10,DX12&lt;Resumen!$E$10),0,IF(DX12=Resumen!$E$13,Resumen!$E$14,Financiamiento!DW19))</f>
        <v>0</v>
      </c>
      <c r="DY14" s="124">
        <f>IF(OR(DY12&gt;Resumen!$K$19,Resumen!$K$19=Resumen!$E$10,DY12&lt;Resumen!$E$10),0,IF(DY12=Resumen!$E$13,Resumen!$E$14,Financiamiento!DX19))</f>
        <v>0</v>
      </c>
      <c r="DZ14" s="124">
        <f>IF(OR(DZ12&gt;Resumen!$K$19,Resumen!$K$19=Resumen!$E$10,DZ12&lt;Resumen!$E$10),0,IF(DZ12=Resumen!$E$13,Resumen!$E$14,Financiamiento!DY19))</f>
        <v>0</v>
      </c>
      <c r="EA14" s="124">
        <f>IF(OR(EA12&gt;Resumen!$K$19,Resumen!$K$19=Resumen!$E$10,EA12&lt;Resumen!$E$10),0,IF(EA12=Resumen!$E$13,Resumen!$E$14,Financiamiento!DZ19))</f>
        <v>0</v>
      </c>
      <c r="EB14" s="124">
        <f>IF(OR(EB12&gt;Resumen!$K$19,Resumen!$K$19=Resumen!$E$10,EB12&lt;Resumen!$E$10),0,IF(EB12=Resumen!$E$13,Resumen!$E$14,Financiamiento!EA19))</f>
        <v>0</v>
      </c>
      <c r="EC14" s="124">
        <f>IF(OR(EC12&gt;Resumen!$K$19,Resumen!$K$19=Resumen!$E$10,EC12&lt;Resumen!$E$10),0,IF(EC12=Resumen!$E$13,Resumen!$E$14,Financiamiento!EB19))</f>
        <v>0</v>
      </c>
      <c r="ED14" s="125">
        <f>IF(OR(ED12&gt;Resumen!$K$19,Resumen!$K$19=Resumen!$E$10,ED12&lt;Resumen!$E$10),0,IF(ED12=Resumen!$E$13,Resumen!$E$14,Financiamiento!EC19))</f>
        <v>0</v>
      </c>
    </row>
    <row r="15" spans="1:134" x14ac:dyDescent="0.25">
      <c r="A15" s="123">
        <f>SUM(C15:ED15)</f>
        <v>59756195665.266853</v>
      </c>
      <c r="B15" s="5" t="s">
        <v>210</v>
      </c>
      <c r="C15" s="124">
        <f>IF(OR(C12&gt;Resumen!$K$19,C12&lt;=Resumen!$E$13),0,IF(C12&lt;=Resumen!$E$13+Resumen!$E$20,Resumen!$E$19/12*Financiamiento!C14,PMT(Resumen!$E$19/12,Resumen!$E$22,-Resumen!$E$14,0,0)))</f>
        <v>0</v>
      </c>
      <c r="D15" s="124">
        <f>IF(OR(D12&gt;Resumen!$K$19,D12&lt;=Resumen!$E$13),0,IF(D12&lt;=Resumen!$E$13+Resumen!$E$20,Resumen!$E$19/12*Financiamiento!D14,PMT(Resumen!$E$19/12,Resumen!$E$22,-Resumen!$E$14,0,0)))</f>
        <v>0</v>
      </c>
      <c r="E15" s="124">
        <f>IF(OR(E12&gt;Resumen!$K$19,E12&lt;=Resumen!$E$13),0,IF(E12&lt;=Resumen!$E$13+Resumen!$E$20,Resumen!$E$19/12*Financiamiento!E14,PMT(Resumen!$E$19/12,Resumen!$E$22,-Resumen!$E$14,0,0)))</f>
        <v>0</v>
      </c>
      <c r="F15" s="124">
        <f>IF(OR(F12&gt;Resumen!$K$19,F12&lt;=Resumen!$E$13),0,IF(F12&lt;=Resumen!$E$13+Resumen!$E$20,Resumen!$E$19/12*Financiamiento!F14,PMT(Resumen!$E$19/12,Resumen!$E$22,-Resumen!$E$14,0,0)))</f>
        <v>0</v>
      </c>
      <c r="G15" s="124">
        <f>IF(OR(G12&gt;Resumen!$K$19,G12&lt;=Resumen!$E$13),0,IF(G12&lt;=Resumen!$E$13+Resumen!$E$20,Resumen!$E$19/12*Financiamiento!G14,PMT(Resumen!$E$19/12,Resumen!$E$22,-Resumen!$E$14,0,0)))</f>
        <v>0</v>
      </c>
      <c r="H15" s="124">
        <f>IF(OR(H12&gt;Resumen!$K$19,H12&lt;=Resumen!$E$13),0,IF(H12&lt;=Resumen!$E$13+Resumen!$E$20,Resumen!$E$19/12*Financiamiento!H14,PMT(Resumen!$E$19/12,Resumen!$E$22,-Resumen!$E$14,0,0)))</f>
        <v>0</v>
      </c>
      <c r="I15" s="124">
        <f>IF(OR(I12&gt;Resumen!$K$19,I12&lt;=Resumen!$E$13),0,IF(I12&lt;=Resumen!$E$13+Resumen!$E$20,Resumen!$E$19/12*Financiamiento!I14,PMT(Resumen!$E$19/12,Resumen!$E$22,-Resumen!$E$14,0,0)))</f>
        <v>0</v>
      </c>
      <c r="J15" s="124">
        <f>IF(OR(J12&gt;Resumen!$K$19,J12&lt;=Resumen!$E$13),0,IF(J12&lt;=Resumen!$E$13+Resumen!$E$20,Resumen!$E$19/12*Financiamiento!J14,PMT(Resumen!$E$19/12,Resumen!$E$22,-Resumen!$E$14,0,0)))</f>
        <v>0</v>
      </c>
      <c r="K15" s="124">
        <f>IF(OR(K12&gt;Resumen!$K$19,K12&lt;=Resumen!$E$13),0,IF(K12&lt;=Resumen!$E$13+Resumen!$E$20,Resumen!$E$19/12*Financiamiento!K14,PMT(Resumen!$E$19/12,Resumen!$E$22,-Resumen!$E$14,0,0)))</f>
        <v>0</v>
      </c>
      <c r="L15" s="124">
        <f>IF(OR(L12&gt;Resumen!$K$19,L12&lt;=Resumen!$E$13),0,IF(L12&lt;=Resumen!$E$13+Resumen!$E$20,Resumen!$E$19/12*Financiamiento!L14,PMT(Resumen!$E$19/12,Resumen!$E$22,-Resumen!$E$14,0,0)))</f>
        <v>0</v>
      </c>
      <c r="M15" s="124">
        <f>IF(OR(M12&gt;Resumen!$K$19,M12&lt;=Resumen!$E$13),0,IF(M12&lt;=Resumen!$E$13+Resumen!$E$20,Resumen!$E$19/12*Financiamiento!M14,PMT(Resumen!$E$19/12,Resumen!$E$22,-Resumen!$E$14,0,0)))</f>
        <v>0</v>
      </c>
      <c r="N15" s="124">
        <f>IF(OR(N12&gt;Resumen!$K$19,N12&lt;=Resumen!$E$13),0,IF(N12&lt;=Resumen!$E$13+Resumen!$E$20,Resumen!$E$19/12*Financiamiento!N14,PMT(Resumen!$E$19/12,Resumen!$E$22,-Resumen!$E$14,0,0)))</f>
        <v>0</v>
      </c>
      <c r="O15" s="124">
        <f>IF(OR(O12&gt;Resumen!$K$19,O12&lt;=Resumen!$E$13),0,IF(O12&lt;=Resumen!$E$13+Resumen!$E$20,Resumen!$E$19/12*Financiamiento!O14,PMT(Resumen!$E$19/12,Resumen!$E$22,-Resumen!$E$14,0,0)))</f>
        <v>0</v>
      </c>
      <c r="P15" s="124">
        <f>IF(OR(P12&gt;Resumen!$K$19,P12&lt;=Resumen!$E$13),0,IF(P12&lt;=Resumen!$E$13+Resumen!$E$20,Resumen!$E$19/12*Financiamiento!P14,PMT(Resumen!$E$19/12,Resumen!$E$22,-Resumen!$E$14,0,0)))</f>
        <v>0</v>
      </c>
      <c r="Q15" s="124">
        <f>IF(OR(Q12&gt;Resumen!$K$19,Q12&lt;=Resumen!$E$13),0,IF(Q12&lt;=Resumen!$E$13+Resumen!$E$20,Resumen!$E$19/12*Financiamiento!Q14,PMT(Resumen!$E$19/12,Resumen!$E$22,-Resumen!$E$14,0,0)))</f>
        <v>0</v>
      </c>
      <c r="R15" s="124">
        <f>IF(OR(R12&gt;Resumen!$K$19,R12&lt;=Resumen!$E$13),0,IF(R12&lt;=Resumen!$E$13+Resumen!$E$20,Resumen!$E$19/12*Financiamiento!R14,PMT(Resumen!$E$19/12,Resumen!$E$22,-Resumen!$E$14,0,0)))</f>
        <v>0</v>
      </c>
      <c r="S15" s="124">
        <f>IF(OR(S12&gt;Resumen!$K$19,S12&lt;=Resumen!$E$13),0,IF(S12&lt;=Resumen!$E$13+Resumen!$E$20,Resumen!$E$19/12*Financiamiento!S14,PMT(Resumen!$E$19/12,Resumen!$E$22,-Resumen!$E$14,0,0)))</f>
        <v>0</v>
      </c>
      <c r="T15" s="124">
        <f>IF(OR(T12&gt;Resumen!$K$19,T12&lt;=Resumen!$E$13),0,IF(T12&lt;=Resumen!$E$13+Resumen!$E$20,Resumen!$E$19/12*Financiamiento!T14,PMT(Resumen!$E$19/12,Resumen!$E$22,-Resumen!$E$14,0,0)))</f>
        <v>0</v>
      </c>
      <c r="U15" s="124">
        <f>IF(OR(U12&gt;Resumen!$K$19,U12&lt;=Resumen!$E$13),0,IF(U12&lt;=Resumen!$E$13+Resumen!$E$20,Resumen!$E$19/12*Financiamiento!U14,PMT(Resumen!$E$19/12,Resumen!$E$22,-Resumen!$E$14,0,0)))</f>
        <v>0</v>
      </c>
      <c r="V15" s="124">
        <f>IF(OR(V12&gt;Resumen!$K$19,V12&lt;=Resumen!$E$13),0,IF(V12&lt;=Resumen!$E$13+Resumen!$E$20,Resumen!$E$19/12*Financiamiento!V14,PMT(Resumen!$E$19/12,Resumen!$E$22,-Resumen!$E$14,0,0)))</f>
        <v>0</v>
      </c>
      <c r="W15" s="124">
        <f>IF(OR(W12&gt;Resumen!$K$19,W12&lt;=Resumen!$E$13),0,IF(W12&lt;=Resumen!$E$13+Resumen!$E$20,Resumen!$E$19/12*Financiamiento!W14,PMT(Resumen!$E$19/12,Resumen!$E$22,-Resumen!$E$14,0,0)))</f>
        <v>0</v>
      </c>
      <c r="X15" s="124">
        <f>IF(OR(X12&gt;Resumen!$K$19,X12&lt;=Resumen!$E$13),0,IF(X12&lt;=Resumen!$E$13+Resumen!$E$20,Resumen!$E$19/12*Financiamiento!X14,PMT(Resumen!$E$19/12,Resumen!$E$22,-Resumen!$E$14,0,0)))</f>
        <v>0</v>
      </c>
      <c r="Y15" s="124">
        <f>IF(OR(Y12&gt;Resumen!$K$19,Y12&lt;=Resumen!$E$13),0,IF(Y12&lt;=Resumen!$E$13+Resumen!$E$20,Resumen!$E$19/12*Financiamiento!Y14,PMT(Resumen!$E$19/12,Resumen!$E$22,-Resumen!$E$14,0,0)))</f>
        <v>0</v>
      </c>
      <c r="Z15" s="124">
        <f>IF(OR(Z12&gt;Resumen!$K$19,Z12&lt;=Resumen!$E$13),0,IF(Z12&lt;=Resumen!$E$13+Resumen!$E$20,Resumen!$E$19/12*Financiamiento!Z14,PMT(Resumen!$E$19/12,Resumen!$E$22,-Resumen!$E$14,0,0)))</f>
        <v>0</v>
      </c>
      <c r="AA15" s="124">
        <f>IF(OR(AA12&gt;Resumen!$K$19,AA12&lt;=Resumen!$E$13),0,IF(AA12&lt;=Resumen!$E$13+Resumen!$E$20,Resumen!$E$19/12*Financiamiento!AA14,PMT(Resumen!$E$19/12,Resumen!$E$22,-Resumen!$E$14,0,0)))</f>
        <v>0</v>
      </c>
      <c r="AB15" s="124">
        <f>IF(OR(AB12&gt;Resumen!$K$19,AB12&lt;=Resumen!$E$13),0,IF(AB12&lt;=Resumen!$E$13+Resumen!$E$20,Resumen!$E$19/12*Financiamiento!AB14,PMT(Resumen!$E$19/12,Resumen!$E$22,-Resumen!$E$14,0,0)))</f>
        <v>0</v>
      </c>
      <c r="AC15" s="124">
        <f>IF(OR(AC12&gt;Resumen!$K$19,AC12&lt;=Resumen!$E$13),0,IF(AC12&lt;=Resumen!$E$13+Resumen!$E$20,Resumen!$E$19/12*Financiamiento!AC14,PMT(Resumen!$E$19/12,Resumen!$E$22,-Resumen!$E$14,0,0)))</f>
        <v>0</v>
      </c>
      <c r="AD15" s="124">
        <f>IF(OR(AD12&gt;Resumen!$K$19,AD12&lt;=Resumen!$E$13),0,IF(AD12&lt;=Resumen!$E$13+Resumen!$E$20,Resumen!$E$19/12*Financiamiento!AD14,PMT(Resumen!$E$19/12,Resumen!$E$22,-Resumen!$E$14,0,0)))</f>
        <v>0</v>
      </c>
      <c r="AE15" s="124">
        <f>IF(OR(AE12&gt;Resumen!$K$19,AE12&lt;=Resumen!$E$13),0,IF(AE12&lt;=Resumen!$E$13+Resumen!$E$20,Resumen!$E$19/12*Financiamiento!AE14,PMT(Resumen!$E$19/12,Resumen!$E$22,-Resumen!$E$14,0,0)))</f>
        <v>0</v>
      </c>
      <c r="AF15" s="124">
        <f>IF(OR(AF12&gt;Resumen!$K$19,AF12&lt;=Resumen!$E$13),0,IF(AF12&lt;=Resumen!$E$13+Resumen!$E$20,Resumen!$E$19/12*Financiamiento!AF14,PMT(Resumen!$E$19/12,Resumen!$E$22,-Resumen!$E$14,0,0)))</f>
        <v>0</v>
      </c>
      <c r="AG15" s="124">
        <f>IF(OR(AG12&gt;Resumen!$K$19,AG12&lt;=Resumen!$E$13),0,IF(AG12&lt;=Resumen!$E$13+Resumen!$E$20,Resumen!$E$19/12*Financiamiento!AG14,PMT(Resumen!$E$19/12,Resumen!$E$22,-Resumen!$E$14,0,0)))</f>
        <v>0</v>
      </c>
      <c r="AH15" s="124">
        <f>IF(OR(AH12&gt;Resumen!$K$19,AH12&lt;=Resumen!$E$13),0,IF(AH12&lt;=Resumen!$E$13+Resumen!$E$20,Resumen!$E$19/12*Financiamiento!AH14,PMT(Resumen!$E$19/12,Resumen!$E$22,-Resumen!$E$14,0,0)))</f>
        <v>0</v>
      </c>
      <c r="AI15" s="124">
        <f>IF(OR(AI12&gt;Resumen!$K$19,AI12&lt;=Resumen!$E$13),0,IF(AI12&lt;=Resumen!$E$13+Resumen!$E$20,Resumen!$E$19/12*Financiamiento!AI14,PMT(Resumen!$E$19/12,Resumen!$E$22,-Resumen!$E$14,0,0)))</f>
        <v>0</v>
      </c>
      <c r="AJ15" s="124">
        <f>IF(OR(AJ12&gt;Resumen!$K$19,AJ12&lt;=Resumen!$E$13),0,IF(AJ12&lt;=Resumen!$E$13+Resumen!$E$20,Resumen!$E$19/12*Financiamiento!AJ14,PMT(Resumen!$E$19/12,Resumen!$E$22,-Resumen!$E$14,0,0)))</f>
        <v>0</v>
      </c>
      <c r="AK15" s="124">
        <f>IF(OR(AK12&gt;Resumen!$K$19,AK12&lt;=Resumen!$E$13),0,IF(AK12&lt;=Resumen!$E$13+Resumen!$E$20,Resumen!$E$19/12*Financiamiento!AK14,PMT(Resumen!$E$19/12,Resumen!$E$22,-Resumen!$E$14,0,0)))</f>
        <v>0</v>
      </c>
      <c r="AL15" s="124">
        <f>IF(OR(AL12&gt;Resumen!$K$19,AL12&lt;=Resumen!$E$13),0,IF(AL12&lt;=Resumen!$E$13+Resumen!$E$20,Resumen!$E$19/12*Financiamiento!AL14,PMT(Resumen!$E$19/12,Resumen!$E$22,-Resumen!$E$14,0,0)))</f>
        <v>0</v>
      </c>
      <c r="AM15" s="124">
        <f>IF(OR(AM12&gt;Resumen!$K$19,AM12&lt;=Resumen!$E$13),0,IF(AM12&lt;=Resumen!$E$13+Resumen!$E$20,Resumen!$E$19/12*Financiamiento!AM14,PMT(Resumen!$E$19/12,Resumen!$E$22,-Resumen!$E$14,0,0)))</f>
        <v>0</v>
      </c>
      <c r="AN15" s="124">
        <f>IF(OR(AN12&gt;Resumen!$K$19,AN12&lt;=Resumen!$E$13),0,IF(AN12&lt;=Resumen!$E$13+Resumen!$E$20,Resumen!$E$19/12*Financiamiento!AN14,PMT(Resumen!$E$19/12,Resumen!$E$22,-Resumen!$E$14,0,0)))</f>
        <v>0</v>
      </c>
      <c r="AO15" s="124">
        <f>IF(OR(AO12&gt;Resumen!$K$19,AO12&lt;=Resumen!$E$13),0,IF(AO12&lt;=Resumen!$E$13+Resumen!$E$20,Resumen!$E$19/12*Financiamiento!AO14,PMT(Resumen!$E$19/12,Resumen!$E$22,-Resumen!$E$14,0,0)))</f>
        <v>0</v>
      </c>
      <c r="AP15" s="124">
        <f>IF(OR(AP12&gt;Resumen!$K$19,AP12&lt;=Resumen!$E$13),0,IF(AP12&lt;=Resumen!$E$13+Resumen!$E$20,Resumen!$E$19/12*Financiamiento!AP14,PMT(Resumen!$E$19/12,Resumen!$E$22,-Resumen!$E$14,0,0)))</f>
        <v>0</v>
      </c>
      <c r="AQ15" s="124">
        <f>IF(OR(AQ12&gt;Resumen!$K$19,AQ12&lt;=Resumen!$E$13),0,IF(AQ12&lt;=Resumen!$E$13+Resumen!$E$20,Resumen!$E$19/12*Financiamiento!AQ14,PMT(Resumen!$E$19/12,Resumen!$E$22,-Resumen!$E$14,0,0)))</f>
        <v>0</v>
      </c>
      <c r="AR15" s="124">
        <f>IF(OR(AR12&gt;Resumen!$K$19,AR12&lt;=Resumen!$E$13),0,IF(AR12&lt;=Resumen!$E$13+Resumen!$E$20,Resumen!$E$19/12*Financiamiento!AR14,PMT(Resumen!$E$19/12,Resumen!$E$22,-Resumen!$E$14,0,0)))</f>
        <v>0</v>
      </c>
      <c r="AS15" s="124">
        <f>IF(OR(AS12&gt;Resumen!$K$19,AS12&lt;=Resumen!$E$13),0,IF(AS12&lt;=Resumen!$E$13+Resumen!$E$20,Resumen!$E$19/12*Financiamiento!AS14,PMT(Resumen!$E$19/12,Resumen!$E$22,-Resumen!$E$14,0,0)))</f>
        <v>0</v>
      </c>
      <c r="AT15" s="124">
        <f>IF(OR(AT12&gt;Resumen!$K$19,AT12&lt;=Resumen!$E$13),0,IF(AT12&lt;=Resumen!$E$13+Resumen!$E$20,Resumen!$E$19/12*Financiamiento!AT14,PMT(Resumen!$E$19/12,Resumen!$E$22,-Resumen!$E$14,0,0)))</f>
        <v>0</v>
      </c>
      <c r="AU15" s="124">
        <f>IF(OR(AU12&gt;Resumen!$K$19,AU12&lt;=Resumen!$E$13),0,IF(AU12&lt;=Resumen!$E$13+Resumen!$E$20,Resumen!$E$19/12*Financiamiento!AU14,PMT(Resumen!$E$19/12,Resumen!$E$22,-Resumen!$E$14,0,0)))</f>
        <v>0</v>
      </c>
      <c r="AV15" s="124">
        <f>IF(OR(AV12&gt;Resumen!$K$19,AV12&lt;=Resumen!$E$13),0,IF(AV12&lt;=Resumen!$E$13+Resumen!$E$20,Resumen!$E$19/12*Financiamiento!AV14,PMT(Resumen!$E$19/12,Resumen!$E$22,-Resumen!$E$14,0,0)))</f>
        <v>0</v>
      </c>
      <c r="AW15" s="124">
        <f>IF(OR(AW12&gt;Resumen!$K$19,AW12&lt;=Resumen!$E$13),0,IF(AW12&lt;=Resumen!$E$13+Resumen!$E$20,Resumen!$E$19/12*Financiamiento!AW14,PMT(Resumen!$E$19/12,Resumen!$E$22,-Resumen!$E$14,0,0)))</f>
        <v>0</v>
      </c>
      <c r="AX15" s="124">
        <f>IF(OR(AX12&gt;Resumen!$K$19,AX12&lt;=Resumen!$E$13),0,IF(AX12&lt;=Resumen!$E$13+Resumen!$E$20,Resumen!$E$19/12*Financiamiento!AX14,PMT(Resumen!$E$19/12,Resumen!$E$22,-Resumen!$E$14,0,0)))</f>
        <v>0</v>
      </c>
      <c r="AY15" s="124">
        <f>IF(OR(AY12&gt;Resumen!$K$19,AY12&lt;=Resumen!$E$13),0,IF(AY12&lt;=Resumen!$E$13+Resumen!$E$20,Resumen!$E$19/12*Financiamiento!AY14,PMT(Resumen!$E$19/12,Resumen!$E$22,-Resumen!$E$14,0,0)))</f>
        <v>0</v>
      </c>
      <c r="AZ15" s="124">
        <f>IF(OR(AZ12&gt;Resumen!$K$19,AZ12&lt;=Resumen!$E$13),0,IF(AZ12&lt;=Resumen!$E$13+Resumen!$E$20,Resumen!$E$19/12*Financiamiento!AZ14,PMT(Resumen!$E$19/12,Resumen!$E$22,-Resumen!$E$14,0,0)))</f>
        <v>0</v>
      </c>
      <c r="BA15" s="124">
        <f>IF(OR(BA12&gt;Resumen!$K$19,BA12&lt;=Resumen!$E$13),0,IF(BA12&lt;=Resumen!$E$13+Resumen!$E$20,Resumen!$E$19/12*Financiamiento!BA14,PMT(Resumen!$E$19/12,Resumen!$E$22,-Resumen!$E$14,0,0)))</f>
        <v>0</v>
      </c>
      <c r="BB15" s="124">
        <f>IF(OR(BB12&gt;Resumen!$K$19,BB12&lt;=Resumen!$E$13),0,IF(BB12&lt;=Resumen!$E$13+Resumen!$E$20,Resumen!$E$19/12*Financiamiento!BB14,PMT(Resumen!$E$19/12,Resumen!$E$22,-Resumen!$E$14,0,0)))</f>
        <v>0</v>
      </c>
      <c r="BC15" s="124">
        <f>IF(OR(BC12&gt;Resumen!$K$19,BC12&lt;=Resumen!$E$13),0,IF(BC12&lt;=Resumen!$E$13+Resumen!$E$20,Resumen!$E$19/12*Financiamiento!BC14,PMT(Resumen!$E$19/12,Resumen!$E$22,-Resumen!$E$14,0,0)))</f>
        <v>0</v>
      </c>
      <c r="BD15" s="124">
        <f>IF(OR(BD12&gt;Resumen!$K$19,BD12&lt;=Resumen!$E$13),0,IF(BD12&lt;=Resumen!$E$13+Resumen!$E$20,Resumen!$E$19/12*Financiamiento!BD14,PMT(Resumen!$E$19/12,Resumen!$E$22,-Resumen!$E$14,0,0)))</f>
        <v>0</v>
      </c>
      <c r="BE15" s="124">
        <f>IF(OR(BE12&gt;Resumen!$K$19,BE12&lt;=Resumen!$E$13),0,IF(BE12&lt;=Resumen!$E$13+Resumen!$E$20,Resumen!$E$19/12*Financiamiento!BE14,PMT(Resumen!$E$19/12,Resumen!$E$22,-Resumen!$E$14,0,0)))</f>
        <v>0</v>
      </c>
      <c r="BF15" s="124">
        <f>IF(OR(BF12&gt;Resumen!$K$19,BF12&lt;=Resumen!$E$13),0,IF(BF12&lt;=Resumen!$E$13+Resumen!$E$20,Resumen!$E$19/12*Financiamiento!BF14,PMT(Resumen!$E$19/12,Resumen!$E$22,-Resumen!$E$14,0,0)))</f>
        <v>0</v>
      </c>
      <c r="BG15" s="124">
        <f>IF(OR(BG12&gt;Resumen!$K$19,BG12&lt;=Resumen!$E$13),0,IF(BG12&lt;=Resumen!$E$13+Resumen!$E$20,Resumen!$E$19/12*Financiamiento!BG14,PMT(Resumen!$E$19/12,Resumen!$E$22,-Resumen!$E$14,0,0)))</f>
        <v>0</v>
      </c>
      <c r="BH15" s="124">
        <f>IF(OR(BH12&gt;Resumen!$K$19,BH12&lt;=Resumen!$E$13),0,IF(BH12&lt;=Resumen!$E$13+Resumen!$E$20,Resumen!$E$19/12*Financiamiento!BH14,PMT(Resumen!$E$19/12,Resumen!$E$22,-Resumen!$E$14,0,0)))</f>
        <v>0</v>
      </c>
      <c r="BI15" s="124">
        <f>IF(OR(BI12&gt;Resumen!$K$19,BI12&lt;=Resumen!$E$13),0,IF(BI12&lt;=Resumen!$E$13+Resumen!$E$20,Resumen!$E$19/12*Financiamiento!BI14,PMT(Resumen!$E$19/12,Resumen!$E$22,-Resumen!$E$14,0,0)))</f>
        <v>0</v>
      </c>
      <c r="BJ15" s="124">
        <f>IF(OR(BJ12&gt;Resumen!$K$19,BJ12&lt;=Resumen!$E$13),0,IF(BJ12&lt;=Resumen!$E$13+Resumen!$E$20,Resumen!$E$19/12*Financiamiento!BJ14,PMT(Resumen!$E$19/12,Resumen!$E$22,-Resumen!$E$14,0,0)))</f>
        <v>0</v>
      </c>
      <c r="BK15" s="124">
        <f>IF(OR(BK12&gt;Resumen!$K$19,BK12&lt;=Resumen!$E$13),0,IF(BK12&lt;=Resumen!$E$13+Resumen!$E$20,Resumen!$E$19/12*Financiamiento!BK14,PMT(Resumen!$E$19/12,Resumen!$E$22,-Resumen!$E$14,0,0)))</f>
        <v>995936594.42111576</v>
      </c>
      <c r="BL15" s="124">
        <f>IF(OR(BL12&gt;Resumen!$K$19,BL12&lt;=Resumen!$E$13),0,IF(BL12&lt;=Resumen!$E$13+Resumen!$E$20,Resumen!$E$19/12*Financiamiento!BL14,PMT(Resumen!$E$19/12,Resumen!$E$22,-Resumen!$E$14,0,0)))</f>
        <v>995936594.42111576</v>
      </c>
      <c r="BM15" s="124">
        <f>IF(OR(BM12&gt;Resumen!$K$19,BM12&lt;=Resumen!$E$13),0,IF(BM12&lt;=Resumen!$E$13+Resumen!$E$20,Resumen!$E$19/12*Financiamiento!BM14,PMT(Resumen!$E$19/12,Resumen!$E$22,-Resumen!$E$14,0,0)))</f>
        <v>995936594.42111576</v>
      </c>
      <c r="BN15" s="124">
        <f>IF(OR(BN12&gt;Resumen!$K$19,BN12&lt;=Resumen!$E$13),0,IF(BN12&lt;=Resumen!$E$13+Resumen!$E$20,Resumen!$E$19/12*Financiamiento!BN14,PMT(Resumen!$E$19/12,Resumen!$E$22,-Resumen!$E$14,0,0)))</f>
        <v>995936594.42111576</v>
      </c>
      <c r="BO15" s="124">
        <f>IF(OR(BO12&gt;Resumen!$K$19,BO12&lt;=Resumen!$E$13),0,IF(BO12&lt;=Resumen!$E$13+Resumen!$E$20,Resumen!$E$19/12*Financiamiento!BO14,PMT(Resumen!$E$19/12,Resumen!$E$22,-Resumen!$E$14,0,0)))</f>
        <v>995936594.42111576</v>
      </c>
      <c r="BP15" s="124">
        <f>IF(OR(BP12&gt;Resumen!$K$19,BP12&lt;=Resumen!$E$13),0,IF(BP12&lt;=Resumen!$E$13+Resumen!$E$20,Resumen!$E$19/12*Financiamiento!BP14,PMT(Resumen!$E$19/12,Resumen!$E$22,-Resumen!$E$14,0,0)))</f>
        <v>995936594.42111576</v>
      </c>
      <c r="BQ15" s="124">
        <f>IF(OR(BQ12&gt;Resumen!$K$19,BQ12&lt;=Resumen!$E$13),0,IF(BQ12&lt;=Resumen!$E$13+Resumen!$E$20,Resumen!$E$19/12*Financiamiento!BQ14,PMT(Resumen!$E$19/12,Resumen!$E$22,-Resumen!$E$14,0,0)))</f>
        <v>995936594.42111576</v>
      </c>
      <c r="BR15" s="124">
        <f>IF(OR(BR12&gt;Resumen!$K$19,BR12&lt;=Resumen!$E$13),0,IF(BR12&lt;=Resumen!$E$13+Resumen!$E$20,Resumen!$E$19/12*Financiamiento!BR14,PMT(Resumen!$E$19/12,Resumen!$E$22,-Resumen!$E$14,0,0)))</f>
        <v>995936594.42111576</v>
      </c>
      <c r="BS15" s="124">
        <f>IF(OR(BS12&gt;Resumen!$K$19,BS12&lt;=Resumen!$E$13),0,IF(BS12&lt;=Resumen!$E$13+Resumen!$E$20,Resumen!$E$19/12*Financiamiento!BS14,PMT(Resumen!$E$19/12,Resumen!$E$22,-Resumen!$E$14,0,0)))</f>
        <v>995936594.42111576</v>
      </c>
      <c r="BT15" s="124">
        <f>IF(OR(BT12&gt;Resumen!$K$19,BT12&lt;=Resumen!$E$13),0,IF(BT12&lt;=Resumen!$E$13+Resumen!$E$20,Resumen!$E$19/12*Financiamiento!BT14,PMT(Resumen!$E$19/12,Resumen!$E$22,-Resumen!$E$14,0,0)))</f>
        <v>995936594.42111576</v>
      </c>
      <c r="BU15" s="124">
        <f>IF(OR(BU12&gt;Resumen!$K$19,BU12&lt;=Resumen!$E$13),0,IF(BU12&lt;=Resumen!$E$13+Resumen!$E$20,Resumen!$E$19/12*Financiamiento!BU14,PMT(Resumen!$E$19/12,Resumen!$E$22,-Resumen!$E$14,0,0)))</f>
        <v>995936594.42111576</v>
      </c>
      <c r="BV15" s="124">
        <f>IF(OR(BV12&gt;Resumen!$K$19,BV12&lt;=Resumen!$E$13),0,IF(BV12&lt;=Resumen!$E$13+Resumen!$E$20,Resumen!$E$19/12*Financiamiento!BV14,PMT(Resumen!$E$19/12,Resumen!$E$22,-Resumen!$E$14,0,0)))</f>
        <v>995936594.42111576</v>
      </c>
      <c r="BW15" s="124">
        <f>IF(OR(BW12&gt;Resumen!$K$19,BW12&lt;=Resumen!$E$13),0,IF(BW12&lt;=Resumen!$E$13+Resumen!$E$20,Resumen!$E$19/12*Financiamiento!BW14,PMT(Resumen!$E$19/12,Resumen!$E$22,-Resumen!$E$14,0,0)))</f>
        <v>995936594.42111576</v>
      </c>
      <c r="BX15" s="124">
        <f>IF(OR(BX12&gt;Resumen!$K$19,BX12&lt;=Resumen!$E$13),0,IF(BX12&lt;=Resumen!$E$13+Resumen!$E$20,Resumen!$E$19/12*Financiamiento!BX14,PMT(Resumen!$E$19/12,Resumen!$E$22,-Resumen!$E$14,0,0)))</f>
        <v>995936594.42111576</v>
      </c>
      <c r="BY15" s="124">
        <f>IF(OR(BY12&gt;Resumen!$K$19,BY12&lt;=Resumen!$E$13),0,IF(BY12&lt;=Resumen!$E$13+Resumen!$E$20,Resumen!$E$19/12*Financiamiento!BY14,PMT(Resumen!$E$19/12,Resumen!$E$22,-Resumen!$E$14,0,0)))</f>
        <v>995936594.42111576</v>
      </c>
      <c r="BZ15" s="124">
        <f>IF(OR(BZ12&gt;Resumen!$K$19,BZ12&lt;=Resumen!$E$13),0,IF(BZ12&lt;=Resumen!$E$13+Resumen!$E$20,Resumen!$E$19/12*Financiamiento!BZ14,PMT(Resumen!$E$19/12,Resumen!$E$22,-Resumen!$E$14,0,0)))</f>
        <v>995936594.42111576</v>
      </c>
      <c r="CA15" s="124">
        <f>IF(OR(CA12&gt;Resumen!$K$19,CA12&lt;=Resumen!$E$13),0,IF(CA12&lt;=Resumen!$E$13+Resumen!$E$20,Resumen!$E$19/12*Financiamiento!CA14,PMT(Resumen!$E$19/12,Resumen!$E$22,-Resumen!$E$14,0,0)))</f>
        <v>995936594.42111576</v>
      </c>
      <c r="CB15" s="124">
        <f>IF(OR(CB12&gt;Resumen!$K$19,CB12&lt;=Resumen!$E$13),0,IF(CB12&lt;=Resumen!$E$13+Resumen!$E$20,Resumen!$E$19/12*Financiamiento!CB14,PMT(Resumen!$E$19/12,Resumen!$E$22,-Resumen!$E$14,0,0)))</f>
        <v>995936594.42111576</v>
      </c>
      <c r="CC15" s="124">
        <f>IF(OR(CC12&gt;Resumen!$K$19,CC12&lt;=Resumen!$E$13),0,IF(CC12&lt;=Resumen!$E$13+Resumen!$E$20,Resumen!$E$19/12*Financiamiento!CC14,PMT(Resumen!$E$19/12,Resumen!$E$22,-Resumen!$E$14,0,0)))</f>
        <v>995936594.42111576</v>
      </c>
      <c r="CD15" s="124">
        <f>IF(OR(CD12&gt;Resumen!$K$19,CD12&lt;=Resumen!$E$13),0,IF(CD12&lt;=Resumen!$E$13+Resumen!$E$20,Resumen!$E$19/12*Financiamiento!CD14,PMT(Resumen!$E$19/12,Resumen!$E$22,-Resumen!$E$14,0,0)))</f>
        <v>995936594.42111576</v>
      </c>
      <c r="CE15" s="124">
        <f>IF(OR(CE12&gt;Resumen!$K$19,CE12&lt;=Resumen!$E$13),0,IF(CE12&lt;=Resumen!$E$13+Resumen!$E$20,Resumen!$E$19/12*Financiamiento!CE14,PMT(Resumen!$E$19/12,Resumen!$E$22,-Resumen!$E$14,0,0)))</f>
        <v>995936594.42111576</v>
      </c>
      <c r="CF15" s="124">
        <f>IF(OR(CF12&gt;Resumen!$K$19,CF12&lt;=Resumen!$E$13),0,IF(CF12&lt;=Resumen!$E$13+Resumen!$E$20,Resumen!$E$19/12*Financiamiento!CF14,PMT(Resumen!$E$19/12,Resumen!$E$22,-Resumen!$E$14,0,0)))</f>
        <v>995936594.42111576</v>
      </c>
      <c r="CG15" s="124">
        <f>IF(OR(CG12&gt;Resumen!$K$19,CG12&lt;=Resumen!$E$13),0,IF(CG12&lt;=Resumen!$E$13+Resumen!$E$20,Resumen!$E$19/12*Financiamiento!CG14,PMT(Resumen!$E$19/12,Resumen!$E$22,-Resumen!$E$14,0,0)))</f>
        <v>995936594.42111576</v>
      </c>
      <c r="CH15" s="124">
        <f>IF(OR(CH12&gt;Resumen!$K$19,CH12&lt;=Resumen!$E$13),0,IF(CH12&lt;=Resumen!$E$13+Resumen!$E$20,Resumen!$E$19/12*Financiamiento!CH14,PMT(Resumen!$E$19/12,Resumen!$E$22,-Resumen!$E$14,0,0)))</f>
        <v>995936594.42111576</v>
      </c>
      <c r="CI15" s="124">
        <f>IF(OR(CI12&gt;Resumen!$K$19,CI12&lt;=Resumen!$E$13),0,IF(CI12&lt;=Resumen!$E$13+Resumen!$E$20,Resumen!$E$19/12*Financiamiento!CI14,PMT(Resumen!$E$19/12,Resumen!$E$22,-Resumen!$E$14,0,0)))</f>
        <v>995936594.42111576</v>
      </c>
      <c r="CJ15" s="124">
        <f>IF(OR(CJ12&gt;Resumen!$K$19,CJ12&lt;=Resumen!$E$13),0,IF(CJ12&lt;=Resumen!$E$13+Resumen!$E$20,Resumen!$E$19/12*Financiamiento!CJ14,PMT(Resumen!$E$19/12,Resumen!$E$22,-Resumen!$E$14,0,0)))</f>
        <v>995936594.42111576</v>
      </c>
      <c r="CK15" s="124">
        <f>IF(OR(CK12&gt;Resumen!$K$19,CK12&lt;=Resumen!$E$13),0,IF(CK12&lt;=Resumen!$E$13+Resumen!$E$20,Resumen!$E$19/12*Financiamiento!CK14,PMT(Resumen!$E$19/12,Resumen!$E$22,-Resumen!$E$14,0,0)))</f>
        <v>995936594.42111576</v>
      </c>
      <c r="CL15" s="124">
        <f>IF(OR(CL12&gt;Resumen!$K$19,CL12&lt;=Resumen!$E$13),0,IF(CL12&lt;=Resumen!$E$13+Resumen!$E$20,Resumen!$E$19/12*Financiamiento!CL14,PMT(Resumen!$E$19/12,Resumen!$E$22,-Resumen!$E$14,0,0)))</f>
        <v>995936594.42111576</v>
      </c>
      <c r="CM15" s="124">
        <f>IF(OR(CM12&gt;Resumen!$K$19,CM12&lt;=Resumen!$E$13),0,IF(CM12&lt;=Resumen!$E$13+Resumen!$E$20,Resumen!$E$19/12*Financiamiento!CM14,PMT(Resumen!$E$19/12,Resumen!$E$22,-Resumen!$E$14,0,0)))</f>
        <v>995936594.42111576</v>
      </c>
      <c r="CN15" s="124">
        <f>IF(OR(CN12&gt;Resumen!$K$19,CN12&lt;=Resumen!$E$13),0,IF(CN12&lt;=Resumen!$E$13+Resumen!$E$20,Resumen!$E$19/12*Financiamiento!CN14,PMT(Resumen!$E$19/12,Resumen!$E$22,-Resumen!$E$14,0,0)))</f>
        <v>995936594.42111576</v>
      </c>
      <c r="CO15" s="124">
        <f>IF(OR(CO12&gt;Resumen!$K$19,CO12&lt;=Resumen!$E$13),0,IF(CO12&lt;=Resumen!$E$13+Resumen!$E$20,Resumen!$E$19/12*Financiamiento!CO14,PMT(Resumen!$E$19/12,Resumen!$E$22,-Resumen!$E$14,0,0)))</f>
        <v>995936594.42111576</v>
      </c>
      <c r="CP15" s="124">
        <f>IF(OR(CP12&gt;Resumen!$K$19,CP12&lt;=Resumen!$E$13),0,IF(CP12&lt;=Resumen!$E$13+Resumen!$E$20,Resumen!$E$19/12*Financiamiento!CP14,PMT(Resumen!$E$19/12,Resumen!$E$22,-Resumen!$E$14,0,0)))</f>
        <v>995936594.42111576</v>
      </c>
      <c r="CQ15" s="124">
        <f>IF(OR(CQ12&gt;Resumen!$K$19,CQ12&lt;=Resumen!$E$13),0,IF(CQ12&lt;=Resumen!$E$13+Resumen!$E$20,Resumen!$E$19/12*Financiamiento!CQ14,PMT(Resumen!$E$19/12,Resumen!$E$22,-Resumen!$E$14,0,0)))</f>
        <v>995936594.42111576</v>
      </c>
      <c r="CR15" s="124">
        <f>IF(OR(CR12&gt;Resumen!$K$19,CR12&lt;=Resumen!$E$13),0,IF(CR12&lt;=Resumen!$E$13+Resumen!$E$20,Resumen!$E$19/12*Financiamiento!CR14,PMT(Resumen!$E$19/12,Resumen!$E$22,-Resumen!$E$14,0,0)))</f>
        <v>995936594.42111576</v>
      </c>
      <c r="CS15" s="124">
        <f>IF(OR(CS12&gt;Resumen!$K$19,CS12&lt;=Resumen!$E$13),0,IF(CS12&lt;=Resumen!$E$13+Resumen!$E$20,Resumen!$E$19/12*Financiamiento!CS14,PMT(Resumen!$E$19/12,Resumen!$E$22,-Resumen!$E$14,0,0)))</f>
        <v>995936594.42111576</v>
      </c>
      <c r="CT15" s="124">
        <f>IF(OR(CT12&gt;Resumen!$K$19,CT12&lt;=Resumen!$E$13),0,IF(CT12&lt;=Resumen!$E$13+Resumen!$E$20,Resumen!$E$19/12*Financiamiento!CT14,PMT(Resumen!$E$19/12,Resumen!$E$22,-Resumen!$E$14,0,0)))</f>
        <v>995936594.42111576</v>
      </c>
      <c r="CU15" s="124">
        <f>IF(OR(CU12&gt;Resumen!$K$19,CU12&lt;=Resumen!$E$13),0,IF(CU12&lt;=Resumen!$E$13+Resumen!$E$20,Resumen!$E$19/12*Financiamiento!CU14,PMT(Resumen!$E$19/12,Resumen!$E$22,-Resumen!$E$14,0,0)))</f>
        <v>995936594.42111576</v>
      </c>
      <c r="CV15" s="124">
        <f>IF(OR(CV12&gt;Resumen!$K$19,CV12&lt;=Resumen!$E$13),0,IF(CV12&lt;=Resumen!$E$13+Resumen!$E$20,Resumen!$E$19/12*Financiamiento!CV14,PMT(Resumen!$E$19/12,Resumen!$E$22,-Resumen!$E$14,0,0)))</f>
        <v>995936594.42111576</v>
      </c>
      <c r="CW15" s="124">
        <f>IF(OR(CW12&gt;Resumen!$K$19,CW12&lt;=Resumen!$E$13),0,IF(CW12&lt;=Resumen!$E$13+Resumen!$E$20,Resumen!$E$19/12*Financiamiento!CW14,PMT(Resumen!$E$19/12,Resumen!$E$22,-Resumen!$E$14,0,0)))</f>
        <v>995936594.42111576</v>
      </c>
      <c r="CX15" s="124">
        <f>IF(OR(CX12&gt;Resumen!$K$19,CX12&lt;=Resumen!$E$13),0,IF(CX12&lt;=Resumen!$E$13+Resumen!$E$20,Resumen!$E$19/12*Financiamiento!CX14,PMT(Resumen!$E$19/12,Resumen!$E$22,-Resumen!$E$14,0,0)))</f>
        <v>995936594.42111576</v>
      </c>
      <c r="CY15" s="124">
        <f>IF(OR(CY12&gt;Resumen!$K$19,CY12&lt;=Resumen!$E$13),0,IF(CY12&lt;=Resumen!$E$13+Resumen!$E$20,Resumen!$E$19/12*Financiamiento!CY14,PMT(Resumen!$E$19/12,Resumen!$E$22,-Resumen!$E$14,0,0)))</f>
        <v>995936594.42111576</v>
      </c>
      <c r="CZ15" s="124">
        <f>IF(OR(CZ12&gt;Resumen!$K$19,CZ12&lt;=Resumen!$E$13),0,IF(CZ12&lt;=Resumen!$E$13+Resumen!$E$20,Resumen!$E$19/12*Financiamiento!CZ14,PMT(Resumen!$E$19/12,Resumen!$E$22,-Resumen!$E$14,0,0)))</f>
        <v>995936594.42111576</v>
      </c>
      <c r="DA15" s="124">
        <f>IF(OR(DA12&gt;Resumen!$K$19,DA12&lt;=Resumen!$E$13),0,IF(DA12&lt;=Resumen!$E$13+Resumen!$E$20,Resumen!$E$19/12*Financiamiento!DA14,PMT(Resumen!$E$19/12,Resumen!$E$22,-Resumen!$E$14,0,0)))</f>
        <v>995936594.42111576</v>
      </c>
      <c r="DB15" s="124">
        <f>IF(OR(DB12&gt;Resumen!$K$19,DB12&lt;=Resumen!$E$13),0,IF(DB12&lt;=Resumen!$E$13+Resumen!$E$20,Resumen!$E$19/12*Financiamiento!DB14,PMT(Resumen!$E$19/12,Resumen!$E$22,-Resumen!$E$14,0,0)))</f>
        <v>995936594.42111576</v>
      </c>
      <c r="DC15" s="124">
        <f>IF(OR(DC12&gt;Resumen!$K$19,DC12&lt;=Resumen!$E$13),0,IF(DC12&lt;=Resumen!$E$13+Resumen!$E$20,Resumen!$E$19/12*Financiamiento!DC14,PMT(Resumen!$E$19/12,Resumen!$E$22,-Resumen!$E$14,0,0)))</f>
        <v>995936594.42111576</v>
      </c>
      <c r="DD15" s="124">
        <f>IF(OR(DD12&gt;Resumen!$K$19,DD12&lt;=Resumen!$E$13),0,IF(DD12&lt;=Resumen!$E$13+Resumen!$E$20,Resumen!$E$19/12*Financiamiento!DD14,PMT(Resumen!$E$19/12,Resumen!$E$22,-Resumen!$E$14,0,0)))</f>
        <v>995936594.42111576</v>
      </c>
      <c r="DE15" s="124">
        <f>IF(OR(DE12&gt;Resumen!$K$19,DE12&lt;=Resumen!$E$13),0,IF(DE12&lt;=Resumen!$E$13+Resumen!$E$20,Resumen!$E$19/12*Financiamiento!DE14,PMT(Resumen!$E$19/12,Resumen!$E$22,-Resumen!$E$14,0,0)))</f>
        <v>995936594.42111576</v>
      </c>
      <c r="DF15" s="124">
        <f>IF(OR(DF12&gt;Resumen!$K$19,DF12&lt;=Resumen!$E$13),0,IF(DF12&lt;=Resumen!$E$13+Resumen!$E$20,Resumen!$E$19/12*Financiamiento!DF14,PMT(Resumen!$E$19/12,Resumen!$E$22,-Resumen!$E$14,0,0)))</f>
        <v>995936594.42111576</v>
      </c>
      <c r="DG15" s="124">
        <f>IF(OR(DG12&gt;Resumen!$K$19,DG12&lt;=Resumen!$E$13),0,IF(DG12&lt;=Resumen!$E$13+Resumen!$E$20,Resumen!$E$19/12*Financiamiento!DG14,PMT(Resumen!$E$19/12,Resumen!$E$22,-Resumen!$E$14,0,0)))</f>
        <v>995936594.42111576</v>
      </c>
      <c r="DH15" s="124">
        <f>IF(OR(DH12&gt;Resumen!$K$19,DH12&lt;=Resumen!$E$13),0,IF(DH12&lt;=Resumen!$E$13+Resumen!$E$20,Resumen!$E$19/12*Financiamiento!DH14,PMT(Resumen!$E$19/12,Resumen!$E$22,-Resumen!$E$14,0,0)))</f>
        <v>995936594.42111576</v>
      </c>
      <c r="DI15" s="124">
        <f>IF(OR(DI12&gt;Resumen!$K$19,DI12&lt;=Resumen!$E$13),0,IF(DI12&lt;=Resumen!$E$13+Resumen!$E$20,Resumen!$E$19/12*Financiamiento!DI14,PMT(Resumen!$E$19/12,Resumen!$E$22,-Resumen!$E$14,0,0)))</f>
        <v>995936594.42111576</v>
      </c>
      <c r="DJ15" s="124">
        <f>IF(OR(DJ12&gt;Resumen!$K$19,DJ12&lt;=Resumen!$E$13),0,IF(DJ12&lt;=Resumen!$E$13+Resumen!$E$20,Resumen!$E$19/12*Financiamiento!DJ14,PMT(Resumen!$E$19/12,Resumen!$E$22,-Resumen!$E$14,0,0)))</f>
        <v>995936594.42111576</v>
      </c>
      <c r="DK15" s="124">
        <f>IF(OR(DK12&gt;Resumen!$K$19,DK12&lt;=Resumen!$E$13),0,IF(DK12&lt;=Resumen!$E$13+Resumen!$E$20,Resumen!$E$19/12*Financiamiento!DK14,PMT(Resumen!$E$19/12,Resumen!$E$22,-Resumen!$E$14,0,0)))</f>
        <v>995936594.42111576</v>
      </c>
      <c r="DL15" s="124">
        <f>IF(OR(DL12&gt;Resumen!$K$19,DL12&lt;=Resumen!$E$13),0,IF(DL12&lt;=Resumen!$E$13+Resumen!$E$20,Resumen!$E$19/12*Financiamiento!DL14,PMT(Resumen!$E$19/12,Resumen!$E$22,-Resumen!$E$14,0,0)))</f>
        <v>995936594.42111576</v>
      </c>
      <c r="DM15" s="124">
        <f>IF(OR(DM12&gt;Resumen!$K$19,DM12&lt;=Resumen!$E$13),0,IF(DM12&lt;=Resumen!$E$13+Resumen!$E$20,Resumen!$E$19/12*Financiamiento!DM14,PMT(Resumen!$E$19/12,Resumen!$E$22,-Resumen!$E$14,0,0)))</f>
        <v>995936594.42111576</v>
      </c>
      <c r="DN15" s="124">
        <f>IF(OR(DN12&gt;Resumen!$K$19,DN12&lt;=Resumen!$E$13),0,IF(DN12&lt;=Resumen!$E$13+Resumen!$E$20,Resumen!$E$19/12*Financiamiento!DN14,PMT(Resumen!$E$19/12,Resumen!$E$22,-Resumen!$E$14,0,0)))</f>
        <v>995936594.42111576</v>
      </c>
      <c r="DO15" s="124">
        <f>IF(OR(DO12&gt;Resumen!$K$19,DO12&lt;=Resumen!$E$13),0,IF(DO12&lt;=Resumen!$E$13+Resumen!$E$20,Resumen!$E$19/12*Financiamiento!DO14,PMT(Resumen!$E$19/12,Resumen!$E$22,-Resumen!$E$14,0,0)))</f>
        <v>995936594.42111576</v>
      </c>
      <c r="DP15" s="124">
        <f>IF(OR(DP12&gt;Resumen!$K$19,DP12&lt;=Resumen!$E$13),0,IF(DP12&lt;=Resumen!$E$13+Resumen!$E$20,Resumen!$E$19/12*Financiamiento!DP14,PMT(Resumen!$E$19/12,Resumen!$E$22,-Resumen!$E$14,0,0)))</f>
        <v>995936594.42111576</v>
      </c>
      <c r="DQ15" s="124">
        <f>IF(OR(DQ12&gt;Resumen!$K$19,DQ12&lt;=Resumen!$E$13),0,IF(DQ12&lt;=Resumen!$E$13+Resumen!$E$20,Resumen!$E$19/12*Financiamiento!DQ14,PMT(Resumen!$E$19/12,Resumen!$E$22,-Resumen!$E$14,0,0)))</f>
        <v>995936594.42111576</v>
      </c>
      <c r="DR15" s="124">
        <f>IF(OR(DR12&gt;Resumen!$K$19,DR12&lt;=Resumen!$E$13),0,IF(DR12&lt;=Resumen!$E$13+Resumen!$E$20,Resumen!$E$19/12*Financiamiento!DR14,PMT(Resumen!$E$19/12,Resumen!$E$22,-Resumen!$E$14,0,0)))</f>
        <v>995936594.42111576</v>
      </c>
      <c r="DS15" s="124">
        <f>IF(OR(DS12&gt;Resumen!$K$19,DS12&lt;=Resumen!$E$13),0,IF(DS12&lt;=Resumen!$E$13+Resumen!$E$20,Resumen!$E$19/12*Financiamiento!DS14,PMT(Resumen!$E$19/12,Resumen!$E$22,-Resumen!$E$14,0,0)))</f>
        <v>0</v>
      </c>
      <c r="DT15" s="124">
        <f>IF(OR(DT12&gt;Resumen!$K$19,DT12&lt;=Resumen!$E$13),0,IF(DT12&lt;=Resumen!$E$13+Resumen!$E$20,Resumen!$E$19/12*Financiamiento!DT14,PMT(Resumen!$E$19/12,Resumen!$E$22,-Resumen!$E$14,0,0)))</f>
        <v>0</v>
      </c>
      <c r="DU15" s="124">
        <f>IF(OR(DU12&gt;Resumen!$K$19,DU12&lt;=Resumen!$E$13),0,IF(DU12&lt;=Resumen!$E$13+Resumen!$E$20,Resumen!$E$19/12*Financiamiento!DU14,PMT(Resumen!$E$19/12,Resumen!$E$22,-Resumen!$E$14,0,0)))</f>
        <v>0</v>
      </c>
      <c r="DV15" s="124">
        <f>IF(OR(DV12&gt;Resumen!$K$19,DV12&lt;=Resumen!$E$13),0,IF(DV12&lt;=Resumen!$E$13+Resumen!$E$20,Resumen!$E$19/12*Financiamiento!DV14,PMT(Resumen!$E$19/12,Resumen!$E$22,-Resumen!$E$14,0,0)))</f>
        <v>0</v>
      </c>
      <c r="DW15" s="124">
        <f>IF(OR(DW12&gt;Resumen!$K$19,DW12&lt;=Resumen!$E$13),0,IF(DW12&lt;=Resumen!$E$13+Resumen!$E$20,Resumen!$E$19/12*Financiamiento!DW14,PMT(Resumen!$E$19/12,Resumen!$E$22,-Resumen!$E$14,0,0)))</f>
        <v>0</v>
      </c>
      <c r="DX15" s="124">
        <f>IF(OR(DX12&gt;Resumen!$K$19,DX12&lt;=Resumen!$E$13),0,IF(DX12&lt;=Resumen!$E$13+Resumen!$E$20,Resumen!$E$19/12*Financiamiento!DX14,PMT(Resumen!$E$19/12,Resumen!$E$22,-Resumen!$E$14,0,0)))</f>
        <v>0</v>
      </c>
      <c r="DY15" s="124">
        <f>IF(OR(DY12&gt;Resumen!$K$19,DY12&lt;=Resumen!$E$13),0,IF(DY12&lt;=Resumen!$E$13+Resumen!$E$20,Resumen!$E$19/12*Financiamiento!DY14,PMT(Resumen!$E$19/12,Resumen!$E$22,-Resumen!$E$14,0,0)))</f>
        <v>0</v>
      </c>
      <c r="DZ15" s="124">
        <f>IF(OR(DZ12&gt;Resumen!$K$19,DZ12&lt;=Resumen!$E$13),0,IF(DZ12&lt;=Resumen!$E$13+Resumen!$E$20,Resumen!$E$19/12*Financiamiento!DZ14,PMT(Resumen!$E$19/12,Resumen!$E$22,-Resumen!$E$14,0,0)))</f>
        <v>0</v>
      </c>
      <c r="EA15" s="124">
        <f>IF(OR(EA12&gt;Resumen!$K$19,EA12&lt;=Resumen!$E$13),0,IF(EA12&lt;=Resumen!$E$13+Resumen!$E$20,Resumen!$E$19/12*Financiamiento!EA14,PMT(Resumen!$E$19/12,Resumen!$E$22,-Resumen!$E$14,0,0)))</f>
        <v>0</v>
      </c>
      <c r="EB15" s="124">
        <f>IF(OR(EB12&gt;Resumen!$K$19,EB12&lt;=Resumen!$E$13),0,IF(EB12&lt;=Resumen!$E$13+Resumen!$E$20,Resumen!$E$19/12*Financiamiento!EB14,PMT(Resumen!$E$19/12,Resumen!$E$22,-Resumen!$E$14,0,0)))</f>
        <v>0</v>
      </c>
      <c r="EC15" s="124">
        <f>IF(OR(EC12&gt;Resumen!$K$19,EC12&lt;=Resumen!$E$13),0,IF(EC12&lt;=Resumen!$E$13+Resumen!$E$20,Resumen!$E$19/12*Financiamiento!EC14,PMT(Resumen!$E$19/12,Resumen!$E$22,-Resumen!$E$14,0,0)))</f>
        <v>0</v>
      </c>
      <c r="ED15" s="125">
        <f>IF(OR(ED12&gt;Resumen!$K$19,ED12&lt;=Resumen!$E$13),0,IF(ED12&lt;=Resumen!$E$13+Resumen!$E$20,Resumen!$E$19/12*Financiamiento!ED14,PMT(Resumen!$E$19/12,Resumen!$E$22,-Resumen!$E$14,0,0)))</f>
        <v>0</v>
      </c>
    </row>
    <row r="16" spans="1:134" x14ac:dyDescent="0.25">
      <c r="A16" s="123">
        <f>SUM(C16:ED16)</f>
        <v>3887728047.9692774</v>
      </c>
      <c r="B16" s="5" t="s">
        <v>211</v>
      </c>
      <c r="C16" s="124">
        <f>C15-C17</f>
        <v>0</v>
      </c>
      <c r="D16" s="124">
        <f t="shared" ref="D16:BO16" si="14">D15-D17</f>
        <v>0</v>
      </c>
      <c r="E16" s="124">
        <f t="shared" si="14"/>
        <v>0</v>
      </c>
      <c r="F16" s="124">
        <f t="shared" si="14"/>
        <v>0</v>
      </c>
      <c r="G16" s="124">
        <f t="shared" si="14"/>
        <v>0</v>
      </c>
      <c r="H16" s="124">
        <f t="shared" si="14"/>
        <v>0</v>
      </c>
      <c r="I16" s="124">
        <f t="shared" si="14"/>
        <v>0</v>
      </c>
      <c r="J16" s="124">
        <f t="shared" si="14"/>
        <v>0</v>
      </c>
      <c r="K16" s="124">
        <f t="shared" si="14"/>
        <v>0</v>
      </c>
      <c r="L16" s="124">
        <f t="shared" si="14"/>
        <v>0</v>
      </c>
      <c r="M16" s="124">
        <f t="shared" si="14"/>
        <v>0</v>
      </c>
      <c r="N16" s="124">
        <f t="shared" si="14"/>
        <v>0</v>
      </c>
      <c r="O16" s="124">
        <f t="shared" si="14"/>
        <v>0</v>
      </c>
      <c r="P16" s="124">
        <f t="shared" si="14"/>
        <v>0</v>
      </c>
      <c r="Q16" s="124">
        <f t="shared" si="14"/>
        <v>0</v>
      </c>
      <c r="R16" s="124">
        <f t="shared" si="14"/>
        <v>0</v>
      </c>
      <c r="S16" s="124">
        <f t="shared" si="14"/>
        <v>0</v>
      </c>
      <c r="T16" s="124">
        <f t="shared" si="14"/>
        <v>0</v>
      </c>
      <c r="U16" s="124">
        <f t="shared" si="14"/>
        <v>0</v>
      </c>
      <c r="V16" s="124">
        <f t="shared" si="14"/>
        <v>0</v>
      </c>
      <c r="W16" s="124">
        <f t="shared" si="14"/>
        <v>0</v>
      </c>
      <c r="X16" s="124">
        <f t="shared" si="14"/>
        <v>0</v>
      </c>
      <c r="Y16" s="124">
        <f t="shared" si="14"/>
        <v>0</v>
      </c>
      <c r="Z16" s="124">
        <f t="shared" si="14"/>
        <v>0</v>
      </c>
      <c r="AA16" s="124">
        <f t="shared" si="14"/>
        <v>0</v>
      </c>
      <c r="AB16" s="124">
        <f t="shared" si="14"/>
        <v>0</v>
      </c>
      <c r="AC16" s="124">
        <f t="shared" si="14"/>
        <v>0</v>
      </c>
      <c r="AD16" s="124">
        <f t="shared" si="14"/>
        <v>0</v>
      </c>
      <c r="AE16" s="124">
        <f t="shared" si="14"/>
        <v>0</v>
      </c>
      <c r="AF16" s="124">
        <f t="shared" si="14"/>
        <v>0</v>
      </c>
      <c r="AG16" s="124">
        <f t="shared" si="14"/>
        <v>0</v>
      </c>
      <c r="AH16" s="124">
        <f t="shared" si="14"/>
        <v>0</v>
      </c>
      <c r="AI16" s="124">
        <f t="shared" si="14"/>
        <v>0</v>
      </c>
      <c r="AJ16" s="124">
        <f t="shared" si="14"/>
        <v>0</v>
      </c>
      <c r="AK16" s="124">
        <f t="shared" si="14"/>
        <v>0</v>
      </c>
      <c r="AL16" s="124">
        <f t="shared" si="14"/>
        <v>0</v>
      </c>
      <c r="AM16" s="124">
        <f t="shared" si="14"/>
        <v>0</v>
      </c>
      <c r="AN16" s="124">
        <f t="shared" si="14"/>
        <v>0</v>
      </c>
      <c r="AO16" s="124">
        <f t="shared" si="14"/>
        <v>0</v>
      </c>
      <c r="AP16" s="124">
        <f t="shared" si="14"/>
        <v>0</v>
      </c>
      <c r="AQ16" s="124">
        <f t="shared" si="14"/>
        <v>0</v>
      </c>
      <c r="AR16" s="124">
        <f t="shared" si="14"/>
        <v>0</v>
      </c>
      <c r="AS16" s="124">
        <f t="shared" si="14"/>
        <v>0</v>
      </c>
      <c r="AT16" s="124">
        <f t="shared" si="14"/>
        <v>0</v>
      </c>
      <c r="AU16" s="124">
        <f t="shared" si="14"/>
        <v>0</v>
      </c>
      <c r="AV16" s="124">
        <f t="shared" si="14"/>
        <v>0</v>
      </c>
      <c r="AW16" s="124">
        <f t="shared" si="14"/>
        <v>0</v>
      </c>
      <c r="AX16" s="124">
        <f t="shared" si="14"/>
        <v>0</v>
      </c>
      <c r="AY16" s="124">
        <f t="shared" si="14"/>
        <v>0</v>
      </c>
      <c r="AZ16" s="124">
        <f t="shared" si="14"/>
        <v>0</v>
      </c>
      <c r="BA16" s="124">
        <f t="shared" si="14"/>
        <v>0</v>
      </c>
      <c r="BB16" s="124">
        <f t="shared" si="14"/>
        <v>0</v>
      </c>
      <c r="BC16" s="124">
        <f t="shared" si="14"/>
        <v>0</v>
      </c>
      <c r="BD16" s="124">
        <f t="shared" si="14"/>
        <v>0</v>
      </c>
      <c r="BE16" s="124">
        <f t="shared" si="14"/>
        <v>0</v>
      </c>
      <c r="BF16" s="124">
        <f t="shared" si="14"/>
        <v>0</v>
      </c>
      <c r="BG16" s="124">
        <f t="shared" si="14"/>
        <v>0</v>
      </c>
      <c r="BH16" s="124">
        <f t="shared" si="14"/>
        <v>0</v>
      </c>
      <c r="BI16" s="124">
        <f t="shared" si="14"/>
        <v>0</v>
      </c>
      <c r="BJ16" s="124">
        <f t="shared" si="14"/>
        <v>0</v>
      </c>
      <c r="BK16" s="124">
        <f t="shared" si="14"/>
        <v>50204997.927377224</v>
      </c>
      <c r="BL16" s="124">
        <f t="shared" si="14"/>
        <v>50623372.910105467</v>
      </c>
      <c r="BM16" s="124">
        <f t="shared" si="14"/>
        <v>51045234.351022959</v>
      </c>
      <c r="BN16" s="124">
        <f t="shared" si="14"/>
        <v>51470611.303948283</v>
      </c>
      <c r="BO16" s="124">
        <f t="shared" si="14"/>
        <v>51899533.064814568</v>
      </c>
      <c r="BP16" s="124">
        <f t="shared" ref="BP16:EA16" si="15">BP15-BP17</f>
        <v>52332029.173688054</v>
      </c>
      <c r="BQ16" s="124">
        <f t="shared" si="15"/>
        <v>52768129.416802168</v>
      </c>
      <c r="BR16" s="124">
        <f t="shared" si="15"/>
        <v>53207863.828608871</v>
      </c>
      <c r="BS16" s="124">
        <f t="shared" si="15"/>
        <v>53651262.693847299</v>
      </c>
      <c r="BT16" s="124">
        <f t="shared" si="15"/>
        <v>54098356.549629331</v>
      </c>
      <c r="BU16" s="124">
        <f t="shared" si="15"/>
        <v>54549176.187543035</v>
      </c>
      <c r="BV16" s="124">
        <f t="shared" si="15"/>
        <v>55003752.655772567</v>
      </c>
      <c r="BW16" s="124">
        <f t="shared" si="15"/>
        <v>55462117.261237383</v>
      </c>
      <c r="BX16" s="124">
        <f t="shared" si="15"/>
        <v>55924301.571747661</v>
      </c>
      <c r="BY16" s="124">
        <f t="shared" si="15"/>
        <v>56390337.418178797</v>
      </c>
      <c r="BZ16" s="124">
        <f t="shared" si="15"/>
        <v>56860256.896663666</v>
      </c>
      <c r="CA16" s="124">
        <f t="shared" si="15"/>
        <v>57334092.370802641</v>
      </c>
      <c r="CB16" s="124">
        <f t="shared" si="15"/>
        <v>57811876.47389257</v>
      </c>
      <c r="CC16" s="124">
        <f t="shared" si="15"/>
        <v>58293642.11117506</v>
      </c>
      <c r="CD16" s="124">
        <f t="shared" si="15"/>
        <v>58779422.46210146</v>
      </c>
      <c r="CE16" s="124">
        <f t="shared" si="15"/>
        <v>59269250.982619047</v>
      </c>
      <c r="CF16" s="124">
        <f t="shared" si="15"/>
        <v>59763161.40747416</v>
      </c>
      <c r="CG16" s="124">
        <f t="shared" si="15"/>
        <v>60261187.752536416</v>
      </c>
      <c r="CH16" s="124">
        <f t="shared" si="15"/>
        <v>60763364.317140818</v>
      </c>
      <c r="CI16" s="124">
        <f t="shared" si="15"/>
        <v>61269725.686450362</v>
      </c>
      <c r="CJ16" s="124">
        <f t="shared" si="15"/>
        <v>61780306.733837366</v>
      </c>
      <c r="CK16" s="124">
        <f t="shared" si="15"/>
        <v>62295142.623286128</v>
      </c>
      <c r="CL16" s="124">
        <f t="shared" si="15"/>
        <v>62814268.811813474</v>
      </c>
      <c r="CM16" s="124">
        <f t="shared" si="15"/>
        <v>63337721.05191195</v>
      </c>
      <c r="CN16" s="124">
        <f t="shared" si="15"/>
        <v>63865535.394011259</v>
      </c>
      <c r="CO16" s="124">
        <f t="shared" si="15"/>
        <v>64397748.188961267</v>
      </c>
      <c r="CP16" s="124">
        <f t="shared" si="15"/>
        <v>64934396.090535998</v>
      </c>
      <c r="CQ16" s="124">
        <f t="shared" si="15"/>
        <v>65475516.057957053</v>
      </c>
      <c r="CR16" s="124">
        <f t="shared" si="15"/>
        <v>66021145.358440042</v>
      </c>
      <c r="CS16" s="124">
        <f t="shared" si="15"/>
        <v>66571321.569760442</v>
      </c>
      <c r="CT16" s="124">
        <f t="shared" si="15"/>
        <v>67126082.582841754</v>
      </c>
      <c r="CU16" s="124">
        <f t="shared" si="15"/>
        <v>67685466.604365468</v>
      </c>
      <c r="CV16" s="124">
        <f t="shared" si="15"/>
        <v>68249512.159401894</v>
      </c>
      <c r="CW16" s="124">
        <f t="shared" si="15"/>
        <v>68818258.09406364</v>
      </c>
      <c r="CX16" s="124">
        <f t="shared" si="15"/>
        <v>69391743.57818079</v>
      </c>
      <c r="CY16" s="124">
        <f t="shared" si="15"/>
        <v>69970008.107999086</v>
      </c>
      <c r="CZ16" s="124">
        <f t="shared" si="15"/>
        <v>70553091.508899093</v>
      </c>
      <c r="DA16" s="124">
        <f t="shared" si="15"/>
        <v>71141033.938139915</v>
      </c>
      <c r="DB16" s="124">
        <f t="shared" si="15"/>
        <v>71733875.887624383</v>
      </c>
      <c r="DC16" s="124">
        <f t="shared" si="15"/>
        <v>72331658.186687827</v>
      </c>
      <c r="DD16" s="124">
        <f t="shared" si="15"/>
        <v>72934422.00491035</v>
      </c>
      <c r="DE16" s="124">
        <f t="shared" si="15"/>
        <v>73542208.854951262</v>
      </c>
      <c r="DF16" s="124">
        <f t="shared" si="15"/>
        <v>74155060.595409155</v>
      </c>
      <c r="DG16" s="124">
        <f t="shared" si="15"/>
        <v>74773019.433704257</v>
      </c>
      <c r="DH16" s="124">
        <f t="shared" si="15"/>
        <v>75396127.928985119</v>
      </c>
      <c r="DI16" s="124">
        <f t="shared" si="15"/>
        <v>76024428.995059967</v>
      </c>
      <c r="DJ16" s="124">
        <f t="shared" si="15"/>
        <v>76657965.903352141</v>
      </c>
      <c r="DK16" s="124">
        <f t="shared" si="15"/>
        <v>77296782.285880089</v>
      </c>
      <c r="DL16" s="124">
        <f t="shared" si="15"/>
        <v>77940922.138262272</v>
      </c>
      <c r="DM16" s="124">
        <f t="shared" si="15"/>
        <v>78590429.822747827</v>
      </c>
      <c r="DN16" s="124">
        <f t="shared" si="15"/>
        <v>79245350.071270823</v>
      </c>
      <c r="DO16" s="124">
        <f t="shared" si="15"/>
        <v>79905727.988531351</v>
      </c>
      <c r="DP16" s="124">
        <f t="shared" si="15"/>
        <v>80571609.055102468</v>
      </c>
      <c r="DQ16" s="124">
        <f t="shared" si="15"/>
        <v>81243039.13056159</v>
      </c>
      <c r="DR16" s="124">
        <f t="shared" si="15"/>
        <v>81920064.456649542</v>
      </c>
      <c r="DS16" s="124">
        <f t="shared" si="15"/>
        <v>0</v>
      </c>
      <c r="DT16" s="124">
        <f t="shared" si="15"/>
        <v>0</v>
      </c>
      <c r="DU16" s="124">
        <f t="shared" si="15"/>
        <v>0</v>
      </c>
      <c r="DV16" s="124">
        <f t="shared" si="15"/>
        <v>0</v>
      </c>
      <c r="DW16" s="124">
        <f t="shared" si="15"/>
        <v>0</v>
      </c>
      <c r="DX16" s="124">
        <f t="shared" si="15"/>
        <v>0</v>
      </c>
      <c r="DY16" s="124">
        <f t="shared" si="15"/>
        <v>0</v>
      </c>
      <c r="DZ16" s="124">
        <f t="shared" si="15"/>
        <v>0</v>
      </c>
      <c r="EA16" s="124">
        <f t="shared" si="15"/>
        <v>0</v>
      </c>
      <c r="EB16" s="124">
        <f>EB15-EB17</f>
        <v>0</v>
      </c>
      <c r="EC16" s="124">
        <f>EC15-EC17</f>
        <v>0</v>
      </c>
      <c r="ED16" s="125">
        <f>ED15-ED17</f>
        <v>0</v>
      </c>
    </row>
    <row r="17" spans="1:134" x14ac:dyDescent="0.25">
      <c r="A17" s="123">
        <f>SUM(C17:ED17)</f>
        <v>55868467617.297676</v>
      </c>
      <c r="B17" s="5" t="s">
        <v>212</v>
      </c>
      <c r="C17" s="124">
        <f>IF(C12=Resumen!$E$13,0,Resumen!$E$19/12*Financiamiento!C14)</f>
        <v>0</v>
      </c>
      <c r="D17" s="124">
        <f>IF(D12=Resumen!$E$13,0,Resumen!$E$19/12*Financiamiento!D14)</f>
        <v>0</v>
      </c>
      <c r="E17" s="124">
        <f>IF(E12=Resumen!$E$13,0,Resumen!$E$19/12*Financiamiento!E14)</f>
        <v>0</v>
      </c>
      <c r="F17" s="124">
        <f>IF(F12=Resumen!$E$13,0,Resumen!$E$19/12*Financiamiento!F14)</f>
        <v>0</v>
      </c>
      <c r="G17" s="124">
        <f>IF(G12=Resumen!$E$13,0,Resumen!$E$19/12*Financiamiento!G14)</f>
        <v>0</v>
      </c>
      <c r="H17" s="124">
        <f>IF(H12=Resumen!$E$13,0,Resumen!$E$19/12*Financiamiento!H14)</f>
        <v>0</v>
      </c>
      <c r="I17" s="124">
        <f>IF(I12=Resumen!$E$13,0,Resumen!$E$19/12*Financiamiento!I14)</f>
        <v>0</v>
      </c>
      <c r="J17" s="124">
        <f>IF(J12=Resumen!$E$13,0,Resumen!$E$19/12*Financiamiento!J14)</f>
        <v>0</v>
      </c>
      <c r="K17" s="124">
        <f>IF(K12=Resumen!$E$13,0,Resumen!$E$19/12*Financiamiento!K14)</f>
        <v>0</v>
      </c>
      <c r="L17" s="124">
        <f>IF(L12=Resumen!$E$13,0,Resumen!$E$19/12*Financiamiento!L14)</f>
        <v>0</v>
      </c>
      <c r="M17" s="124">
        <f>IF(M12=Resumen!$E$13,0,Resumen!$E$19/12*Financiamiento!M14)</f>
        <v>0</v>
      </c>
      <c r="N17" s="124">
        <f>IF(N12=Resumen!$E$13,0,Resumen!$E$19/12*Financiamiento!N14)</f>
        <v>0</v>
      </c>
      <c r="O17" s="124">
        <f>IF(O12=Resumen!$E$13,0,Resumen!$E$19/12*Financiamiento!O14)</f>
        <v>0</v>
      </c>
      <c r="P17" s="124">
        <f>IF(P12=Resumen!$E$13,0,Resumen!$E$19/12*Financiamiento!P14)</f>
        <v>0</v>
      </c>
      <c r="Q17" s="124">
        <f>IF(Q12=Resumen!$E$13,0,Resumen!$E$19/12*Financiamiento!Q14)</f>
        <v>0</v>
      </c>
      <c r="R17" s="124">
        <f>IF(R12=Resumen!$E$13,0,Resumen!$E$19/12*Financiamiento!R14)</f>
        <v>0</v>
      </c>
      <c r="S17" s="124">
        <f>IF(S12=Resumen!$E$13,0,Resumen!$E$19/12*Financiamiento!S14)</f>
        <v>0</v>
      </c>
      <c r="T17" s="124">
        <f>IF(T12=Resumen!$E$13,0,Resumen!$E$19/12*Financiamiento!T14)</f>
        <v>0</v>
      </c>
      <c r="U17" s="124">
        <f>IF(U12=Resumen!$E$13,0,Resumen!$E$19/12*Financiamiento!U14)</f>
        <v>0</v>
      </c>
      <c r="V17" s="124">
        <f>IF(V12=Resumen!$E$13,0,Resumen!$E$19/12*Financiamiento!V14)</f>
        <v>0</v>
      </c>
      <c r="W17" s="124">
        <f>IF(W12=Resumen!$E$13,0,Resumen!$E$19/12*Financiamiento!W14)</f>
        <v>0</v>
      </c>
      <c r="X17" s="124">
        <f>IF(X12=Resumen!$E$13,0,Resumen!$E$19/12*Financiamiento!X14)</f>
        <v>0</v>
      </c>
      <c r="Y17" s="124">
        <f>IF(Y12=Resumen!$E$13,0,Resumen!$E$19/12*Financiamiento!Y14)</f>
        <v>0</v>
      </c>
      <c r="Z17" s="124">
        <f>IF(Z12=Resumen!$E$13,0,Resumen!$E$19/12*Financiamiento!Z14)</f>
        <v>0</v>
      </c>
      <c r="AA17" s="124">
        <f>IF(AA12=Resumen!$E$13,0,Resumen!$E$19/12*Financiamiento!AA14)</f>
        <v>0</v>
      </c>
      <c r="AB17" s="124">
        <f>IF(AB12=Resumen!$E$13,0,Resumen!$E$19/12*Financiamiento!AB14)</f>
        <v>0</v>
      </c>
      <c r="AC17" s="124">
        <f>IF(AC12=Resumen!$E$13,0,Resumen!$E$19/12*Financiamiento!AC14)</f>
        <v>0</v>
      </c>
      <c r="AD17" s="124">
        <f>IF(AD12=Resumen!$E$13,0,Resumen!$E$19/12*Financiamiento!AD14)</f>
        <v>0</v>
      </c>
      <c r="AE17" s="124">
        <f>IF(AE12=Resumen!$E$13,0,Resumen!$E$19/12*Financiamiento!AE14)</f>
        <v>0</v>
      </c>
      <c r="AF17" s="124">
        <f>IF(AF12=Resumen!$E$13,0,Resumen!$E$19/12*Financiamiento!AF14)</f>
        <v>0</v>
      </c>
      <c r="AG17" s="124">
        <f>IF(AG12=Resumen!$E$13,0,Resumen!$E$19/12*Financiamiento!AG14)</f>
        <v>0</v>
      </c>
      <c r="AH17" s="124">
        <f>IF(AH12=Resumen!$E$13,0,Resumen!$E$19/12*Financiamiento!AH14)</f>
        <v>0</v>
      </c>
      <c r="AI17" s="124">
        <f>IF(AI12=Resumen!$E$13,0,Resumen!$E$19/12*Financiamiento!AI14)</f>
        <v>0</v>
      </c>
      <c r="AJ17" s="124">
        <f>IF(AJ12=Resumen!$E$13,0,Resumen!$E$19/12*Financiamiento!AJ14)</f>
        <v>0</v>
      </c>
      <c r="AK17" s="124">
        <f>IF(AK12=Resumen!$E$13,0,Resumen!$E$19/12*Financiamiento!AK14)</f>
        <v>0</v>
      </c>
      <c r="AL17" s="124">
        <f>IF(AL12=Resumen!$E$13,0,Resumen!$E$19/12*Financiamiento!AL14)</f>
        <v>0</v>
      </c>
      <c r="AM17" s="124">
        <f>IF(AM12=Resumen!$E$13,0,Resumen!$E$19/12*Financiamiento!AM14)</f>
        <v>0</v>
      </c>
      <c r="AN17" s="124">
        <f>IF(AN12=Resumen!$E$13,0,Resumen!$E$19/12*Financiamiento!AN14)</f>
        <v>0</v>
      </c>
      <c r="AO17" s="124">
        <f>IF(AO12=Resumen!$E$13,0,Resumen!$E$19/12*Financiamiento!AO14)</f>
        <v>0</v>
      </c>
      <c r="AP17" s="124">
        <f>IF(AP12=Resumen!$E$13,0,Resumen!$E$19/12*Financiamiento!AP14)</f>
        <v>0</v>
      </c>
      <c r="AQ17" s="124">
        <f>IF(AQ12=Resumen!$E$13,0,Resumen!$E$19/12*Financiamiento!AQ14)</f>
        <v>0</v>
      </c>
      <c r="AR17" s="124">
        <f>IF(AR12=Resumen!$E$13,0,Resumen!$E$19/12*Financiamiento!AR14)</f>
        <v>0</v>
      </c>
      <c r="AS17" s="124">
        <f>IF(AS12=Resumen!$E$13,0,Resumen!$E$19/12*Financiamiento!AS14)</f>
        <v>0</v>
      </c>
      <c r="AT17" s="124">
        <f>IF(AT12=Resumen!$E$13,0,Resumen!$E$19/12*Financiamiento!AT14)</f>
        <v>0</v>
      </c>
      <c r="AU17" s="124">
        <f>IF(AU12=Resumen!$E$13,0,Resumen!$E$19/12*Financiamiento!AU14)</f>
        <v>0</v>
      </c>
      <c r="AV17" s="124">
        <f>IF(AV12=Resumen!$E$13,0,Resumen!$E$19/12*Financiamiento!AV14)</f>
        <v>0</v>
      </c>
      <c r="AW17" s="124">
        <f>IF(AW12=Resumen!$E$13,0,Resumen!$E$19/12*Financiamiento!AW14)</f>
        <v>0</v>
      </c>
      <c r="AX17" s="124">
        <f>IF(AX12=Resumen!$E$13,0,Resumen!$E$19/12*Financiamiento!AX14)</f>
        <v>0</v>
      </c>
      <c r="AY17" s="124">
        <f>IF(AY12=Resumen!$E$13,0,Resumen!$E$19/12*Financiamiento!AY14)</f>
        <v>0</v>
      </c>
      <c r="AZ17" s="124">
        <f>IF(AZ12=Resumen!$E$13,0,Resumen!$E$19/12*Financiamiento!AZ14)</f>
        <v>0</v>
      </c>
      <c r="BA17" s="124">
        <f>IF(BA12=Resumen!$E$13,0,Resumen!$E$19/12*Financiamiento!BA14)</f>
        <v>0</v>
      </c>
      <c r="BB17" s="124">
        <f>IF(BB12=Resumen!$E$13,0,Resumen!$E$19/12*Financiamiento!BB14)</f>
        <v>0</v>
      </c>
      <c r="BC17" s="124">
        <f>IF(BC12=Resumen!$E$13,0,Resumen!$E$19/12*Financiamiento!BC14)</f>
        <v>0</v>
      </c>
      <c r="BD17" s="124">
        <f>IF(BD12=Resumen!$E$13,0,Resumen!$E$19/12*Financiamiento!BD14)</f>
        <v>0</v>
      </c>
      <c r="BE17" s="124">
        <f>IF(BE12=Resumen!$E$13,0,Resumen!$E$19/12*Financiamiento!BE14)</f>
        <v>0</v>
      </c>
      <c r="BF17" s="124">
        <f>IF(BF12=Resumen!$E$13,0,Resumen!$E$19/12*Financiamiento!BF14)</f>
        <v>0</v>
      </c>
      <c r="BG17" s="124">
        <f>IF(BG12=Resumen!$E$13,0,Resumen!$E$19/12*Financiamiento!BG14)</f>
        <v>0</v>
      </c>
      <c r="BH17" s="124">
        <f>IF(BH12=Resumen!$E$13,0,Resumen!$E$19/12*Financiamiento!BH14)</f>
        <v>0</v>
      </c>
      <c r="BI17" s="124">
        <f>IF(BI12=Resumen!$E$13,0,Resumen!$E$19/12*Financiamiento!BI14)</f>
        <v>0</v>
      </c>
      <c r="BJ17" s="124">
        <f>IF(BJ12=Resumen!$E$13,0,Resumen!$E$19/12*Financiamiento!BJ14)</f>
        <v>0</v>
      </c>
      <c r="BK17" s="124">
        <f>IF(BK12=Resumen!$E$13,0,Resumen!$E$19/12*Financiamiento!BK14)</f>
        <v>945731596.49373853</v>
      </c>
      <c r="BL17" s="124">
        <f>IF(BL12=Resumen!$E$13,0,Resumen!$E$19/12*Financiamiento!BL14)</f>
        <v>945313221.51101029</v>
      </c>
      <c r="BM17" s="124">
        <f>IF(BM12=Resumen!$E$13,0,Resumen!$E$19/12*Financiamiento!BM14)</f>
        <v>944891360.0700928</v>
      </c>
      <c r="BN17" s="124">
        <f>IF(BN12=Resumen!$E$13,0,Resumen!$E$19/12*Financiamiento!BN14)</f>
        <v>944465983.11716747</v>
      </c>
      <c r="BO17" s="124">
        <f>IF(BO12=Resumen!$E$13,0,Resumen!$E$19/12*Financiamiento!BO14)</f>
        <v>944037061.35630119</v>
      </c>
      <c r="BP17" s="124">
        <f>IF(BP12=Resumen!$E$13,0,Resumen!$E$19/12*Financiamiento!BP14)</f>
        <v>943604565.2474277</v>
      </c>
      <c r="BQ17" s="124">
        <f>IF(BQ12=Resumen!$E$13,0,Resumen!$E$19/12*Financiamiento!BQ14)</f>
        <v>943168465.00431359</v>
      </c>
      <c r="BR17" s="124">
        <f>IF(BR12=Resumen!$E$13,0,Resumen!$E$19/12*Financiamiento!BR14)</f>
        <v>942728730.59250689</v>
      </c>
      <c r="BS17" s="124">
        <f>IF(BS12=Resumen!$E$13,0,Resumen!$E$19/12*Financiamiento!BS14)</f>
        <v>942285331.72726846</v>
      </c>
      <c r="BT17" s="124">
        <f>IF(BT12=Resumen!$E$13,0,Resumen!$E$19/12*Financiamiento!BT14)</f>
        <v>941838237.87148643</v>
      </c>
      <c r="BU17" s="124">
        <f>IF(BU12=Resumen!$E$13,0,Resumen!$E$19/12*Financiamiento!BU14)</f>
        <v>941387418.23357272</v>
      </c>
      <c r="BV17" s="124">
        <f>IF(BV12=Resumen!$E$13,0,Resumen!$E$19/12*Financiamiento!BV14)</f>
        <v>940932841.76534319</v>
      </c>
      <c r="BW17" s="124">
        <f>IF(BW12=Resumen!$E$13,0,Resumen!$E$19/12*Financiamiento!BW14)</f>
        <v>940474477.15987837</v>
      </c>
      <c r="BX17" s="124">
        <f>IF(BX12=Resumen!$E$13,0,Resumen!$E$19/12*Financiamiento!BX14)</f>
        <v>940012292.8493681</v>
      </c>
      <c r="BY17" s="124">
        <f>IF(BY12=Resumen!$E$13,0,Resumen!$E$19/12*Financiamiento!BY14)</f>
        <v>939546257.00293696</v>
      </c>
      <c r="BZ17" s="124">
        <f>IF(BZ12=Resumen!$E$13,0,Resumen!$E$19/12*Financiamiento!BZ14)</f>
        <v>939076337.52445209</v>
      </c>
      <c r="CA17" s="124">
        <f>IF(CA12=Resumen!$E$13,0,Resumen!$E$19/12*Financiamiento!CA14)</f>
        <v>938602502.05031312</v>
      </c>
      <c r="CB17" s="124">
        <f>IF(CB12=Resumen!$E$13,0,Resumen!$E$19/12*Financiamiento!CB14)</f>
        <v>938124717.94722319</v>
      </c>
      <c r="CC17" s="124">
        <f>IF(CC12=Resumen!$E$13,0,Resumen!$E$19/12*Financiamiento!CC14)</f>
        <v>937642952.3099407</v>
      </c>
      <c r="CD17" s="124">
        <f>IF(CD12=Resumen!$E$13,0,Resumen!$E$19/12*Financiamiento!CD14)</f>
        <v>937157171.9590143</v>
      </c>
      <c r="CE17" s="124">
        <f>IF(CE12=Resumen!$E$13,0,Resumen!$E$19/12*Financiamiento!CE14)</f>
        <v>936667343.43849671</v>
      </c>
      <c r="CF17" s="124">
        <f>IF(CF12=Resumen!$E$13,0,Resumen!$E$19/12*Financiamiento!CF14)</f>
        <v>936173433.0136416</v>
      </c>
      <c r="CG17" s="124">
        <f>IF(CG12=Resumen!$E$13,0,Resumen!$E$19/12*Financiamiento!CG14)</f>
        <v>935675406.66857934</v>
      </c>
      <c r="CH17" s="124">
        <f>IF(CH12=Resumen!$E$13,0,Resumen!$E$19/12*Financiamiento!CH14)</f>
        <v>935173230.10397494</v>
      </c>
      <c r="CI17" s="124">
        <f>IF(CI12=Resumen!$E$13,0,Resumen!$E$19/12*Financiamiento!CI14)</f>
        <v>934666868.73466539</v>
      </c>
      <c r="CJ17" s="124">
        <f>IF(CJ12=Resumen!$E$13,0,Resumen!$E$19/12*Financiamiento!CJ14)</f>
        <v>934156287.68727839</v>
      </c>
      <c r="CK17" s="124">
        <f>IF(CK12=Resumen!$E$13,0,Resumen!$E$19/12*Financiamiento!CK14)</f>
        <v>933641451.79782963</v>
      </c>
      <c r="CL17" s="124">
        <f>IF(CL12=Resumen!$E$13,0,Resumen!$E$19/12*Financiamiento!CL14)</f>
        <v>933122325.60930228</v>
      </c>
      <c r="CM17" s="124">
        <f>IF(CM12=Resumen!$E$13,0,Resumen!$E$19/12*Financiamiento!CM14)</f>
        <v>932598873.36920381</v>
      </c>
      <c r="CN17" s="124">
        <f>IF(CN12=Resumen!$E$13,0,Resumen!$E$19/12*Financiamiento!CN14)</f>
        <v>932071059.0271045</v>
      </c>
      <c r="CO17" s="124">
        <f>IF(CO12=Resumen!$E$13,0,Resumen!$E$19/12*Financiamiento!CO14)</f>
        <v>931538846.23215449</v>
      </c>
      <c r="CP17" s="124">
        <f>IF(CP12=Resumen!$E$13,0,Resumen!$E$19/12*Financiamiento!CP14)</f>
        <v>931002198.33057976</v>
      </c>
      <c r="CQ17" s="124">
        <f>IF(CQ12=Resumen!$E$13,0,Resumen!$E$19/12*Financiamiento!CQ14)</f>
        <v>930461078.3631587</v>
      </c>
      <c r="CR17" s="124">
        <f>IF(CR12=Resumen!$E$13,0,Resumen!$E$19/12*Financiamiento!CR14)</f>
        <v>929915449.06267571</v>
      </c>
      <c r="CS17" s="124">
        <f>IF(CS12=Resumen!$E$13,0,Resumen!$E$19/12*Financiamiento!CS14)</f>
        <v>929365272.85135531</v>
      </c>
      <c r="CT17" s="124">
        <f>IF(CT12=Resumen!$E$13,0,Resumen!$E$19/12*Financiamiento!CT14)</f>
        <v>928810511.838274</v>
      </c>
      <c r="CU17" s="124">
        <f>IF(CU12=Resumen!$E$13,0,Resumen!$E$19/12*Financiamiento!CU14)</f>
        <v>928251127.81675029</v>
      </c>
      <c r="CV17" s="124">
        <f>IF(CV12=Resumen!$E$13,0,Resumen!$E$19/12*Financiamiento!CV14)</f>
        <v>927687082.26171386</v>
      </c>
      <c r="CW17" s="124">
        <f>IF(CW12=Resumen!$E$13,0,Resumen!$E$19/12*Financiamiento!CW14)</f>
        <v>927118336.32705212</v>
      </c>
      <c r="CX17" s="124">
        <f>IF(CX12=Resumen!$E$13,0,Resumen!$E$19/12*Financiamiento!CX14)</f>
        <v>926544850.84293497</v>
      </c>
      <c r="CY17" s="124">
        <f>IF(CY12=Resumen!$E$13,0,Resumen!$E$19/12*Financiamiento!CY14)</f>
        <v>925966586.31311667</v>
      </c>
      <c r="CZ17" s="124">
        <f>IF(CZ12=Resumen!$E$13,0,Resumen!$E$19/12*Financiamiento!CZ14)</f>
        <v>925383502.91221666</v>
      </c>
      <c r="DA17" s="124">
        <f>IF(DA12=Resumen!$E$13,0,Resumen!$E$19/12*Financiamiento!DA14)</f>
        <v>924795560.48297584</v>
      </c>
      <c r="DB17" s="124">
        <f>IF(DB12=Resumen!$E$13,0,Resumen!$E$19/12*Financiamiento!DB14)</f>
        <v>924202718.53349137</v>
      </c>
      <c r="DC17" s="124">
        <f>IF(DC12=Resumen!$E$13,0,Resumen!$E$19/12*Financiamiento!DC14)</f>
        <v>923604936.23442793</v>
      </c>
      <c r="DD17" s="124">
        <f>IF(DD12=Resumen!$E$13,0,Resumen!$E$19/12*Financiamiento!DD14)</f>
        <v>923002172.41620541</v>
      </c>
      <c r="DE17" s="124">
        <f>IF(DE12=Resumen!$E$13,0,Resumen!$E$19/12*Financiamiento!DE14)</f>
        <v>922394385.56616449</v>
      </c>
      <c r="DF17" s="124">
        <f>IF(DF12=Resumen!$E$13,0,Resumen!$E$19/12*Financiamiento!DF14)</f>
        <v>921781533.8257066</v>
      </c>
      <c r="DG17" s="124">
        <f>IF(DG12=Resumen!$E$13,0,Resumen!$E$19/12*Financiamiento!DG14)</f>
        <v>921163574.9874115</v>
      </c>
      <c r="DH17" s="124">
        <f>IF(DH12=Resumen!$E$13,0,Resumen!$E$19/12*Financiamiento!DH14)</f>
        <v>920540466.49213064</v>
      </c>
      <c r="DI17" s="124">
        <f>IF(DI12=Resumen!$E$13,0,Resumen!$E$19/12*Financiamiento!DI14)</f>
        <v>919912165.42605579</v>
      </c>
      <c r="DJ17" s="124">
        <f>IF(DJ12=Resumen!$E$13,0,Resumen!$E$19/12*Financiamiento!DJ14)</f>
        <v>919278628.51776361</v>
      </c>
      <c r="DK17" s="124">
        <f>IF(DK12=Resumen!$E$13,0,Resumen!$E$19/12*Financiamiento!DK14)</f>
        <v>918639812.13523567</v>
      </c>
      <c r="DL17" s="124">
        <f>IF(DL12=Resumen!$E$13,0,Resumen!$E$19/12*Financiamiento!DL14)</f>
        <v>917995672.28285348</v>
      </c>
      <c r="DM17" s="124">
        <f>IF(DM12=Resumen!$E$13,0,Resumen!$E$19/12*Financiamiento!DM14)</f>
        <v>917346164.59836793</v>
      </c>
      <c r="DN17" s="124">
        <f>IF(DN12=Resumen!$E$13,0,Resumen!$E$19/12*Financiamiento!DN14)</f>
        <v>916691244.34984493</v>
      </c>
      <c r="DO17" s="124">
        <f>IF(DO12=Resumen!$E$13,0,Resumen!$E$19/12*Financiamiento!DO14)</f>
        <v>916030866.4325844</v>
      </c>
      <c r="DP17" s="124">
        <f>IF(DP12=Resumen!$E$13,0,Resumen!$E$19/12*Financiamiento!DP14)</f>
        <v>915364985.36601329</v>
      </c>
      <c r="DQ17" s="124">
        <f>IF(DQ12=Resumen!$E$13,0,Resumen!$E$19/12*Financiamiento!DQ14)</f>
        <v>914693555.29055417</v>
      </c>
      <c r="DR17" s="124">
        <f>IF(DR12=Resumen!$E$13,0,Resumen!$E$19/12*Financiamiento!DR14)</f>
        <v>914016529.96446621</v>
      </c>
      <c r="DS17" s="124">
        <f>IF(DS12=Resumen!$E$13,0,Resumen!$E$19/12*Financiamiento!DS14)</f>
        <v>0</v>
      </c>
      <c r="DT17" s="124">
        <f>IF(DT12=Resumen!$E$13,0,Resumen!$E$19/12*Financiamiento!DT14)</f>
        <v>0</v>
      </c>
      <c r="DU17" s="124">
        <f>IF(DU12=Resumen!$E$13,0,Resumen!$E$19/12*Financiamiento!DU14)</f>
        <v>0</v>
      </c>
      <c r="DV17" s="124">
        <f>IF(DV12=Resumen!$E$13,0,Resumen!$E$19/12*Financiamiento!DV14)</f>
        <v>0</v>
      </c>
      <c r="DW17" s="124">
        <f>IF(DW12=Resumen!$E$13,0,Resumen!$E$19/12*Financiamiento!DW14)</f>
        <v>0</v>
      </c>
      <c r="DX17" s="124">
        <f>IF(DX12=Resumen!$E$13,0,Resumen!$E$19/12*Financiamiento!DX14)</f>
        <v>0</v>
      </c>
      <c r="DY17" s="124">
        <f>IF(DY12=Resumen!$E$13,0,Resumen!$E$19/12*Financiamiento!DY14)</f>
        <v>0</v>
      </c>
      <c r="DZ17" s="124">
        <f>IF(DZ12=Resumen!$E$13,0,Resumen!$E$19/12*Financiamiento!DZ14)</f>
        <v>0</v>
      </c>
      <c r="EA17" s="124">
        <f>IF(EA12=Resumen!$E$13,0,Resumen!$E$19/12*Financiamiento!EA14)</f>
        <v>0</v>
      </c>
      <c r="EB17" s="124">
        <f>IF(EB12=Resumen!$E$13,0,Resumen!$E$19/12*Financiamiento!EB14)</f>
        <v>0</v>
      </c>
      <c r="EC17" s="124">
        <f>IF(EC12=Resumen!$E$13,0,Resumen!$E$19/12*Financiamiento!EC14)</f>
        <v>0</v>
      </c>
      <c r="ED17" s="125">
        <f>IF(ED12=Resumen!$E$13,0,Resumen!$E$19/12*Financiamiento!ED14)</f>
        <v>0</v>
      </c>
    </row>
    <row r="18" spans="1:134" x14ac:dyDescent="0.25">
      <c r="A18" s="123">
        <f>SUM(C18:ED18)</f>
        <v>-109600063531.2793</v>
      </c>
      <c r="B18" s="5" t="s">
        <v>188</v>
      </c>
      <c r="C18" s="124">
        <f>IF(C12=Resumen!$K$19,-Financiamiento!C14+Financiamiento!C16,0)</f>
        <v>0</v>
      </c>
      <c r="D18" s="124">
        <f>IF(D12=Resumen!$K$19,-Financiamiento!D14+Financiamiento!D16,0)</f>
        <v>0</v>
      </c>
      <c r="E18" s="124">
        <f>IF(E12=Resumen!$K$19,-Financiamiento!E14+Financiamiento!E16,0)</f>
        <v>0</v>
      </c>
      <c r="F18" s="124">
        <f>IF(F12=Resumen!$K$19,-Financiamiento!F14+Financiamiento!F16,0)</f>
        <v>0</v>
      </c>
      <c r="G18" s="124">
        <f>IF(G12=Resumen!$K$19,-Financiamiento!G14+Financiamiento!G16,0)</f>
        <v>0</v>
      </c>
      <c r="H18" s="124">
        <f>IF(H12=Resumen!$K$19,-Financiamiento!H14+Financiamiento!H16,0)</f>
        <v>0</v>
      </c>
      <c r="I18" s="124">
        <f>IF(I12=Resumen!$K$19,-Financiamiento!I14+Financiamiento!I16,0)</f>
        <v>0</v>
      </c>
      <c r="J18" s="124">
        <f>IF(J12=Resumen!$K$19,-Financiamiento!J14+Financiamiento!J16,0)</f>
        <v>0</v>
      </c>
      <c r="K18" s="124">
        <f>IF(K12=Resumen!$K$19,-Financiamiento!K14+Financiamiento!K16,0)</f>
        <v>0</v>
      </c>
      <c r="L18" s="124">
        <f>IF(L12=Resumen!$K$19,-Financiamiento!L14+Financiamiento!L16,0)</f>
        <v>0</v>
      </c>
      <c r="M18" s="124">
        <f>IF(M12=Resumen!$K$19,-Financiamiento!M14+Financiamiento!M16,0)</f>
        <v>0</v>
      </c>
      <c r="N18" s="124">
        <f>IF(N12=Resumen!$K$19,-Financiamiento!N14+Financiamiento!N16,0)</f>
        <v>0</v>
      </c>
      <c r="O18" s="124">
        <f>IF(O12=Resumen!$K$19,-Financiamiento!O14+Financiamiento!O16,0)</f>
        <v>0</v>
      </c>
      <c r="P18" s="124">
        <f>IF(P12=Resumen!$K$19,-Financiamiento!P14+Financiamiento!P16,0)</f>
        <v>0</v>
      </c>
      <c r="Q18" s="124">
        <f>IF(Q12=Resumen!$K$19,-Financiamiento!Q14+Financiamiento!Q16,0)</f>
        <v>0</v>
      </c>
      <c r="R18" s="124">
        <f>IF(R12=Resumen!$K$19,-Financiamiento!R14+Financiamiento!R16,0)</f>
        <v>0</v>
      </c>
      <c r="S18" s="124">
        <f>IF(S12=Resumen!$K$19,-Financiamiento!S14+Financiamiento!S16,0)</f>
        <v>0</v>
      </c>
      <c r="T18" s="124">
        <f>IF(T12=Resumen!$K$19,-Financiamiento!T14+Financiamiento!T16,0)</f>
        <v>0</v>
      </c>
      <c r="U18" s="124">
        <f>IF(U12=Resumen!$K$19,-Financiamiento!U14+Financiamiento!U16,0)</f>
        <v>0</v>
      </c>
      <c r="V18" s="124">
        <f>IF(V12=Resumen!$K$19,-Financiamiento!V14+Financiamiento!V16,0)</f>
        <v>0</v>
      </c>
      <c r="W18" s="124">
        <f>IF(W12=Resumen!$K$19,-Financiamiento!W14+Financiamiento!W16,0)</f>
        <v>0</v>
      </c>
      <c r="X18" s="124">
        <f>IF(X12=Resumen!$K$19,-Financiamiento!X14+Financiamiento!X16,0)</f>
        <v>0</v>
      </c>
      <c r="Y18" s="124">
        <f>IF(Y12=Resumen!$K$19,-Financiamiento!Y14+Financiamiento!Y16,0)</f>
        <v>0</v>
      </c>
      <c r="Z18" s="124">
        <f>IF(Z12=Resumen!$K$19,-Financiamiento!Z14+Financiamiento!Z16,0)</f>
        <v>0</v>
      </c>
      <c r="AA18" s="124">
        <f>IF(AA12=Resumen!$K$19,-Financiamiento!AA14+Financiamiento!AA16,0)</f>
        <v>0</v>
      </c>
      <c r="AB18" s="124">
        <f>IF(AB12=Resumen!$K$19,-Financiamiento!AB14+Financiamiento!AB16,0)</f>
        <v>0</v>
      </c>
      <c r="AC18" s="124">
        <f>IF(AC12=Resumen!$K$19,-Financiamiento!AC14+Financiamiento!AC16,0)</f>
        <v>0</v>
      </c>
      <c r="AD18" s="124">
        <f>IF(AD12=Resumen!$K$19,-Financiamiento!AD14+Financiamiento!AD16,0)</f>
        <v>0</v>
      </c>
      <c r="AE18" s="124">
        <f>IF(AE12=Resumen!$K$19,-Financiamiento!AE14+Financiamiento!AE16,0)</f>
        <v>0</v>
      </c>
      <c r="AF18" s="124">
        <f>IF(AF12=Resumen!$K$19,-Financiamiento!AF14+Financiamiento!AF16,0)</f>
        <v>0</v>
      </c>
      <c r="AG18" s="124">
        <f>IF(AG12=Resumen!$K$19,-Financiamiento!AG14+Financiamiento!AG16,0)</f>
        <v>0</v>
      </c>
      <c r="AH18" s="124">
        <f>IF(AH12=Resumen!$K$19,-Financiamiento!AH14+Financiamiento!AH16,0)</f>
        <v>0</v>
      </c>
      <c r="AI18" s="124">
        <f>IF(AI12=Resumen!$K$19,-Financiamiento!AI14+Financiamiento!AI16,0)</f>
        <v>0</v>
      </c>
      <c r="AJ18" s="124">
        <f>IF(AJ12=Resumen!$K$19,-Financiamiento!AJ14+Financiamiento!AJ16,0)</f>
        <v>0</v>
      </c>
      <c r="AK18" s="124">
        <f>IF(AK12=Resumen!$K$19,-Financiamiento!AK14+Financiamiento!AK16,0)</f>
        <v>0</v>
      </c>
      <c r="AL18" s="124">
        <f>IF(AL12=Resumen!$K$19,-Financiamiento!AL14+Financiamiento!AL16,0)</f>
        <v>0</v>
      </c>
      <c r="AM18" s="124">
        <f>IF(AM12=Resumen!$K$19,-Financiamiento!AM14+Financiamiento!AM16,0)</f>
        <v>0</v>
      </c>
      <c r="AN18" s="124">
        <f>IF(AN12=Resumen!$K$19,-Financiamiento!AN14+Financiamiento!AN16,0)</f>
        <v>0</v>
      </c>
      <c r="AO18" s="124">
        <f>IF(AO12=Resumen!$K$19,-Financiamiento!AO14+Financiamiento!AO16,0)</f>
        <v>0</v>
      </c>
      <c r="AP18" s="124">
        <f>IF(AP12=Resumen!$K$19,-Financiamiento!AP14+Financiamiento!AP16,0)</f>
        <v>0</v>
      </c>
      <c r="AQ18" s="124">
        <f>IF(AQ12=Resumen!$K$19,-Financiamiento!AQ14+Financiamiento!AQ16,0)</f>
        <v>0</v>
      </c>
      <c r="AR18" s="124">
        <f>IF(AR12=Resumen!$K$19,-Financiamiento!AR14+Financiamiento!AR16,0)</f>
        <v>0</v>
      </c>
      <c r="AS18" s="124">
        <f>IF(AS12=Resumen!$K$19,-Financiamiento!AS14+Financiamiento!AS16,0)</f>
        <v>0</v>
      </c>
      <c r="AT18" s="124">
        <f>IF(AT12=Resumen!$K$19,-Financiamiento!AT14+Financiamiento!AT16,0)</f>
        <v>0</v>
      </c>
      <c r="AU18" s="124">
        <f>IF(AU12=Resumen!$K$19,-Financiamiento!AU14+Financiamiento!AU16,0)</f>
        <v>0</v>
      </c>
      <c r="AV18" s="124">
        <f>IF(AV12=Resumen!$K$19,-Financiamiento!AV14+Financiamiento!AV16,0)</f>
        <v>0</v>
      </c>
      <c r="AW18" s="124">
        <f>IF(AW12=Resumen!$K$19,-Financiamiento!AW14+Financiamiento!AW16,0)</f>
        <v>0</v>
      </c>
      <c r="AX18" s="124">
        <f>IF(AX12=Resumen!$K$19,-Financiamiento!AX14+Financiamiento!AX16,0)</f>
        <v>0</v>
      </c>
      <c r="AY18" s="124">
        <f>IF(AY12=Resumen!$K$19,-Financiamiento!AY14+Financiamiento!AY16,0)</f>
        <v>0</v>
      </c>
      <c r="AZ18" s="124">
        <f>IF(AZ12=Resumen!$K$19,-Financiamiento!AZ14+Financiamiento!AZ16,0)</f>
        <v>0</v>
      </c>
      <c r="BA18" s="124">
        <f>IF(BA12=Resumen!$K$19,-Financiamiento!BA14+Financiamiento!BA16,0)</f>
        <v>0</v>
      </c>
      <c r="BB18" s="124">
        <f>IF(BB12=Resumen!$K$19,-Financiamiento!BB14+Financiamiento!BB16,0)</f>
        <v>0</v>
      </c>
      <c r="BC18" s="124">
        <f>IF(BC12=Resumen!$K$19,-Financiamiento!BC14+Financiamiento!BC16,0)</f>
        <v>0</v>
      </c>
      <c r="BD18" s="124">
        <f>IF(BD12=Resumen!$K$19,-Financiamiento!BD14+Financiamiento!BD16,0)</f>
        <v>0</v>
      </c>
      <c r="BE18" s="124">
        <f>IF(BE12=Resumen!$K$19,-Financiamiento!BE14+Financiamiento!BE16,0)</f>
        <v>0</v>
      </c>
      <c r="BF18" s="124">
        <f>IF(BF12=Resumen!$K$19,-Financiamiento!BF14+Financiamiento!BF16,0)</f>
        <v>0</v>
      </c>
      <c r="BG18" s="124">
        <f>IF(BG12=Resumen!$K$19,-Financiamiento!BG14+Financiamiento!BG16,0)</f>
        <v>0</v>
      </c>
      <c r="BH18" s="124">
        <f>IF(BH12=Resumen!$K$19,-Financiamiento!BH14+Financiamiento!BH16,0)</f>
        <v>0</v>
      </c>
      <c r="BI18" s="124">
        <f>IF(BI12=Resumen!$K$19,-Financiamiento!BI14+Financiamiento!BI16,0)</f>
        <v>0</v>
      </c>
      <c r="BJ18" s="124">
        <f>IF(BJ12=Resumen!$K$19,-Financiamiento!BJ14+Financiamiento!BJ16,0)</f>
        <v>0</v>
      </c>
      <c r="BK18" s="124">
        <f>IF(BK12=Resumen!$K$19,-Financiamiento!BK14+Financiamiento!BK16,0)</f>
        <v>0</v>
      </c>
      <c r="BL18" s="124">
        <f>IF(BL12=Resumen!$K$19,-Financiamiento!BL14+Financiamiento!BL16,0)</f>
        <v>0</v>
      </c>
      <c r="BM18" s="124">
        <f>IF(BM12=Resumen!$K$19,-Financiamiento!BM14+Financiamiento!BM16,0)</f>
        <v>0</v>
      </c>
      <c r="BN18" s="124">
        <f>IF(BN12=Resumen!$K$19,-Financiamiento!BN14+Financiamiento!BN16,0)</f>
        <v>0</v>
      </c>
      <c r="BO18" s="124">
        <f>IF(BO12=Resumen!$K$19,-Financiamiento!BO14+Financiamiento!BO16,0)</f>
        <v>0</v>
      </c>
      <c r="BP18" s="124">
        <f>IF(BP12=Resumen!$K$19,-Financiamiento!BP14+Financiamiento!BP16,0)</f>
        <v>0</v>
      </c>
      <c r="BQ18" s="124">
        <f>IF(BQ12=Resumen!$K$19,-Financiamiento!BQ14+Financiamiento!BQ16,0)</f>
        <v>0</v>
      </c>
      <c r="BR18" s="124">
        <f>IF(BR12=Resumen!$K$19,-Financiamiento!BR14+Financiamiento!BR16,0)</f>
        <v>0</v>
      </c>
      <c r="BS18" s="124">
        <f>IF(BS12=Resumen!$K$19,-Financiamiento!BS14+Financiamiento!BS16,0)</f>
        <v>0</v>
      </c>
      <c r="BT18" s="124">
        <f>IF(BT12=Resumen!$K$19,-Financiamiento!BT14+Financiamiento!BT16,0)</f>
        <v>0</v>
      </c>
      <c r="BU18" s="124">
        <f>IF(BU12=Resumen!$K$19,-Financiamiento!BU14+Financiamiento!BU16,0)</f>
        <v>0</v>
      </c>
      <c r="BV18" s="124">
        <f>IF(BV12=Resumen!$K$19,-Financiamiento!BV14+Financiamiento!BV16,0)</f>
        <v>0</v>
      </c>
      <c r="BW18" s="124">
        <f>IF(BW12=Resumen!$K$19,-Financiamiento!BW14+Financiamiento!BW16,0)</f>
        <v>0</v>
      </c>
      <c r="BX18" s="124">
        <f>IF(BX12=Resumen!$K$19,-Financiamiento!BX14+Financiamiento!BX16,0)</f>
        <v>0</v>
      </c>
      <c r="BY18" s="124">
        <f>IF(BY12=Resumen!$K$19,-Financiamiento!BY14+Financiamiento!BY16,0)</f>
        <v>0</v>
      </c>
      <c r="BZ18" s="124">
        <f>IF(BZ12=Resumen!$K$19,-Financiamiento!BZ14+Financiamiento!BZ16,0)</f>
        <v>0</v>
      </c>
      <c r="CA18" s="124">
        <f>IF(CA12=Resumen!$K$19,-Financiamiento!CA14+Financiamiento!CA16,0)</f>
        <v>0</v>
      </c>
      <c r="CB18" s="124">
        <f>IF(CB12=Resumen!$K$19,-Financiamiento!CB14+Financiamiento!CB16,0)</f>
        <v>0</v>
      </c>
      <c r="CC18" s="124">
        <f>IF(CC12=Resumen!$K$19,-Financiamiento!CC14+Financiamiento!CC16,0)</f>
        <v>0</v>
      </c>
      <c r="CD18" s="124">
        <f>IF(CD12=Resumen!$K$19,-Financiamiento!CD14+Financiamiento!CD16,0)</f>
        <v>0</v>
      </c>
      <c r="CE18" s="124">
        <f>IF(CE12=Resumen!$K$19,-Financiamiento!CE14+Financiamiento!CE16,0)</f>
        <v>0</v>
      </c>
      <c r="CF18" s="124">
        <f>IF(CF12=Resumen!$K$19,-Financiamiento!CF14+Financiamiento!CF16,0)</f>
        <v>0</v>
      </c>
      <c r="CG18" s="124">
        <f>IF(CG12=Resumen!$K$19,-Financiamiento!CG14+Financiamiento!CG16,0)</f>
        <v>0</v>
      </c>
      <c r="CH18" s="124">
        <f>IF(CH12=Resumen!$K$19,-Financiamiento!CH14+Financiamiento!CH16,0)</f>
        <v>0</v>
      </c>
      <c r="CI18" s="124">
        <f>IF(CI12=Resumen!$K$19,-Financiamiento!CI14+Financiamiento!CI16,0)</f>
        <v>0</v>
      </c>
      <c r="CJ18" s="124">
        <f>IF(CJ12=Resumen!$K$19,-Financiamiento!CJ14+Financiamiento!CJ16,0)</f>
        <v>0</v>
      </c>
      <c r="CK18" s="124">
        <f>IF(CK12=Resumen!$K$19,-Financiamiento!CK14+Financiamiento!CK16,0)</f>
        <v>0</v>
      </c>
      <c r="CL18" s="124">
        <f>IF(CL12=Resumen!$K$19,-Financiamiento!CL14+Financiamiento!CL16,0)</f>
        <v>0</v>
      </c>
      <c r="CM18" s="124">
        <f>IF(CM12=Resumen!$K$19,-Financiamiento!CM14+Financiamiento!CM16,0)</f>
        <v>0</v>
      </c>
      <c r="CN18" s="124">
        <f>IF(CN12=Resumen!$K$19,-Financiamiento!CN14+Financiamiento!CN16,0)</f>
        <v>0</v>
      </c>
      <c r="CO18" s="124">
        <f>IF(CO12=Resumen!$K$19,-Financiamiento!CO14+Financiamiento!CO16,0)</f>
        <v>0</v>
      </c>
      <c r="CP18" s="124">
        <f>IF(CP12=Resumen!$K$19,-Financiamiento!CP14+Financiamiento!CP16,0)</f>
        <v>0</v>
      </c>
      <c r="CQ18" s="124">
        <f>IF(CQ12=Resumen!$K$19,-Financiamiento!CQ14+Financiamiento!CQ16,0)</f>
        <v>0</v>
      </c>
      <c r="CR18" s="124">
        <f>IF(CR12=Resumen!$K$19,-Financiamiento!CR14+Financiamiento!CR16,0)</f>
        <v>0</v>
      </c>
      <c r="CS18" s="124">
        <f>IF(CS12=Resumen!$K$19,-Financiamiento!CS14+Financiamiento!CS16,0)</f>
        <v>0</v>
      </c>
      <c r="CT18" s="124">
        <f>IF(CT12=Resumen!$K$19,-Financiamiento!CT14+Financiamiento!CT16,0)</f>
        <v>0</v>
      </c>
      <c r="CU18" s="124">
        <f>IF(CU12=Resumen!$K$19,-Financiamiento!CU14+Financiamiento!CU16,0)</f>
        <v>0</v>
      </c>
      <c r="CV18" s="124">
        <f>IF(CV12=Resumen!$K$19,-Financiamiento!CV14+Financiamiento!CV16,0)</f>
        <v>0</v>
      </c>
      <c r="CW18" s="124">
        <f>IF(CW12=Resumen!$K$19,-Financiamiento!CW14+Financiamiento!CW16,0)</f>
        <v>0</v>
      </c>
      <c r="CX18" s="124">
        <f>IF(CX12=Resumen!$K$19,-Financiamiento!CX14+Financiamiento!CX16,0)</f>
        <v>0</v>
      </c>
      <c r="CY18" s="124">
        <f>IF(CY12=Resumen!$K$19,-Financiamiento!CY14+Financiamiento!CY16,0)</f>
        <v>0</v>
      </c>
      <c r="CZ18" s="124">
        <f>IF(CZ12=Resumen!$K$19,-Financiamiento!CZ14+Financiamiento!CZ16,0)</f>
        <v>0</v>
      </c>
      <c r="DA18" s="124">
        <f>IF(DA12=Resumen!$K$19,-Financiamiento!DA14+Financiamiento!DA16,0)</f>
        <v>0</v>
      </c>
      <c r="DB18" s="124">
        <f>IF(DB12=Resumen!$K$19,-Financiamiento!DB14+Financiamiento!DB16,0)</f>
        <v>0</v>
      </c>
      <c r="DC18" s="124">
        <f>IF(DC12=Resumen!$K$19,-Financiamiento!DC14+Financiamiento!DC16,0)</f>
        <v>0</v>
      </c>
      <c r="DD18" s="124">
        <f>IF(DD12=Resumen!$K$19,-Financiamiento!DD14+Financiamiento!DD16,0)</f>
        <v>0</v>
      </c>
      <c r="DE18" s="124">
        <f>IF(DE12=Resumen!$K$19,-Financiamiento!DE14+Financiamiento!DE16,0)</f>
        <v>0</v>
      </c>
      <c r="DF18" s="124">
        <f>IF(DF12=Resumen!$K$19,-Financiamiento!DF14+Financiamiento!DF16,0)</f>
        <v>0</v>
      </c>
      <c r="DG18" s="124">
        <f>IF(DG12=Resumen!$K$19,-Financiamiento!DG14+Financiamiento!DG16,0)</f>
        <v>0</v>
      </c>
      <c r="DH18" s="124">
        <f>IF(DH12=Resumen!$K$19,-Financiamiento!DH14+Financiamiento!DH16,0)</f>
        <v>0</v>
      </c>
      <c r="DI18" s="124">
        <f>IF(DI12=Resumen!$K$19,-Financiamiento!DI14+Financiamiento!DI16,0)</f>
        <v>0</v>
      </c>
      <c r="DJ18" s="124">
        <f>IF(DJ12=Resumen!$K$19,-Financiamiento!DJ14+Financiamiento!DJ16,0)</f>
        <v>0</v>
      </c>
      <c r="DK18" s="124">
        <f>IF(DK12=Resumen!$K$19,-Financiamiento!DK14+Financiamiento!DK16,0)</f>
        <v>0</v>
      </c>
      <c r="DL18" s="124">
        <f>IF(DL12=Resumen!$K$19,-Financiamiento!DL14+Financiamiento!DL16,0)</f>
        <v>0</v>
      </c>
      <c r="DM18" s="124">
        <f>IF(DM12=Resumen!$K$19,-Financiamiento!DM14+Financiamiento!DM16,0)</f>
        <v>0</v>
      </c>
      <c r="DN18" s="124">
        <f>IF(DN12=Resumen!$K$19,-Financiamiento!DN14+Financiamiento!DN16,0)</f>
        <v>0</v>
      </c>
      <c r="DO18" s="124">
        <f>IF(DO12=Resumen!$K$19,-Financiamiento!DO14+Financiamiento!DO16,0)</f>
        <v>0</v>
      </c>
      <c r="DP18" s="124">
        <f>IF(DP12=Resumen!$K$19,-Financiamiento!DP14+Financiamiento!DP16,0)</f>
        <v>0</v>
      </c>
      <c r="DQ18" s="124">
        <f>IF(DQ12=Resumen!$K$19,-Financiamiento!DQ14+Financiamiento!DQ16,0)</f>
        <v>0</v>
      </c>
      <c r="DR18" s="124">
        <f>IF(DR12=Resumen!$K$19,-Financiamiento!DR14+Financiamiento!DR16,0)</f>
        <v>-109600063531.2793</v>
      </c>
      <c r="DS18" s="124">
        <f>IF(DS12=Resumen!$K$19,-Financiamiento!DS14+Financiamiento!DS16,0)</f>
        <v>0</v>
      </c>
      <c r="DT18" s="124">
        <f>IF(DT12=Resumen!$K$19,-Financiamiento!DT14+Financiamiento!DT16,0)</f>
        <v>0</v>
      </c>
      <c r="DU18" s="124">
        <f>IF(DU12=Resumen!$K$19,-Financiamiento!DU14+Financiamiento!DU16,0)</f>
        <v>0</v>
      </c>
      <c r="DV18" s="124">
        <f>IF(DV12=Resumen!$K$19,-Financiamiento!DV14+Financiamiento!DV16,0)</f>
        <v>0</v>
      </c>
      <c r="DW18" s="124">
        <f>IF(DW12=Resumen!$K$19,-Financiamiento!DW14+Financiamiento!DW16,0)</f>
        <v>0</v>
      </c>
      <c r="DX18" s="124">
        <f>IF(DX12=Resumen!$K$19,-Financiamiento!DX14+Financiamiento!DX16,0)</f>
        <v>0</v>
      </c>
      <c r="DY18" s="124">
        <f>IF(DY12=Resumen!$K$19,-Financiamiento!DY14+Financiamiento!DY16,0)</f>
        <v>0</v>
      </c>
      <c r="DZ18" s="124">
        <f>IF(DZ12=Resumen!$K$19,-Financiamiento!DZ14+Financiamiento!DZ16,0)</f>
        <v>0</v>
      </c>
      <c r="EA18" s="124">
        <f>IF(EA12=Resumen!$K$19,-Financiamiento!EA14+Financiamiento!EA16,0)</f>
        <v>0</v>
      </c>
      <c r="EB18" s="124">
        <f>IF(EB12=Resumen!$K$19,-Financiamiento!EB14+Financiamiento!EB16,0)</f>
        <v>0</v>
      </c>
      <c r="EC18" s="124">
        <f>IF(EC12=Resumen!$K$19,-Financiamiento!EC14+Financiamiento!EC16,0)</f>
        <v>0</v>
      </c>
      <c r="ED18" s="125">
        <f>IF(ED12=Resumen!$K$19,-Financiamiento!ED14+Financiamiento!ED16,0)</f>
        <v>0</v>
      </c>
    </row>
    <row r="19" spans="1:134" x14ac:dyDescent="0.25">
      <c r="B19" s="14" t="s">
        <v>35</v>
      </c>
      <c r="C19" s="126">
        <f>C14-C16+C18</f>
        <v>0</v>
      </c>
      <c r="D19" s="126">
        <f t="shared" ref="D19:BO19" si="16">D14-D16+D18</f>
        <v>0</v>
      </c>
      <c r="E19" s="126">
        <f t="shared" si="16"/>
        <v>0</v>
      </c>
      <c r="F19" s="126">
        <f t="shared" si="16"/>
        <v>0</v>
      </c>
      <c r="G19" s="126">
        <f t="shared" si="16"/>
        <v>0</v>
      </c>
      <c r="H19" s="126">
        <f t="shared" si="16"/>
        <v>0</v>
      </c>
      <c r="I19" s="126">
        <f t="shared" si="16"/>
        <v>0</v>
      </c>
      <c r="J19" s="126">
        <f t="shared" si="16"/>
        <v>0</v>
      </c>
      <c r="K19" s="126">
        <f t="shared" si="16"/>
        <v>0</v>
      </c>
      <c r="L19" s="126">
        <f t="shared" si="16"/>
        <v>0</v>
      </c>
      <c r="M19" s="126">
        <f t="shared" si="16"/>
        <v>0</v>
      </c>
      <c r="N19" s="126">
        <f t="shared" si="16"/>
        <v>0</v>
      </c>
      <c r="O19" s="126">
        <f t="shared" si="16"/>
        <v>0</v>
      </c>
      <c r="P19" s="126">
        <f t="shared" si="16"/>
        <v>0</v>
      </c>
      <c r="Q19" s="126">
        <f t="shared" si="16"/>
        <v>0</v>
      </c>
      <c r="R19" s="126">
        <f t="shared" si="16"/>
        <v>0</v>
      </c>
      <c r="S19" s="126">
        <f t="shared" si="16"/>
        <v>0</v>
      </c>
      <c r="T19" s="126">
        <f t="shared" si="16"/>
        <v>0</v>
      </c>
      <c r="U19" s="126">
        <f t="shared" si="16"/>
        <v>0</v>
      </c>
      <c r="V19" s="126">
        <f t="shared" si="16"/>
        <v>0</v>
      </c>
      <c r="W19" s="126">
        <f t="shared" si="16"/>
        <v>0</v>
      </c>
      <c r="X19" s="126">
        <f t="shared" si="16"/>
        <v>0</v>
      </c>
      <c r="Y19" s="126">
        <f t="shared" si="16"/>
        <v>0</v>
      </c>
      <c r="Z19" s="126">
        <f t="shared" si="16"/>
        <v>0</v>
      </c>
      <c r="AA19" s="126">
        <f t="shared" si="16"/>
        <v>0</v>
      </c>
      <c r="AB19" s="126">
        <f t="shared" si="16"/>
        <v>0</v>
      </c>
      <c r="AC19" s="126">
        <f t="shared" si="16"/>
        <v>0</v>
      </c>
      <c r="AD19" s="126">
        <f t="shared" si="16"/>
        <v>0</v>
      </c>
      <c r="AE19" s="126">
        <f t="shared" si="16"/>
        <v>0</v>
      </c>
      <c r="AF19" s="126">
        <f t="shared" si="16"/>
        <v>0</v>
      </c>
      <c r="AG19" s="126">
        <f t="shared" si="16"/>
        <v>0</v>
      </c>
      <c r="AH19" s="126">
        <f t="shared" si="16"/>
        <v>0</v>
      </c>
      <c r="AI19" s="126">
        <f t="shared" si="16"/>
        <v>0</v>
      </c>
      <c r="AJ19" s="126">
        <f t="shared" si="16"/>
        <v>0</v>
      </c>
      <c r="AK19" s="126">
        <f t="shared" si="16"/>
        <v>0</v>
      </c>
      <c r="AL19" s="126">
        <f t="shared" si="16"/>
        <v>0</v>
      </c>
      <c r="AM19" s="126">
        <f t="shared" si="16"/>
        <v>0</v>
      </c>
      <c r="AN19" s="126">
        <f t="shared" si="16"/>
        <v>0</v>
      </c>
      <c r="AO19" s="126">
        <f t="shared" si="16"/>
        <v>0</v>
      </c>
      <c r="AP19" s="126">
        <f t="shared" si="16"/>
        <v>0</v>
      </c>
      <c r="AQ19" s="126">
        <f t="shared" si="16"/>
        <v>0</v>
      </c>
      <c r="AR19" s="126">
        <f t="shared" si="16"/>
        <v>0</v>
      </c>
      <c r="AS19" s="126">
        <f t="shared" si="16"/>
        <v>0</v>
      </c>
      <c r="AT19" s="126">
        <f t="shared" si="16"/>
        <v>0</v>
      </c>
      <c r="AU19" s="126">
        <f t="shared" si="16"/>
        <v>0</v>
      </c>
      <c r="AV19" s="126">
        <f t="shared" si="16"/>
        <v>0</v>
      </c>
      <c r="AW19" s="126">
        <f t="shared" si="16"/>
        <v>0</v>
      </c>
      <c r="AX19" s="126">
        <f t="shared" si="16"/>
        <v>0</v>
      </c>
      <c r="AY19" s="126">
        <f t="shared" si="16"/>
        <v>0</v>
      </c>
      <c r="AZ19" s="126">
        <f t="shared" si="16"/>
        <v>0</v>
      </c>
      <c r="BA19" s="126">
        <f t="shared" si="16"/>
        <v>0</v>
      </c>
      <c r="BB19" s="126">
        <f t="shared" si="16"/>
        <v>0</v>
      </c>
      <c r="BC19" s="126">
        <f t="shared" si="16"/>
        <v>0</v>
      </c>
      <c r="BD19" s="126">
        <f t="shared" si="16"/>
        <v>0</v>
      </c>
      <c r="BE19" s="126">
        <f t="shared" si="16"/>
        <v>0</v>
      </c>
      <c r="BF19" s="126">
        <f t="shared" si="16"/>
        <v>0</v>
      </c>
      <c r="BG19" s="126">
        <f t="shared" si="16"/>
        <v>0</v>
      </c>
      <c r="BH19" s="126">
        <f t="shared" si="16"/>
        <v>0</v>
      </c>
      <c r="BI19" s="126">
        <f t="shared" si="16"/>
        <v>0</v>
      </c>
      <c r="BJ19" s="126">
        <f t="shared" si="16"/>
        <v>113487791579.24863</v>
      </c>
      <c r="BK19" s="126">
        <f t="shared" si="16"/>
        <v>113437586581.32124</v>
      </c>
      <c r="BL19" s="126">
        <f t="shared" si="16"/>
        <v>113386963208.41113</v>
      </c>
      <c r="BM19" s="126">
        <f t="shared" si="16"/>
        <v>113335917974.0601</v>
      </c>
      <c r="BN19" s="126">
        <f t="shared" si="16"/>
        <v>113284447362.75615</v>
      </c>
      <c r="BO19" s="126">
        <f t="shared" si="16"/>
        <v>113232547829.69133</v>
      </c>
      <c r="BP19" s="126">
        <f t="shared" ref="BP19:EA19" si="17">BP14-BP16+BP18</f>
        <v>113180215800.51764</v>
      </c>
      <c r="BQ19" s="126">
        <f t="shared" si="17"/>
        <v>113127447671.10083</v>
      </c>
      <c r="BR19" s="126">
        <f t="shared" si="17"/>
        <v>113074239807.27222</v>
      </c>
      <c r="BS19" s="126">
        <f t="shared" si="17"/>
        <v>113020588544.57837</v>
      </c>
      <c r="BT19" s="126">
        <f t="shared" si="17"/>
        <v>112966490188.02873</v>
      </c>
      <c r="BU19" s="126">
        <f t="shared" si="17"/>
        <v>112911941011.84119</v>
      </c>
      <c r="BV19" s="126">
        <f t="shared" si="17"/>
        <v>112856937259.18541</v>
      </c>
      <c r="BW19" s="126">
        <f t="shared" si="17"/>
        <v>112801475141.92418</v>
      </c>
      <c r="BX19" s="126">
        <f t="shared" si="17"/>
        <v>112745550840.35243</v>
      </c>
      <c r="BY19" s="126">
        <f t="shared" si="17"/>
        <v>112689160502.93425</v>
      </c>
      <c r="BZ19" s="126">
        <f t="shared" si="17"/>
        <v>112632300246.03758</v>
      </c>
      <c r="CA19" s="126">
        <f t="shared" si="17"/>
        <v>112574966153.66678</v>
      </c>
      <c r="CB19" s="126">
        <f t="shared" si="17"/>
        <v>112517154277.19289</v>
      </c>
      <c r="CC19" s="126">
        <f t="shared" si="17"/>
        <v>112458860635.08171</v>
      </c>
      <c r="CD19" s="126">
        <f t="shared" si="17"/>
        <v>112400081212.61961</v>
      </c>
      <c r="CE19" s="126">
        <f t="shared" si="17"/>
        <v>112340811961.63699</v>
      </c>
      <c r="CF19" s="126">
        <f t="shared" si="17"/>
        <v>112281048800.22952</v>
      </c>
      <c r="CG19" s="126">
        <f t="shared" si="17"/>
        <v>112220787612.47699</v>
      </c>
      <c r="CH19" s="126">
        <f t="shared" si="17"/>
        <v>112160024248.15985</v>
      </c>
      <c r="CI19" s="126">
        <f t="shared" si="17"/>
        <v>112098754522.4734</v>
      </c>
      <c r="CJ19" s="126">
        <f t="shared" si="17"/>
        <v>112036974215.73956</v>
      </c>
      <c r="CK19" s="126">
        <f t="shared" si="17"/>
        <v>111974679073.11627</v>
      </c>
      <c r="CL19" s="126">
        <f t="shared" si="17"/>
        <v>111911864804.30446</v>
      </c>
      <c r="CM19" s="126">
        <f t="shared" si="17"/>
        <v>111848527083.25255</v>
      </c>
      <c r="CN19" s="126">
        <f t="shared" si="17"/>
        <v>111784661547.85854</v>
      </c>
      <c r="CO19" s="126">
        <f t="shared" si="17"/>
        <v>111720263799.66957</v>
      </c>
      <c r="CP19" s="126">
        <f t="shared" si="17"/>
        <v>111655329403.57904</v>
      </c>
      <c r="CQ19" s="126">
        <f t="shared" si="17"/>
        <v>111589853887.52109</v>
      </c>
      <c r="CR19" s="126">
        <f t="shared" si="17"/>
        <v>111523832742.16264</v>
      </c>
      <c r="CS19" s="126">
        <f t="shared" si="17"/>
        <v>111457261420.59288</v>
      </c>
      <c r="CT19" s="126">
        <f t="shared" si="17"/>
        <v>111390135338.01004</v>
      </c>
      <c r="CU19" s="126">
        <f t="shared" si="17"/>
        <v>111322449871.40567</v>
      </c>
      <c r="CV19" s="126">
        <f t="shared" si="17"/>
        <v>111254200359.24626</v>
      </c>
      <c r="CW19" s="126">
        <f t="shared" si="17"/>
        <v>111185382101.15219</v>
      </c>
      <c r="CX19" s="126">
        <f t="shared" si="17"/>
        <v>111115990357.57401</v>
      </c>
      <c r="CY19" s="126">
        <f t="shared" si="17"/>
        <v>111046020349.466</v>
      </c>
      <c r="CZ19" s="126">
        <f t="shared" si="17"/>
        <v>110975467257.95711</v>
      </c>
      <c r="DA19" s="126">
        <f t="shared" si="17"/>
        <v>110904326224.01897</v>
      </c>
      <c r="DB19" s="126">
        <f t="shared" si="17"/>
        <v>110832592348.13135</v>
      </c>
      <c r="DC19" s="126">
        <f t="shared" si="17"/>
        <v>110760260689.94466</v>
      </c>
      <c r="DD19" s="126">
        <f t="shared" si="17"/>
        <v>110687326267.93974</v>
      </c>
      <c r="DE19" s="126">
        <f t="shared" si="17"/>
        <v>110613784059.08479</v>
      </c>
      <c r="DF19" s="126">
        <f t="shared" si="17"/>
        <v>110539628998.48938</v>
      </c>
      <c r="DG19" s="126">
        <f t="shared" si="17"/>
        <v>110464855979.05568</v>
      </c>
      <c r="DH19" s="126">
        <f t="shared" si="17"/>
        <v>110389459851.12669</v>
      </c>
      <c r="DI19" s="126">
        <f t="shared" si="17"/>
        <v>110313435422.13164</v>
      </c>
      <c r="DJ19" s="126">
        <f t="shared" si="17"/>
        <v>110236777456.22829</v>
      </c>
      <c r="DK19" s="126">
        <f t="shared" si="17"/>
        <v>110159480673.94241</v>
      </c>
      <c r="DL19" s="126">
        <f t="shared" si="17"/>
        <v>110081539751.80415</v>
      </c>
      <c r="DM19" s="126">
        <f t="shared" si="17"/>
        <v>110002949321.9814</v>
      </c>
      <c r="DN19" s="126">
        <f t="shared" si="17"/>
        <v>109923703971.91013</v>
      </c>
      <c r="DO19" s="126">
        <f t="shared" si="17"/>
        <v>109843798243.9216</v>
      </c>
      <c r="DP19" s="126">
        <f t="shared" si="17"/>
        <v>109763226634.8665</v>
      </c>
      <c r="DQ19" s="126">
        <f t="shared" si="17"/>
        <v>109681983595.73595</v>
      </c>
      <c r="DR19" s="126">
        <f t="shared" si="17"/>
        <v>0</v>
      </c>
      <c r="DS19" s="126">
        <f t="shared" si="17"/>
        <v>0</v>
      </c>
      <c r="DT19" s="126">
        <f t="shared" si="17"/>
        <v>0</v>
      </c>
      <c r="DU19" s="126">
        <f t="shared" si="17"/>
        <v>0</v>
      </c>
      <c r="DV19" s="126">
        <f t="shared" si="17"/>
        <v>0</v>
      </c>
      <c r="DW19" s="126">
        <f t="shared" si="17"/>
        <v>0</v>
      </c>
      <c r="DX19" s="126">
        <f t="shared" si="17"/>
        <v>0</v>
      </c>
      <c r="DY19" s="126">
        <f t="shared" si="17"/>
        <v>0</v>
      </c>
      <c r="DZ19" s="126">
        <f t="shared" si="17"/>
        <v>0</v>
      </c>
      <c r="EA19" s="126">
        <f t="shared" si="17"/>
        <v>0</v>
      </c>
      <c r="EB19" s="126">
        <f>EB14-EB16+EB18</f>
        <v>0</v>
      </c>
      <c r="EC19" s="126">
        <f>EC14-EC16+EC18</f>
        <v>0</v>
      </c>
      <c r="ED19" s="127">
        <f>ED14-ED16+ED18</f>
        <v>0</v>
      </c>
    </row>
  </sheetData>
  <conditionalFormatting sqref="A2">
    <cfRule type="containsText" dxfId="5" priority="3" operator="containsText" text="ERROR">
      <formula>NOT(ISERROR(SEARCH("ERROR",A2)))</formula>
    </cfRule>
    <cfRule type="containsText" dxfId="4" priority="4" operator="containsText" text="OK">
      <formula>NOT(ISERROR(SEARCH("OK",A2)))</formula>
    </cfRule>
  </conditionalFormatting>
  <conditionalFormatting sqref="A12">
    <cfRule type="containsText" dxfId="3" priority="1" operator="containsText" text="ERROR">
      <formula>NOT(ISERROR(SEARCH("ERROR",A12)))</formula>
    </cfRule>
    <cfRule type="containsText" dxfId="2" priority="2" operator="containsText" text="OK">
      <formula>NOT(ISERROR(SEARCH("OK",A12)))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EE826-D464-4B00-9B30-400A8913E727}">
  <dimension ref="A1:EE70"/>
  <sheetViews>
    <sheetView showGridLines="0" zoomScale="115" zoomScaleNormal="115" workbookViewId="0">
      <pane xSplit="2" ySplit="3" topLeftCell="DN43" activePane="bottomRight" state="frozen"/>
      <selection pane="topRight" activeCell="C1" sqref="C1"/>
      <selection pane="bottomLeft" activeCell="A4" sqref="A4"/>
      <selection pane="bottomRight" activeCell="A54" sqref="A54"/>
    </sheetView>
  </sheetViews>
  <sheetFormatPr baseColWidth="10" defaultColWidth="8.85546875" defaultRowHeight="13.5" x14ac:dyDescent="0.25"/>
  <cols>
    <col min="1" max="1" width="18.28515625" style="1" bestFit="1" customWidth="1"/>
    <col min="2" max="2" width="32.42578125" style="1" bestFit="1" customWidth="1"/>
    <col min="3" max="3" width="17.85546875" style="1" bestFit="1" customWidth="1"/>
    <col min="4" max="122" width="17.28515625" style="1" bestFit="1" customWidth="1"/>
    <col min="123" max="123" width="18.5703125" style="1" bestFit="1" customWidth="1"/>
    <col min="124" max="135" width="17.28515625" style="1" bestFit="1" customWidth="1"/>
    <col min="136" max="16384" width="8.85546875" style="1"/>
  </cols>
  <sheetData>
    <row r="1" spans="1:135" x14ac:dyDescent="0.25">
      <c r="B1" s="129" t="s">
        <v>143</v>
      </c>
      <c r="C1" s="135">
        <v>0</v>
      </c>
      <c r="D1" s="131">
        <v>1</v>
      </c>
      <c r="E1" s="131">
        <f>D1+1</f>
        <v>2</v>
      </c>
      <c r="F1" s="131">
        <f t="shared" ref="F1:BQ1" si="0">E1+1</f>
        <v>3</v>
      </c>
      <c r="G1" s="131">
        <f t="shared" si="0"/>
        <v>4</v>
      </c>
      <c r="H1" s="131">
        <f t="shared" si="0"/>
        <v>5</v>
      </c>
      <c r="I1" s="131">
        <f t="shared" si="0"/>
        <v>6</v>
      </c>
      <c r="J1" s="131">
        <f t="shared" si="0"/>
        <v>7</v>
      </c>
      <c r="K1" s="131">
        <f t="shared" si="0"/>
        <v>8</v>
      </c>
      <c r="L1" s="131">
        <f t="shared" si="0"/>
        <v>9</v>
      </c>
      <c r="M1" s="131">
        <f t="shared" si="0"/>
        <v>10</v>
      </c>
      <c r="N1" s="131">
        <f t="shared" si="0"/>
        <v>11</v>
      </c>
      <c r="O1" s="131">
        <f t="shared" si="0"/>
        <v>12</v>
      </c>
      <c r="P1" s="131">
        <f t="shared" si="0"/>
        <v>13</v>
      </c>
      <c r="Q1" s="131">
        <f t="shared" si="0"/>
        <v>14</v>
      </c>
      <c r="R1" s="131">
        <f t="shared" si="0"/>
        <v>15</v>
      </c>
      <c r="S1" s="131">
        <f t="shared" si="0"/>
        <v>16</v>
      </c>
      <c r="T1" s="131">
        <f t="shared" si="0"/>
        <v>17</v>
      </c>
      <c r="U1" s="131">
        <f t="shared" si="0"/>
        <v>18</v>
      </c>
      <c r="V1" s="131">
        <f t="shared" si="0"/>
        <v>19</v>
      </c>
      <c r="W1" s="131">
        <f t="shared" si="0"/>
        <v>20</v>
      </c>
      <c r="X1" s="131">
        <f t="shared" si="0"/>
        <v>21</v>
      </c>
      <c r="Y1" s="131">
        <f t="shared" si="0"/>
        <v>22</v>
      </c>
      <c r="Z1" s="131">
        <f t="shared" si="0"/>
        <v>23</v>
      </c>
      <c r="AA1" s="131">
        <f t="shared" si="0"/>
        <v>24</v>
      </c>
      <c r="AB1" s="131">
        <f t="shared" si="0"/>
        <v>25</v>
      </c>
      <c r="AC1" s="131">
        <f t="shared" si="0"/>
        <v>26</v>
      </c>
      <c r="AD1" s="131">
        <f t="shared" si="0"/>
        <v>27</v>
      </c>
      <c r="AE1" s="131">
        <f t="shared" si="0"/>
        <v>28</v>
      </c>
      <c r="AF1" s="131">
        <f t="shared" si="0"/>
        <v>29</v>
      </c>
      <c r="AG1" s="131">
        <f t="shared" si="0"/>
        <v>30</v>
      </c>
      <c r="AH1" s="131">
        <f t="shared" si="0"/>
        <v>31</v>
      </c>
      <c r="AI1" s="131">
        <f t="shared" si="0"/>
        <v>32</v>
      </c>
      <c r="AJ1" s="131">
        <f t="shared" si="0"/>
        <v>33</v>
      </c>
      <c r="AK1" s="131">
        <f t="shared" si="0"/>
        <v>34</v>
      </c>
      <c r="AL1" s="131">
        <f t="shared" si="0"/>
        <v>35</v>
      </c>
      <c r="AM1" s="131">
        <f t="shared" si="0"/>
        <v>36</v>
      </c>
      <c r="AN1" s="131">
        <f t="shared" si="0"/>
        <v>37</v>
      </c>
      <c r="AO1" s="131">
        <f t="shared" si="0"/>
        <v>38</v>
      </c>
      <c r="AP1" s="131">
        <f t="shared" si="0"/>
        <v>39</v>
      </c>
      <c r="AQ1" s="131">
        <f t="shared" si="0"/>
        <v>40</v>
      </c>
      <c r="AR1" s="131">
        <f t="shared" si="0"/>
        <v>41</v>
      </c>
      <c r="AS1" s="131">
        <f t="shared" si="0"/>
        <v>42</v>
      </c>
      <c r="AT1" s="131">
        <f t="shared" si="0"/>
        <v>43</v>
      </c>
      <c r="AU1" s="131">
        <f t="shared" si="0"/>
        <v>44</v>
      </c>
      <c r="AV1" s="131">
        <f t="shared" si="0"/>
        <v>45</v>
      </c>
      <c r="AW1" s="131">
        <f t="shared" si="0"/>
        <v>46</v>
      </c>
      <c r="AX1" s="131">
        <f t="shared" si="0"/>
        <v>47</v>
      </c>
      <c r="AY1" s="131">
        <f t="shared" si="0"/>
        <v>48</v>
      </c>
      <c r="AZ1" s="131">
        <f t="shared" si="0"/>
        <v>49</v>
      </c>
      <c r="BA1" s="131">
        <f t="shared" si="0"/>
        <v>50</v>
      </c>
      <c r="BB1" s="131">
        <f t="shared" si="0"/>
        <v>51</v>
      </c>
      <c r="BC1" s="131">
        <f t="shared" si="0"/>
        <v>52</v>
      </c>
      <c r="BD1" s="131">
        <f t="shared" si="0"/>
        <v>53</v>
      </c>
      <c r="BE1" s="131">
        <f t="shared" si="0"/>
        <v>54</v>
      </c>
      <c r="BF1" s="131">
        <f t="shared" si="0"/>
        <v>55</v>
      </c>
      <c r="BG1" s="131">
        <f t="shared" si="0"/>
        <v>56</v>
      </c>
      <c r="BH1" s="131">
        <f t="shared" si="0"/>
        <v>57</v>
      </c>
      <c r="BI1" s="131">
        <f t="shared" si="0"/>
        <v>58</v>
      </c>
      <c r="BJ1" s="131">
        <f t="shared" si="0"/>
        <v>59</v>
      </c>
      <c r="BK1" s="131">
        <f t="shared" si="0"/>
        <v>60</v>
      </c>
      <c r="BL1" s="131">
        <f t="shared" si="0"/>
        <v>61</v>
      </c>
      <c r="BM1" s="131">
        <f t="shared" si="0"/>
        <v>62</v>
      </c>
      <c r="BN1" s="131">
        <f t="shared" si="0"/>
        <v>63</v>
      </c>
      <c r="BO1" s="131">
        <f t="shared" si="0"/>
        <v>64</v>
      </c>
      <c r="BP1" s="131">
        <f t="shared" si="0"/>
        <v>65</v>
      </c>
      <c r="BQ1" s="131">
        <f t="shared" si="0"/>
        <v>66</v>
      </c>
      <c r="BR1" s="131">
        <f t="shared" ref="BR1:EC1" si="1">BQ1+1</f>
        <v>67</v>
      </c>
      <c r="BS1" s="131">
        <f t="shared" si="1"/>
        <v>68</v>
      </c>
      <c r="BT1" s="131">
        <f t="shared" si="1"/>
        <v>69</v>
      </c>
      <c r="BU1" s="131">
        <f t="shared" si="1"/>
        <v>70</v>
      </c>
      <c r="BV1" s="131">
        <f t="shared" si="1"/>
        <v>71</v>
      </c>
      <c r="BW1" s="131">
        <f t="shared" si="1"/>
        <v>72</v>
      </c>
      <c r="BX1" s="131">
        <f t="shared" si="1"/>
        <v>73</v>
      </c>
      <c r="BY1" s="131">
        <f t="shared" si="1"/>
        <v>74</v>
      </c>
      <c r="BZ1" s="131">
        <f t="shared" si="1"/>
        <v>75</v>
      </c>
      <c r="CA1" s="131">
        <f t="shared" si="1"/>
        <v>76</v>
      </c>
      <c r="CB1" s="131">
        <f t="shared" si="1"/>
        <v>77</v>
      </c>
      <c r="CC1" s="131">
        <f t="shared" si="1"/>
        <v>78</v>
      </c>
      <c r="CD1" s="131">
        <f t="shared" si="1"/>
        <v>79</v>
      </c>
      <c r="CE1" s="131">
        <f t="shared" si="1"/>
        <v>80</v>
      </c>
      <c r="CF1" s="131">
        <f t="shared" si="1"/>
        <v>81</v>
      </c>
      <c r="CG1" s="131">
        <f t="shared" si="1"/>
        <v>82</v>
      </c>
      <c r="CH1" s="131">
        <f t="shared" si="1"/>
        <v>83</v>
      </c>
      <c r="CI1" s="131">
        <f t="shared" si="1"/>
        <v>84</v>
      </c>
      <c r="CJ1" s="131">
        <f t="shared" si="1"/>
        <v>85</v>
      </c>
      <c r="CK1" s="131">
        <f t="shared" si="1"/>
        <v>86</v>
      </c>
      <c r="CL1" s="131">
        <f t="shared" si="1"/>
        <v>87</v>
      </c>
      <c r="CM1" s="131">
        <f t="shared" si="1"/>
        <v>88</v>
      </c>
      <c r="CN1" s="131">
        <f t="shared" si="1"/>
        <v>89</v>
      </c>
      <c r="CO1" s="131">
        <f t="shared" si="1"/>
        <v>90</v>
      </c>
      <c r="CP1" s="131">
        <f t="shared" si="1"/>
        <v>91</v>
      </c>
      <c r="CQ1" s="131">
        <f t="shared" si="1"/>
        <v>92</v>
      </c>
      <c r="CR1" s="131">
        <f t="shared" si="1"/>
        <v>93</v>
      </c>
      <c r="CS1" s="131">
        <f t="shared" si="1"/>
        <v>94</v>
      </c>
      <c r="CT1" s="131">
        <f t="shared" si="1"/>
        <v>95</v>
      </c>
      <c r="CU1" s="131">
        <f t="shared" si="1"/>
        <v>96</v>
      </c>
      <c r="CV1" s="131">
        <f t="shared" si="1"/>
        <v>97</v>
      </c>
      <c r="CW1" s="131">
        <f t="shared" si="1"/>
        <v>98</v>
      </c>
      <c r="CX1" s="131">
        <f t="shared" si="1"/>
        <v>99</v>
      </c>
      <c r="CY1" s="131">
        <f t="shared" si="1"/>
        <v>100</v>
      </c>
      <c r="CZ1" s="131">
        <f t="shared" si="1"/>
        <v>101</v>
      </c>
      <c r="DA1" s="131">
        <f t="shared" si="1"/>
        <v>102</v>
      </c>
      <c r="DB1" s="131">
        <f t="shared" si="1"/>
        <v>103</v>
      </c>
      <c r="DC1" s="131">
        <f t="shared" si="1"/>
        <v>104</v>
      </c>
      <c r="DD1" s="131">
        <f t="shared" si="1"/>
        <v>105</v>
      </c>
      <c r="DE1" s="131">
        <f t="shared" si="1"/>
        <v>106</v>
      </c>
      <c r="DF1" s="131">
        <f t="shared" si="1"/>
        <v>107</v>
      </c>
      <c r="DG1" s="131">
        <f t="shared" si="1"/>
        <v>108</v>
      </c>
      <c r="DH1" s="131">
        <f t="shared" si="1"/>
        <v>109</v>
      </c>
      <c r="DI1" s="131">
        <f t="shared" si="1"/>
        <v>110</v>
      </c>
      <c r="DJ1" s="131">
        <f t="shared" si="1"/>
        <v>111</v>
      </c>
      <c r="DK1" s="131">
        <f t="shared" si="1"/>
        <v>112</v>
      </c>
      <c r="DL1" s="131">
        <f t="shared" si="1"/>
        <v>113</v>
      </c>
      <c r="DM1" s="131">
        <f t="shared" si="1"/>
        <v>114</v>
      </c>
      <c r="DN1" s="131">
        <f t="shared" si="1"/>
        <v>115</v>
      </c>
      <c r="DO1" s="131">
        <f t="shared" si="1"/>
        <v>116</v>
      </c>
      <c r="DP1" s="131">
        <f t="shared" si="1"/>
        <v>117</v>
      </c>
      <c r="DQ1" s="131">
        <f t="shared" si="1"/>
        <v>118</v>
      </c>
      <c r="DR1" s="131">
        <f t="shared" si="1"/>
        <v>119</v>
      </c>
      <c r="DS1" s="131">
        <f t="shared" si="1"/>
        <v>120</v>
      </c>
      <c r="DT1" s="131">
        <f t="shared" si="1"/>
        <v>121</v>
      </c>
      <c r="DU1" s="131">
        <f t="shared" si="1"/>
        <v>122</v>
      </c>
      <c r="DV1" s="131">
        <f t="shared" si="1"/>
        <v>123</v>
      </c>
      <c r="DW1" s="131">
        <f t="shared" si="1"/>
        <v>124</v>
      </c>
      <c r="DX1" s="131">
        <f t="shared" si="1"/>
        <v>125</v>
      </c>
      <c r="DY1" s="131">
        <f t="shared" si="1"/>
        <v>126</v>
      </c>
      <c r="DZ1" s="131">
        <f t="shared" si="1"/>
        <v>127</v>
      </c>
      <c r="EA1" s="131">
        <f t="shared" si="1"/>
        <v>128</v>
      </c>
      <c r="EB1" s="131">
        <f t="shared" si="1"/>
        <v>129</v>
      </c>
      <c r="EC1" s="131">
        <f t="shared" si="1"/>
        <v>130</v>
      </c>
      <c r="ED1" s="131">
        <f>EC1+1</f>
        <v>131</v>
      </c>
      <c r="EE1" s="132">
        <f>ED1+1</f>
        <v>132</v>
      </c>
    </row>
    <row r="2" spans="1:135" x14ac:dyDescent="0.25">
      <c r="B2" s="136" t="s">
        <v>147</v>
      </c>
      <c r="C2" s="133">
        <v>0</v>
      </c>
      <c r="D2" s="134">
        <f>ROUNDUP(D1/12,0)</f>
        <v>1</v>
      </c>
      <c r="E2" s="134">
        <f t="shared" ref="E2:BP2" si="2">ROUNDUP(E1/12,0)</f>
        <v>1</v>
      </c>
      <c r="F2" s="134">
        <f t="shared" si="2"/>
        <v>1</v>
      </c>
      <c r="G2" s="134">
        <f t="shared" si="2"/>
        <v>1</v>
      </c>
      <c r="H2" s="134">
        <f t="shared" si="2"/>
        <v>1</v>
      </c>
      <c r="I2" s="134">
        <f t="shared" si="2"/>
        <v>1</v>
      </c>
      <c r="J2" s="134">
        <f t="shared" si="2"/>
        <v>1</v>
      </c>
      <c r="K2" s="134">
        <f t="shared" si="2"/>
        <v>1</v>
      </c>
      <c r="L2" s="134">
        <f t="shared" si="2"/>
        <v>1</v>
      </c>
      <c r="M2" s="134">
        <f t="shared" si="2"/>
        <v>1</v>
      </c>
      <c r="N2" s="134">
        <f t="shared" si="2"/>
        <v>1</v>
      </c>
      <c r="O2" s="134">
        <f t="shared" si="2"/>
        <v>1</v>
      </c>
      <c r="P2" s="134">
        <f t="shared" si="2"/>
        <v>2</v>
      </c>
      <c r="Q2" s="134">
        <f t="shared" si="2"/>
        <v>2</v>
      </c>
      <c r="R2" s="134">
        <f t="shared" si="2"/>
        <v>2</v>
      </c>
      <c r="S2" s="134">
        <f t="shared" si="2"/>
        <v>2</v>
      </c>
      <c r="T2" s="134">
        <f t="shared" si="2"/>
        <v>2</v>
      </c>
      <c r="U2" s="134">
        <f t="shared" si="2"/>
        <v>2</v>
      </c>
      <c r="V2" s="134">
        <f t="shared" si="2"/>
        <v>2</v>
      </c>
      <c r="W2" s="134">
        <f t="shared" si="2"/>
        <v>2</v>
      </c>
      <c r="X2" s="134">
        <f t="shared" si="2"/>
        <v>2</v>
      </c>
      <c r="Y2" s="134">
        <f t="shared" si="2"/>
        <v>2</v>
      </c>
      <c r="Z2" s="134">
        <f t="shared" si="2"/>
        <v>2</v>
      </c>
      <c r="AA2" s="134">
        <f t="shared" si="2"/>
        <v>2</v>
      </c>
      <c r="AB2" s="134">
        <f t="shared" si="2"/>
        <v>3</v>
      </c>
      <c r="AC2" s="134">
        <f t="shared" si="2"/>
        <v>3</v>
      </c>
      <c r="AD2" s="134">
        <f t="shared" si="2"/>
        <v>3</v>
      </c>
      <c r="AE2" s="134">
        <f t="shared" si="2"/>
        <v>3</v>
      </c>
      <c r="AF2" s="134">
        <f t="shared" si="2"/>
        <v>3</v>
      </c>
      <c r="AG2" s="134">
        <f t="shared" si="2"/>
        <v>3</v>
      </c>
      <c r="AH2" s="134">
        <f t="shared" si="2"/>
        <v>3</v>
      </c>
      <c r="AI2" s="134">
        <f t="shared" si="2"/>
        <v>3</v>
      </c>
      <c r="AJ2" s="134">
        <f t="shared" si="2"/>
        <v>3</v>
      </c>
      <c r="AK2" s="134">
        <f t="shared" si="2"/>
        <v>3</v>
      </c>
      <c r="AL2" s="134">
        <f t="shared" si="2"/>
        <v>3</v>
      </c>
      <c r="AM2" s="134">
        <f t="shared" si="2"/>
        <v>3</v>
      </c>
      <c r="AN2" s="134">
        <f t="shared" si="2"/>
        <v>4</v>
      </c>
      <c r="AO2" s="134">
        <f t="shared" si="2"/>
        <v>4</v>
      </c>
      <c r="AP2" s="134">
        <f t="shared" si="2"/>
        <v>4</v>
      </c>
      <c r="AQ2" s="134">
        <f t="shared" si="2"/>
        <v>4</v>
      </c>
      <c r="AR2" s="134">
        <f t="shared" si="2"/>
        <v>4</v>
      </c>
      <c r="AS2" s="134">
        <f t="shared" si="2"/>
        <v>4</v>
      </c>
      <c r="AT2" s="134">
        <f t="shared" si="2"/>
        <v>4</v>
      </c>
      <c r="AU2" s="134">
        <f t="shared" si="2"/>
        <v>4</v>
      </c>
      <c r="AV2" s="134">
        <f t="shared" si="2"/>
        <v>4</v>
      </c>
      <c r="AW2" s="134">
        <f t="shared" si="2"/>
        <v>4</v>
      </c>
      <c r="AX2" s="134">
        <f t="shared" si="2"/>
        <v>4</v>
      </c>
      <c r="AY2" s="134">
        <f t="shared" si="2"/>
        <v>4</v>
      </c>
      <c r="AZ2" s="134">
        <f t="shared" si="2"/>
        <v>5</v>
      </c>
      <c r="BA2" s="134">
        <f t="shared" si="2"/>
        <v>5</v>
      </c>
      <c r="BB2" s="134">
        <f t="shared" si="2"/>
        <v>5</v>
      </c>
      <c r="BC2" s="134">
        <f t="shared" si="2"/>
        <v>5</v>
      </c>
      <c r="BD2" s="134">
        <f t="shared" si="2"/>
        <v>5</v>
      </c>
      <c r="BE2" s="134">
        <f t="shared" si="2"/>
        <v>5</v>
      </c>
      <c r="BF2" s="134">
        <f t="shared" si="2"/>
        <v>5</v>
      </c>
      <c r="BG2" s="134">
        <f t="shared" si="2"/>
        <v>5</v>
      </c>
      <c r="BH2" s="134">
        <f t="shared" si="2"/>
        <v>5</v>
      </c>
      <c r="BI2" s="134">
        <f t="shared" si="2"/>
        <v>5</v>
      </c>
      <c r="BJ2" s="134">
        <f t="shared" si="2"/>
        <v>5</v>
      </c>
      <c r="BK2" s="134">
        <f t="shared" si="2"/>
        <v>5</v>
      </c>
      <c r="BL2" s="134">
        <f t="shared" si="2"/>
        <v>6</v>
      </c>
      <c r="BM2" s="134">
        <f t="shared" si="2"/>
        <v>6</v>
      </c>
      <c r="BN2" s="134">
        <f t="shared" si="2"/>
        <v>6</v>
      </c>
      <c r="BO2" s="134">
        <f t="shared" si="2"/>
        <v>6</v>
      </c>
      <c r="BP2" s="134">
        <f t="shared" si="2"/>
        <v>6</v>
      </c>
      <c r="BQ2" s="134">
        <f t="shared" ref="BQ2:EB2" si="3">ROUNDUP(BQ1/12,0)</f>
        <v>6</v>
      </c>
      <c r="BR2" s="134">
        <f t="shared" si="3"/>
        <v>6</v>
      </c>
      <c r="BS2" s="134">
        <f t="shared" si="3"/>
        <v>6</v>
      </c>
      <c r="BT2" s="134">
        <f t="shared" si="3"/>
        <v>6</v>
      </c>
      <c r="BU2" s="134">
        <f t="shared" si="3"/>
        <v>6</v>
      </c>
      <c r="BV2" s="134">
        <f t="shared" si="3"/>
        <v>6</v>
      </c>
      <c r="BW2" s="134">
        <f t="shared" si="3"/>
        <v>6</v>
      </c>
      <c r="BX2" s="134">
        <f t="shared" si="3"/>
        <v>7</v>
      </c>
      <c r="BY2" s="134">
        <f t="shared" si="3"/>
        <v>7</v>
      </c>
      <c r="BZ2" s="134">
        <f t="shared" si="3"/>
        <v>7</v>
      </c>
      <c r="CA2" s="134">
        <f t="shared" si="3"/>
        <v>7</v>
      </c>
      <c r="CB2" s="134">
        <f t="shared" si="3"/>
        <v>7</v>
      </c>
      <c r="CC2" s="134">
        <f t="shared" si="3"/>
        <v>7</v>
      </c>
      <c r="CD2" s="134">
        <f t="shared" si="3"/>
        <v>7</v>
      </c>
      <c r="CE2" s="134">
        <f t="shared" si="3"/>
        <v>7</v>
      </c>
      <c r="CF2" s="134">
        <f t="shared" si="3"/>
        <v>7</v>
      </c>
      <c r="CG2" s="134">
        <f t="shared" si="3"/>
        <v>7</v>
      </c>
      <c r="CH2" s="134">
        <f t="shared" si="3"/>
        <v>7</v>
      </c>
      <c r="CI2" s="134">
        <f t="shared" si="3"/>
        <v>7</v>
      </c>
      <c r="CJ2" s="134">
        <f t="shared" si="3"/>
        <v>8</v>
      </c>
      <c r="CK2" s="134">
        <f t="shared" si="3"/>
        <v>8</v>
      </c>
      <c r="CL2" s="134">
        <f t="shared" si="3"/>
        <v>8</v>
      </c>
      <c r="CM2" s="134">
        <f t="shared" si="3"/>
        <v>8</v>
      </c>
      <c r="CN2" s="134">
        <f t="shared" si="3"/>
        <v>8</v>
      </c>
      <c r="CO2" s="134">
        <f t="shared" si="3"/>
        <v>8</v>
      </c>
      <c r="CP2" s="134">
        <f t="shared" si="3"/>
        <v>8</v>
      </c>
      <c r="CQ2" s="134">
        <f t="shared" si="3"/>
        <v>8</v>
      </c>
      <c r="CR2" s="134">
        <f t="shared" si="3"/>
        <v>8</v>
      </c>
      <c r="CS2" s="134">
        <f t="shared" si="3"/>
        <v>8</v>
      </c>
      <c r="CT2" s="134">
        <f t="shared" si="3"/>
        <v>8</v>
      </c>
      <c r="CU2" s="134">
        <f t="shared" si="3"/>
        <v>8</v>
      </c>
      <c r="CV2" s="134">
        <f t="shared" si="3"/>
        <v>9</v>
      </c>
      <c r="CW2" s="134">
        <f t="shared" si="3"/>
        <v>9</v>
      </c>
      <c r="CX2" s="134">
        <f t="shared" si="3"/>
        <v>9</v>
      </c>
      <c r="CY2" s="134">
        <f t="shared" si="3"/>
        <v>9</v>
      </c>
      <c r="CZ2" s="134">
        <f t="shared" si="3"/>
        <v>9</v>
      </c>
      <c r="DA2" s="134">
        <f t="shared" si="3"/>
        <v>9</v>
      </c>
      <c r="DB2" s="134">
        <f t="shared" si="3"/>
        <v>9</v>
      </c>
      <c r="DC2" s="134">
        <f t="shared" si="3"/>
        <v>9</v>
      </c>
      <c r="DD2" s="134">
        <f t="shared" si="3"/>
        <v>9</v>
      </c>
      <c r="DE2" s="134">
        <f t="shared" si="3"/>
        <v>9</v>
      </c>
      <c r="DF2" s="134">
        <f t="shared" si="3"/>
        <v>9</v>
      </c>
      <c r="DG2" s="134">
        <f t="shared" si="3"/>
        <v>9</v>
      </c>
      <c r="DH2" s="134">
        <f t="shared" si="3"/>
        <v>10</v>
      </c>
      <c r="DI2" s="134">
        <f t="shared" si="3"/>
        <v>10</v>
      </c>
      <c r="DJ2" s="134">
        <f t="shared" si="3"/>
        <v>10</v>
      </c>
      <c r="DK2" s="134">
        <f t="shared" si="3"/>
        <v>10</v>
      </c>
      <c r="DL2" s="134">
        <f t="shared" si="3"/>
        <v>10</v>
      </c>
      <c r="DM2" s="134">
        <f t="shared" si="3"/>
        <v>10</v>
      </c>
      <c r="DN2" s="134">
        <f t="shared" si="3"/>
        <v>10</v>
      </c>
      <c r="DO2" s="134">
        <f t="shared" si="3"/>
        <v>10</v>
      </c>
      <c r="DP2" s="134">
        <f t="shared" si="3"/>
        <v>10</v>
      </c>
      <c r="DQ2" s="134">
        <f t="shared" si="3"/>
        <v>10</v>
      </c>
      <c r="DR2" s="134">
        <f t="shared" si="3"/>
        <v>10</v>
      </c>
      <c r="DS2" s="134">
        <f t="shared" si="3"/>
        <v>10</v>
      </c>
      <c r="DT2" s="134">
        <f t="shared" si="3"/>
        <v>11</v>
      </c>
      <c r="DU2" s="134">
        <f t="shared" si="3"/>
        <v>11</v>
      </c>
      <c r="DV2" s="134">
        <f t="shared" si="3"/>
        <v>11</v>
      </c>
      <c r="DW2" s="134">
        <f t="shared" si="3"/>
        <v>11</v>
      </c>
      <c r="DX2" s="134">
        <f t="shared" si="3"/>
        <v>11</v>
      </c>
      <c r="DY2" s="134">
        <f t="shared" si="3"/>
        <v>11</v>
      </c>
      <c r="DZ2" s="134">
        <f t="shared" si="3"/>
        <v>11</v>
      </c>
      <c r="EA2" s="134">
        <f t="shared" si="3"/>
        <v>11</v>
      </c>
      <c r="EB2" s="134">
        <f t="shared" si="3"/>
        <v>11</v>
      </c>
      <c r="EC2" s="134">
        <f>ROUNDUP(EC1/12,0)</f>
        <v>11</v>
      </c>
      <c r="ED2" s="134">
        <f>ROUNDUP(ED1/12,0)</f>
        <v>11</v>
      </c>
      <c r="EE2" s="137">
        <f>ROUNDUP(EE1/12,0)</f>
        <v>11</v>
      </c>
    </row>
    <row r="3" spans="1:135" x14ac:dyDescent="0.25">
      <c r="B3" s="130" t="s">
        <v>148</v>
      </c>
      <c r="C3" s="138">
        <f>Resumen!B26</f>
        <v>44227</v>
      </c>
      <c r="D3" s="138">
        <f>EOMONTH(C3,1)</f>
        <v>44255</v>
      </c>
      <c r="E3" s="138">
        <f t="shared" ref="E3:BP3" si="4">EOMONTH(D3,1)</f>
        <v>44286</v>
      </c>
      <c r="F3" s="138">
        <f t="shared" si="4"/>
        <v>44316</v>
      </c>
      <c r="G3" s="138">
        <f t="shared" si="4"/>
        <v>44347</v>
      </c>
      <c r="H3" s="138">
        <f t="shared" si="4"/>
        <v>44377</v>
      </c>
      <c r="I3" s="138">
        <f t="shared" si="4"/>
        <v>44408</v>
      </c>
      <c r="J3" s="138">
        <f t="shared" si="4"/>
        <v>44439</v>
      </c>
      <c r="K3" s="138">
        <f t="shared" si="4"/>
        <v>44469</v>
      </c>
      <c r="L3" s="138">
        <f t="shared" si="4"/>
        <v>44500</v>
      </c>
      <c r="M3" s="138">
        <f t="shared" si="4"/>
        <v>44530</v>
      </c>
      <c r="N3" s="138">
        <f t="shared" si="4"/>
        <v>44561</v>
      </c>
      <c r="O3" s="138">
        <f t="shared" si="4"/>
        <v>44592</v>
      </c>
      <c r="P3" s="138">
        <f t="shared" si="4"/>
        <v>44620</v>
      </c>
      <c r="Q3" s="138">
        <f t="shared" si="4"/>
        <v>44651</v>
      </c>
      <c r="R3" s="138">
        <f t="shared" si="4"/>
        <v>44681</v>
      </c>
      <c r="S3" s="138">
        <f t="shared" si="4"/>
        <v>44712</v>
      </c>
      <c r="T3" s="138">
        <f t="shared" si="4"/>
        <v>44742</v>
      </c>
      <c r="U3" s="138">
        <f t="shared" si="4"/>
        <v>44773</v>
      </c>
      <c r="V3" s="138">
        <f t="shared" si="4"/>
        <v>44804</v>
      </c>
      <c r="W3" s="138">
        <f t="shared" si="4"/>
        <v>44834</v>
      </c>
      <c r="X3" s="138">
        <f t="shared" si="4"/>
        <v>44865</v>
      </c>
      <c r="Y3" s="138">
        <f t="shared" si="4"/>
        <v>44895</v>
      </c>
      <c r="Z3" s="138">
        <f t="shared" si="4"/>
        <v>44926</v>
      </c>
      <c r="AA3" s="138">
        <f t="shared" si="4"/>
        <v>44957</v>
      </c>
      <c r="AB3" s="138">
        <f t="shared" si="4"/>
        <v>44985</v>
      </c>
      <c r="AC3" s="138">
        <f t="shared" si="4"/>
        <v>45016</v>
      </c>
      <c r="AD3" s="138">
        <f t="shared" si="4"/>
        <v>45046</v>
      </c>
      <c r="AE3" s="138">
        <f t="shared" si="4"/>
        <v>45077</v>
      </c>
      <c r="AF3" s="138">
        <f t="shared" si="4"/>
        <v>45107</v>
      </c>
      <c r="AG3" s="138">
        <f t="shared" si="4"/>
        <v>45138</v>
      </c>
      <c r="AH3" s="138">
        <f t="shared" si="4"/>
        <v>45169</v>
      </c>
      <c r="AI3" s="138">
        <f t="shared" si="4"/>
        <v>45199</v>
      </c>
      <c r="AJ3" s="138">
        <f t="shared" si="4"/>
        <v>45230</v>
      </c>
      <c r="AK3" s="138">
        <f t="shared" si="4"/>
        <v>45260</v>
      </c>
      <c r="AL3" s="138">
        <f t="shared" si="4"/>
        <v>45291</v>
      </c>
      <c r="AM3" s="138">
        <f t="shared" si="4"/>
        <v>45322</v>
      </c>
      <c r="AN3" s="138">
        <f t="shared" si="4"/>
        <v>45351</v>
      </c>
      <c r="AO3" s="138">
        <f t="shared" si="4"/>
        <v>45382</v>
      </c>
      <c r="AP3" s="138">
        <f t="shared" si="4"/>
        <v>45412</v>
      </c>
      <c r="AQ3" s="138">
        <f t="shared" si="4"/>
        <v>45443</v>
      </c>
      <c r="AR3" s="138">
        <f t="shared" si="4"/>
        <v>45473</v>
      </c>
      <c r="AS3" s="138">
        <f t="shared" si="4"/>
        <v>45504</v>
      </c>
      <c r="AT3" s="138">
        <f t="shared" si="4"/>
        <v>45535</v>
      </c>
      <c r="AU3" s="138">
        <f t="shared" si="4"/>
        <v>45565</v>
      </c>
      <c r="AV3" s="138">
        <f t="shared" si="4"/>
        <v>45596</v>
      </c>
      <c r="AW3" s="138">
        <f t="shared" si="4"/>
        <v>45626</v>
      </c>
      <c r="AX3" s="138">
        <f t="shared" si="4"/>
        <v>45657</v>
      </c>
      <c r="AY3" s="138">
        <f t="shared" si="4"/>
        <v>45688</v>
      </c>
      <c r="AZ3" s="138">
        <f t="shared" si="4"/>
        <v>45716</v>
      </c>
      <c r="BA3" s="138">
        <f t="shared" si="4"/>
        <v>45747</v>
      </c>
      <c r="BB3" s="138">
        <f t="shared" si="4"/>
        <v>45777</v>
      </c>
      <c r="BC3" s="138">
        <f t="shared" si="4"/>
        <v>45808</v>
      </c>
      <c r="BD3" s="138">
        <f t="shared" si="4"/>
        <v>45838</v>
      </c>
      <c r="BE3" s="138">
        <f t="shared" si="4"/>
        <v>45869</v>
      </c>
      <c r="BF3" s="138">
        <f t="shared" si="4"/>
        <v>45900</v>
      </c>
      <c r="BG3" s="138">
        <f t="shared" si="4"/>
        <v>45930</v>
      </c>
      <c r="BH3" s="138">
        <f t="shared" si="4"/>
        <v>45961</v>
      </c>
      <c r="BI3" s="138">
        <f t="shared" si="4"/>
        <v>45991</v>
      </c>
      <c r="BJ3" s="138">
        <f t="shared" si="4"/>
        <v>46022</v>
      </c>
      <c r="BK3" s="138">
        <f t="shared" si="4"/>
        <v>46053</v>
      </c>
      <c r="BL3" s="138">
        <f t="shared" si="4"/>
        <v>46081</v>
      </c>
      <c r="BM3" s="138">
        <f t="shared" si="4"/>
        <v>46112</v>
      </c>
      <c r="BN3" s="138">
        <f t="shared" si="4"/>
        <v>46142</v>
      </c>
      <c r="BO3" s="138">
        <f t="shared" si="4"/>
        <v>46173</v>
      </c>
      <c r="BP3" s="138">
        <f t="shared" si="4"/>
        <v>46203</v>
      </c>
      <c r="BQ3" s="138">
        <f t="shared" ref="BQ3:EB3" si="5">EOMONTH(BP3,1)</f>
        <v>46234</v>
      </c>
      <c r="BR3" s="138">
        <f t="shared" si="5"/>
        <v>46265</v>
      </c>
      <c r="BS3" s="138">
        <f t="shared" si="5"/>
        <v>46295</v>
      </c>
      <c r="BT3" s="138">
        <f t="shared" si="5"/>
        <v>46326</v>
      </c>
      <c r="BU3" s="138">
        <f t="shared" si="5"/>
        <v>46356</v>
      </c>
      <c r="BV3" s="138">
        <f t="shared" si="5"/>
        <v>46387</v>
      </c>
      <c r="BW3" s="138">
        <f t="shared" si="5"/>
        <v>46418</v>
      </c>
      <c r="BX3" s="138">
        <f t="shared" si="5"/>
        <v>46446</v>
      </c>
      <c r="BY3" s="138">
        <f t="shared" si="5"/>
        <v>46477</v>
      </c>
      <c r="BZ3" s="138">
        <f t="shared" si="5"/>
        <v>46507</v>
      </c>
      <c r="CA3" s="138">
        <f t="shared" si="5"/>
        <v>46538</v>
      </c>
      <c r="CB3" s="138">
        <f t="shared" si="5"/>
        <v>46568</v>
      </c>
      <c r="CC3" s="138">
        <f t="shared" si="5"/>
        <v>46599</v>
      </c>
      <c r="CD3" s="138">
        <f t="shared" si="5"/>
        <v>46630</v>
      </c>
      <c r="CE3" s="138">
        <f t="shared" si="5"/>
        <v>46660</v>
      </c>
      <c r="CF3" s="138">
        <f t="shared" si="5"/>
        <v>46691</v>
      </c>
      <c r="CG3" s="138">
        <f t="shared" si="5"/>
        <v>46721</v>
      </c>
      <c r="CH3" s="138">
        <f t="shared" si="5"/>
        <v>46752</v>
      </c>
      <c r="CI3" s="138">
        <f t="shared" si="5"/>
        <v>46783</v>
      </c>
      <c r="CJ3" s="138">
        <f t="shared" si="5"/>
        <v>46812</v>
      </c>
      <c r="CK3" s="138">
        <f t="shared" si="5"/>
        <v>46843</v>
      </c>
      <c r="CL3" s="138">
        <f t="shared" si="5"/>
        <v>46873</v>
      </c>
      <c r="CM3" s="138">
        <f t="shared" si="5"/>
        <v>46904</v>
      </c>
      <c r="CN3" s="138">
        <f t="shared" si="5"/>
        <v>46934</v>
      </c>
      <c r="CO3" s="138">
        <f t="shared" si="5"/>
        <v>46965</v>
      </c>
      <c r="CP3" s="138">
        <f t="shared" si="5"/>
        <v>46996</v>
      </c>
      <c r="CQ3" s="138">
        <f t="shared" si="5"/>
        <v>47026</v>
      </c>
      <c r="CR3" s="138">
        <f t="shared" si="5"/>
        <v>47057</v>
      </c>
      <c r="CS3" s="138">
        <f t="shared" si="5"/>
        <v>47087</v>
      </c>
      <c r="CT3" s="138">
        <f t="shared" si="5"/>
        <v>47118</v>
      </c>
      <c r="CU3" s="138">
        <f t="shared" si="5"/>
        <v>47149</v>
      </c>
      <c r="CV3" s="138">
        <f t="shared" si="5"/>
        <v>47177</v>
      </c>
      <c r="CW3" s="138">
        <f t="shared" si="5"/>
        <v>47208</v>
      </c>
      <c r="CX3" s="138">
        <f t="shared" si="5"/>
        <v>47238</v>
      </c>
      <c r="CY3" s="138">
        <f t="shared" si="5"/>
        <v>47269</v>
      </c>
      <c r="CZ3" s="138">
        <f t="shared" si="5"/>
        <v>47299</v>
      </c>
      <c r="DA3" s="138">
        <f t="shared" si="5"/>
        <v>47330</v>
      </c>
      <c r="DB3" s="138">
        <f t="shared" si="5"/>
        <v>47361</v>
      </c>
      <c r="DC3" s="138">
        <f t="shared" si="5"/>
        <v>47391</v>
      </c>
      <c r="DD3" s="138">
        <f t="shared" si="5"/>
        <v>47422</v>
      </c>
      <c r="DE3" s="138">
        <f t="shared" si="5"/>
        <v>47452</v>
      </c>
      <c r="DF3" s="138">
        <f t="shared" si="5"/>
        <v>47483</v>
      </c>
      <c r="DG3" s="138">
        <f t="shared" si="5"/>
        <v>47514</v>
      </c>
      <c r="DH3" s="138">
        <f t="shared" si="5"/>
        <v>47542</v>
      </c>
      <c r="DI3" s="138">
        <f t="shared" si="5"/>
        <v>47573</v>
      </c>
      <c r="DJ3" s="138">
        <f t="shared" si="5"/>
        <v>47603</v>
      </c>
      <c r="DK3" s="138">
        <f t="shared" si="5"/>
        <v>47634</v>
      </c>
      <c r="DL3" s="138">
        <f t="shared" si="5"/>
        <v>47664</v>
      </c>
      <c r="DM3" s="138">
        <f t="shared" si="5"/>
        <v>47695</v>
      </c>
      <c r="DN3" s="138">
        <f t="shared" si="5"/>
        <v>47726</v>
      </c>
      <c r="DO3" s="138">
        <f t="shared" si="5"/>
        <v>47756</v>
      </c>
      <c r="DP3" s="138">
        <f t="shared" si="5"/>
        <v>47787</v>
      </c>
      <c r="DQ3" s="138">
        <f t="shared" si="5"/>
        <v>47817</v>
      </c>
      <c r="DR3" s="138">
        <f t="shared" si="5"/>
        <v>47848</v>
      </c>
      <c r="DS3" s="138">
        <f t="shared" si="5"/>
        <v>47879</v>
      </c>
      <c r="DT3" s="138">
        <f t="shared" si="5"/>
        <v>47907</v>
      </c>
      <c r="DU3" s="138">
        <f t="shared" si="5"/>
        <v>47938</v>
      </c>
      <c r="DV3" s="138">
        <f t="shared" si="5"/>
        <v>47968</v>
      </c>
      <c r="DW3" s="138">
        <f t="shared" si="5"/>
        <v>47999</v>
      </c>
      <c r="DX3" s="138">
        <f t="shared" si="5"/>
        <v>48029</v>
      </c>
      <c r="DY3" s="138">
        <f t="shared" si="5"/>
        <v>48060</v>
      </c>
      <c r="DZ3" s="138">
        <f t="shared" si="5"/>
        <v>48091</v>
      </c>
      <c r="EA3" s="138">
        <f t="shared" si="5"/>
        <v>48121</v>
      </c>
      <c r="EB3" s="138">
        <f t="shared" si="5"/>
        <v>48152</v>
      </c>
      <c r="EC3" s="138">
        <f>EOMONTH(EB3,1)</f>
        <v>48182</v>
      </c>
      <c r="ED3" s="138">
        <f>EOMONTH(EC3,1)</f>
        <v>48213</v>
      </c>
      <c r="EE3" s="139">
        <f>EOMONTH(ED3,1)</f>
        <v>48244</v>
      </c>
    </row>
    <row r="4" spans="1:135" x14ac:dyDescent="0.25">
      <c r="B4" s="4"/>
      <c r="C4" s="141"/>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3"/>
    </row>
    <row r="5" spans="1:135" x14ac:dyDescent="0.25">
      <c r="B5" s="140" t="s">
        <v>167</v>
      </c>
      <c r="C5" s="144"/>
      <c r="D5" s="145"/>
      <c r="E5" s="145"/>
      <c r="F5" s="145"/>
      <c r="G5" s="145"/>
      <c r="H5" s="145"/>
      <c r="I5" s="145"/>
      <c r="J5" s="145"/>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c r="AT5" s="145"/>
      <c r="AU5" s="145"/>
      <c r="AV5" s="145"/>
      <c r="AW5" s="145"/>
      <c r="AX5" s="145"/>
      <c r="AY5" s="145"/>
      <c r="AZ5" s="145"/>
      <c r="BA5" s="145"/>
      <c r="BB5" s="145"/>
      <c r="BC5" s="145"/>
      <c r="BD5" s="145"/>
      <c r="BE5" s="145"/>
      <c r="BF5" s="145"/>
      <c r="BG5" s="145"/>
      <c r="BH5" s="145"/>
      <c r="BI5" s="145"/>
      <c r="BJ5" s="145"/>
      <c r="BK5" s="145"/>
      <c r="BL5" s="145"/>
      <c r="BM5" s="145"/>
      <c r="BN5" s="145"/>
      <c r="BO5" s="145"/>
      <c r="BP5" s="145"/>
      <c r="BQ5" s="145"/>
      <c r="BR5" s="145"/>
      <c r="BS5" s="145"/>
      <c r="BT5" s="145"/>
      <c r="BU5" s="145"/>
      <c r="BV5" s="145"/>
      <c r="BW5" s="145"/>
      <c r="BX5" s="145"/>
      <c r="BY5" s="145"/>
      <c r="BZ5" s="145"/>
      <c r="CA5" s="145"/>
      <c r="CB5" s="145"/>
      <c r="CC5" s="145"/>
      <c r="CD5" s="145"/>
      <c r="CE5" s="145"/>
      <c r="CF5" s="145"/>
      <c r="CG5" s="145"/>
      <c r="CH5" s="145"/>
      <c r="CI5" s="145"/>
      <c r="CJ5" s="145"/>
      <c r="CK5" s="145"/>
      <c r="CL5" s="145"/>
      <c r="CM5" s="145"/>
      <c r="CN5" s="145"/>
      <c r="CO5" s="145"/>
      <c r="CP5" s="145"/>
      <c r="CQ5" s="145"/>
      <c r="CR5" s="145"/>
      <c r="CS5" s="145"/>
      <c r="CT5" s="145"/>
      <c r="CU5" s="145"/>
      <c r="CV5" s="145"/>
      <c r="CW5" s="145"/>
      <c r="CX5" s="145"/>
      <c r="CY5" s="145"/>
      <c r="CZ5" s="145"/>
      <c r="DA5" s="145"/>
      <c r="DB5" s="145"/>
      <c r="DC5" s="145"/>
      <c r="DD5" s="145"/>
      <c r="DE5" s="145"/>
      <c r="DF5" s="145"/>
      <c r="DG5" s="145"/>
      <c r="DH5" s="145"/>
      <c r="DI5" s="145"/>
      <c r="DJ5" s="145"/>
      <c r="DK5" s="145"/>
      <c r="DL5" s="145"/>
      <c r="DM5" s="145"/>
      <c r="DN5" s="145"/>
      <c r="DO5" s="145"/>
      <c r="DP5" s="145"/>
      <c r="DQ5" s="145"/>
      <c r="DR5" s="145"/>
      <c r="DS5" s="145"/>
      <c r="DT5" s="145"/>
      <c r="DU5" s="145"/>
      <c r="DV5" s="145"/>
      <c r="DW5" s="145"/>
      <c r="DX5" s="145"/>
      <c r="DY5" s="145"/>
      <c r="DZ5" s="145"/>
      <c r="EA5" s="145"/>
      <c r="EB5" s="145"/>
      <c r="EC5" s="145"/>
      <c r="ED5" s="145"/>
      <c r="EE5" s="146"/>
    </row>
    <row r="6" spans="1:135" x14ac:dyDescent="0.25">
      <c r="A6" s="152">
        <f>SUMIF($C$1:$EE$1,"&lt;="&amp;Resumen!$K$19,'Flujo de caja mensual'!C6:EE6)</f>
        <v>158576661017.30923</v>
      </c>
      <c r="B6" s="5" t="s">
        <v>166</v>
      </c>
      <c r="C6" s="144"/>
      <c r="D6" s="145">
        <f>Ingresos!AF5</f>
        <v>999377224.99999988</v>
      </c>
      <c r="E6" s="145">
        <f>Ingresos!AG5</f>
        <v>1003448811.5212089</v>
      </c>
      <c r="F6" s="145">
        <f>Ingresos!AH5</f>
        <v>1007536986.1899011</v>
      </c>
      <c r="G6" s="145">
        <f>Ingresos!AI5</f>
        <v>1011641816.5882428</v>
      </c>
      <c r="H6" s="145">
        <f>Ingresos!AJ5</f>
        <v>1015763370.5737381</v>
      </c>
      <c r="I6" s="145">
        <f>Ingresos!AK5</f>
        <v>1019901716.2803514</v>
      </c>
      <c r="J6" s="145">
        <f>Ingresos!AL5</f>
        <v>1024056922.119633</v>
      </c>
      <c r="K6" s="145">
        <f>Ingresos!AM5</f>
        <v>1028229056.7818503</v>
      </c>
      <c r="L6" s="145">
        <f>Ingresos!AN5</f>
        <v>1032418189.2371236</v>
      </c>
      <c r="M6" s="145">
        <f>Ingresos!AO5</f>
        <v>1036624388.7365657</v>
      </c>
      <c r="N6" s="145">
        <f>Ingresos!AP5</f>
        <v>1040847724.8134273</v>
      </c>
      <c r="O6" s="145">
        <f>Ingresos!AQ5</f>
        <v>1058151870.625299</v>
      </c>
      <c r="P6" s="145">
        <f>Ingresos!AR5</f>
        <v>1075579738.4062505</v>
      </c>
      <c r="Q6" s="145">
        <f>Ingresos!AS5</f>
        <v>1092260673.7382712</v>
      </c>
      <c r="R6" s="145">
        <f>Ingresos!AT5</f>
        <v>1109039299.7651474</v>
      </c>
      <c r="S6" s="145">
        <f>Ingresos!AU5</f>
        <v>1125916077.3389153</v>
      </c>
      <c r="T6" s="145">
        <f>Ingresos!AV5</f>
        <v>1142891469.2820432</v>
      </c>
      <c r="U6" s="145">
        <f>Ingresos!AW5</f>
        <v>1159965940.3953929</v>
      </c>
      <c r="V6" s="145">
        <f>Ingresos!AX5</f>
        <v>1177139957.4662135</v>
      </c>
      <c r="W6" s="145">
        <f>Ingresos!AY5</f>
        <v>1180993607.3741865</v>
      </c>
      <c r="X6" s="145">
        <f>Ingresos!AZ5</f>
        <v>1184859873.1291699</v>
      </c>
      <c r="Y6" s="145">
        <f>Ingresos!BA5</f>
        <v>1188738796.0321641</v>
      </c>
      <c r="Z6" s="145">
        <f>Ingresos!BB5</f>
        <v>1192630417.5193779</v>
      </c>
      <c r="AA6" s="145">
        <f>Ingresos!BC5</f>
        <v>1196534779.1626716</v>
      </c>
      <c r="AB6" s="145">
        <f>Ingresos!BD5</f>
        <v>1200451922.670001</v>
      </c>
      <c r="AC6" s="145">
        <f>Ingresos!BE5</f>
        <v>1203898298.5571074</v>
      </c>
      <c r="AD6" s="145">
        <f>Ingresos!BF5</f>
        <v>1207354568.6403337</v>
      </c>
      <c r="AE6" s="145">
        <f>Ingresos!BG5</f>
        <v>1210820761.3249145</v>
      </c>
      <c r="AF6" s="145">
        <f>Ingresos!BH5</f>
        <v>1214296905.0976336</v>
      </c>
      <c r="AG6" s="145">
        <f>Ingresos!BI5</f>
        <v>1217783028.5270572</v>
      </c>
      <c r="AH6" s="145">
        <f>Ingresos!BJ5</f>
        <v>1221279160.2637687</v>
      </c>
      <c r="AI6" s="145">
        <f>Ingresos!BK5</f>
        <v>1224785329.0406048</v>
      </c>
      <c r="AJ6" s="145">
        <f>Ingresos!BL5</f>
        <v>1228301563.6728914</v>
      </c>
      <c r="AK6" s="145">
        <f>Ingresos!BM5</f>
        <v>1231827893.0586798</v>
      </c>
      <c r="AL6" s="145">
        <f>Ingresos!BN5</f>
        <v>1235364346.1789849</v>
      </c>
      <c r="AM6" s="145">
        <f>Ingresos!BO5</f>
        <v>1238910952.0980232</v>
      </c>
      <c r="AN6" s="145">
        <f>Ingresos!BP5</f>
        <v>1242467739.9634514</v>
      </c>
      <c r="AO6" s="145">
        <f>Ingresos!BQ5</f>
        <v>1246034739.0066066</v>
      </c>
      <c r="AP6" s="145">
        <f>Ingresos!BR5</f>
        <v>1249611978.5427456</v>
      </c>
      <c r="AQ6" s="145">
        <f>Ingresos!BS5</f>
        <v>1253199487.9712868</v>
      </c>
      <c r="AR6" s="145">
        <f>Ingresos!BT5</f>
        <v>1256797296.776051</v>
      </c>
      <c r="AS6" s="145">
        <f>Ingresos!BU5</f>
        <v>1260405434.5255044</v>
      </c>
      <c r="AT6" s="145">
        <f>Ingresos!BV5</f>
        <v>1264023930.8730009</v>
      </c>
      <c r="AU6" s="145">
        <f>Ingresos!BW5</f>
        <v>1267652815.5570264</v>
      </c>
      <c r="AV6" s="145">
        <f>Ingresos!BX5</f>
        <v>1271292118.401443</v>
      </c>
      <c r="AW6" s="145">
        <f>Ingresos!BY5</f>
        <v>1274941869.3157339</v>
      </c>
      <c r="AX6" s="145">
        <f>Ingresos!BZ5</f>
        <v>1278602098.2952497</v>
      </c>
      <c r="AY6" s="145">
        <f>Ingresos!CA5</f>
        <v>1282272835.4214542</v>
      </c>
      <c r="AZ6" s="145">
        <f>Ingresos!CB5</f>
        <v>1285954110.8621724</v>
      </c>
      <c r="BA6" s="145">
        <f>Ingresos!CC5</f>
        <v>1289645954.8718379</v>
      </c>
      <c r="BB6" s="145">
        <f>Ingresos!CD5</f>
        <v>1293348397.7917418</v>
      </c>
      <c r="BC6" s="145">
        <f>Ingresos!CE5</f>
        <v>1297061470.050282</v>
      </c>
      <c r="BD6" s="145">
        <f>Ingresos!CF5</f>
        <v>1300785202.163213</v>
      </c>
      <c r="BE6" s="145">
        <f>Ingresos!CG5</f>
        <v>1304519624.7338972</v>
      </c>
      <c r="BF6" s="145">
        <f>Ingresos!CH5</f>
        <v>1308264768.4535561</v>
      </c>
      <c r="BG6" s="145">
        <f>Ingresos!CI5</f>
        <v>1312020664.1015224</v>
      </c>
      <c r="BH6" s="145">
        <f>Ingresos!CJ5</f>
        <v>1315787342.5454936</v>
      </c>
      <c r="BI6" s="145">
        <f>Ingresos!CK5</f>
        <v>1319564834.7417848</v>
      </c>
      <c r="BJ6" s="145">
        <f>Ingresos!CL5</f>
        <v>1323353171.7355835</v>
      </c>
      <c r="BK6" s="145">
        <f>Ingresos!CM5</f>
        <v>1327152384.6612053</v>
      </c>
      <c r="BL6" s="145">
        <f>Ingresos!CN5</f>
        <v>1330962504.7423487</v>
      </c>
      <c r="BM6" s="145">
        <f>Ingresos!CO5</f>
        <v>1334783563.2923524</v>
      </c>
      <c r="BN6" s="145">
        <f>Ingresos!CP5</f>
        <v>1338615591.714453</v>
      </c>
      <c r="BO6" s="145">
        <f>Ingresos!CQ5</f>
        <v>1342458621.5020421</v>
      </c>
      <c r="BP6" s="145">
        <f>Ingresos!CR5</f>
        <v>1346312684.2389257</v>
      </c>
      <c r="BQ6" s="145">
        <f>Ingresos!CS5</f>
        <v>1350177811.5995839</v>
      </c>
      <c r="BR6" s="145">
        <f>Ingresos!CT5</f>
        <v>1354054035.3494308</v>
      </c>
      <c r="BS6" s="145">
        <f>Ingresos!CU5</f>
        <v>1357941387.3450761</v>
      </c>
      <c r="BT6" s="145">
        <f>Ingresos!CV5</f>
        <v>1361839899.5345862</v>
      </c>
      <c r="BU6" s="145">
        <f>Ingresos!CW5</f>
        <v>1365749603.9577475</v>
      </c>
      <c r="BV6" s="145">
        <f>Ingresos!CX5</f>
        <v>1369670532.7463291</v>
      </c>
      <c r="BW6" s="145">
        <f>Ingresos!CY5</f>
        <v>1373602718.1243474</v>
      </c>
      <c r="BX6" s="145">
        <f>Ingresos!CZ5</f>
        <v>1377546192.4083309</v>
      </c>
      <c r="BY6" s="145">
        <f>Ingresos!DA5</f>
        <v>1381500988.0075848</v>
      </c>
      <c r="BZ6" s="145">
        <f>Ingresos!DB5</f>
        <v>1385467137.424459</v>
      </c>
      <c r="CA6" s="145">
        <f>Ingresos!DC5</f>
        <v>1389444673.2546136</v>
      </c>
      <c r="CB6" s="145">
        <f>Ingresos!DD5</f>
        <v>1393433628.1872883</v>
      </c>
      <c r="CC6" s="145">
        <f>Ingresos!DE5</f>
        <v>1397434035.0055695</v>
      </c>
      <c r="CD6" s="145">
        <f>Ingresos!DF5</f>
        <v>1401445926.5866611</v>
      </c>
      <c r="CE6" s="145">
        <f>Ingresos!DG5</f>
        <v>1405469335.902154</v>
      </c>
      <c r="CF6" s="145">
        <f>Ingresos!DH5</f>
        <v>1409504296.018297</v>
      </c>
      <c r="CG6" s="145">
        <f>Ingresos!DI5</f>
        <v>1413550840.0962689</v>
      </c>
      <c r="CH6" s="145">
        <f>Ingresos!DJ5</f>
        <v>1417609001.392451</v>
      </c>
      <c r="CI6" s="145">
        <f>Ingresos!DK5</f>
        <v>1421678813.2587001</v>
      </c>
      <c r="CJ6" s="145">
        <f>Ingresos!DL5</f>
        <v>1425760309.1426229</v>
      </c>
      <c r="CK6" s="145">
        <f>Ingresos!DM5</f>
        <v>1429853522.5878508</v>
      </c>
      <c r="CL6" s="145">
        <f>Ingresos!DN5</f>
        <v>1433958487.2343154</v>
      </c>
      <c r="CM6" s="145">
        <f>Ingresos!DO5</f>
        <v>1438075236.8185256</v>
      </c>
      <c r="CN6" s="145">
        <f>Ingresos!DP5</f>
        <v>1442203805.1738436</v>
      </c>
      <c r="CO6" s="145">
        <f>Ingresos!DQ5</f>
        <v>1446344226.2307646</v>
      </c>
      <c r="CP6" s="145">
        <f>Ingresos!DR5</f>
        <v>1450496534.0171945</v>
      </c>
      <c r="CQ6" s="145">
        <f>Ingresos!DS5</f>
        <v>1454660762.6587296</v>
      </c>
      <c r="CR6" s="145">
        <f>Ingresos!DT5</f>
        <v>1458836946.3789375</v>
      </c>
      <c r="CS6" s="145">
        <f>Ingresos!DU5</f>
        <v>1463025119.4996386</v>
      </c>
      <c r="CT6" s="145">
        <f>Ingresos!DV5</f>
        <v>1467225316.4411869</v>
      </c>
      <c r="CU6" s="145">
        <f>Ingresos!DW5</f>
        <v>1471437571.7227547</v>
      </c>
      <c r="CV6" s="145">
        <f>Ingresos!DX5</f>
        <v>1475661919.9626148</v>
      </c>
      <c r="CW6" s="145">
        <f>Ingresos!DY5</f>
        <v>1479898395.8784256</v>
      </c>
      <c r="CX6" s="145">
        <f>Ingresos!DZ5</f>
        <v>1484147034.2875166</v>
      </c>
      <c r="CY6" s="145">
        <f>Ingresos!EA5</f>
        <v>1488407870.1071739</v>
      </c>
      <c r="CZ6" s="145">
        <f>Ingresos!EB5</f>
        <v>1492680938.3549283</v>
      </c>
      <c r="DA6" s="145">
        <f>Ingresos!EC5</f>
        <v>1496966274.1488416</v>
      </c>
      <c r="DB6" s="145">
        <f>Ingresos!ED5</f>
        <v>1501263912.7077966</v>
      </c>
      <c r="DC6" s="145">
        <f>Ingresos!EE5</f>
        <v>1505573889.3517854</v>
      </c>
      <c r="DD6" s="145">
        <f>Ingresos!EF5</f>
        <v>1509896239.5022006</v>
      </c>
      <c r="DE6" s="145">
        <f>Ingresos!EG5</f>
        <v>1514230998.682126</v>
      </c>
      <c r="DF6" s="145">
        <f>Ingresos!EH5</f>
        <v>1518578202.5166287</v>
      </c>
      <c r="DG6" s="145">
        <f>Ingresos!EI5</f>
        <v>1522937886.7330515</v>
      </c>
      <c r="DH6" s="145">
        <f>Ingresos!EJ5</f>
        <v>1527310087.1613069</v>
      </c>
      <c r="DI6" s="145">
        <f>Ingresos!EK5</f>
        <v>1531694839.7341712</v>
      </c>
      <c r="DJ6" s="145">
        <f>Ingresos!EL5</f>
        <v>1536092180.4875803</v>
      </c>
      <c r="DK6" s="145">
        <f>Ingresos!EM5</f>
        <v>1540502145.5609257</v>
      </c>
      <c r="DL6" s="145">
        <f>Ingresos!EN5</f>
        <v>1544924771.1973515</v>
      </c>
      <c r="DM6" s="145">
        <f>Ingresos!EO5</f>
        <v>1549360093.7440517</v>
      </c>
      <c r="DN6" s="145">
        <f>Ingresos!EP5</f>
        <v>1553808149.65257</v>
      </c>
      <c r="DO6" s="145">
        <f>Ingresos!EQ5</f>
        <v>1558268975.4790983</v>
      </c>
      <c r="DP6" s="145">
        <f>Ingresos!ER5</f>
        <v>1562742607.884778</v>
      </c>
      <c r="DQ6" s="145">
        <f>Ingresos!ES5</f>
        <v>1567229083.6360009</v>
      </c>
      <c r="DR6" s="145">
        <f>Ingresos!ET5</f>
        <v>1571728439.6047111</v>
      </c>
      <c r="DS6" s="145">
        <f>Ingresos!EU5</f>
        <v>1576240712.7687085</v>
      </c>
      <c r="DT6" s="145">
        <f>Ingresos!EV5</f>
        <v>1580765940.2119527</v>
      </c>
      <c r="DU6" s="145">
        <f>Ingresos!EW5</f>
        <v>1585304159.1248672</v>
      </c>
      <c r="DV6" s="145">
        <f>Ingresos!EX5</f>
        <v>1589855406.8046455</v>
      </c>
      <c r="DW6" s="145">
        <f>Ingresos!EY5</f>
        <v>1594419720.6555581</v>
      </c>
      <c r="DX6" s="145">
        <f>Ingresos!EZ5</f>
        <v>1598997138.1892586</v>
      </c>
      <c r="DY6" s="145">
        <f>Ingresos!FA5</f>
        <v>1603587697.0250933</v>
      </c>
      <c r="DZ6" s="145">
        <f>Ingresos!FB5</f>
        <v>1608191434.8904097</v>
      </c>
      <c r="EA6" s="145">
        <f>Ingresos!FC5</f>
        <v>1612808389.6208665</v>
      </c>
      <c r="EB6" s="145">
        <f>Ingresos!FD5</f>
        <v>1617438599.1607451</v>
      </c>
      <c r="EC6" s="145">
        <f>Ingresos!FE5</f>
        <v>1622082101.5632608</v>
      </c>
      <c r="ED6" s="145">
        <f>Ingresos!FF5</f>
        <v>1626738934.990876</v>
      </c>
      <c r="EE6" s="146">
        <f>Ingresos!FG5</f>
        <v>1631409137.7156134</v>
      </c>
    </row>
    <row r="7" spans="1:135" x14ac:dyDescent="0.25">
      <c r="A7" s="152">
        <f>SUMIF($C$1:$EE$1,"&lt;="&amp;Resumen!$K$19,'Flujo de caja mensual'!C7:EE7)</f>
        <v>-8611865707.9368858</v>
      </c>
      <c r="B7" s="5" t="s">
        <v>62</v>
      </c>
      <c r="C7" s="144"/>
      <c r="D7" s="145">
        <f>D$6*-HLOOKUP(D$2,Ingresos!$S$1:$AC$5,MATCH('Flujo de caja mensual'!$B7,Ingresos!$R$1:$R$5,0),0)</f>
        <v>-99937722.5</v>
      </c>
      <c r="E7" s="145">
        <f>E$6*-HLOOKUP(E$2,Ingresos!$S$1:$AC$5,MATCH('Flujo de caja mensual'!$B7,Ingresos!$R$1:$R$5,0),0)</f>
        <v>-100344881.15212089</v>
      </c>
      <c r="F7" s="145">
        <f>F$6*-HLOOKUP(F$2,Ingresos!$S$1:$AC$5,MATCH('Flujo de caja mensual'!$B7,Ingresos!$R$1:$R$5,0),0)</f>
        <v>-100753698.61899012</v>
      </c>
      <c r="G7" s="145">
        <f>G$6*-HLOOKUP(G$2,Ingresos!$S$1:$AC$5,MATCH('Flujo de caja mensual'!$B7,Ingresos!$R$1:$R$5,0),0)</f>
        <v>-101164181.65882428</v>
      </c>
      <c r="H7" s="145">
        <f>H$6*-HLOOKUP(H$2,Ingresos!$S$1:$AC$5,MATCH('Flujo de caja mensual'!$B7,Ingresos!$R$1:$R$5,0),0)</f>
        <v>-101576337.05737382</v>
      </c>
      <c r="I7" s="145">
        <f>I$6*-HLOOKUP(I$2,Ingresos!$S$1:$AC$5,MATCH('Flujo de caja mensual'!$B7,Ingresos!$R$1:$R$5,0),0)</f>
        <v>-101990171.62803514</v>
      </c>
      <c r="J7" s="145">
        <f>J$6*-HLOOKUP(J$2,Ingresos!$S$1:$AC$5,MATCH('Flujo de caja mensual'!$B7,Ingresos!$R$1:$R$5,0),0)</f>
        <v>-102405692.2119633</v>
      </c>
      <c r="K7" s="145">
        <f>K$6*-HLOOKUP(K$2,Ingresos!$S$1:$AC$5,MATCH('Flujo de caja mensual'!$B7,Ingresos!$R$1:$R$5,0),0)</f>
        <v>-102822905.67818505</v>
      </c>
      <c r="L7" s="145">
        <f>L$6*-HLOOKUP(L$2,Ingresos!$S$1:$AC$5,MATCH('Flujo de caja mensual'!$B7,Ingresos!$R$1:$R$5,0),0)</f>
        <v>-103241818.92371237</v>
      </c>
      <c r="M7" s="145">
        <f>M$6*-HLOOKUP(M$2,Ingresos!$S$1:$AC$5,MATCH('Flujo de caja mensual'!$B7,Ingresos!$R$1:$R$5,0),0)</f>
        <v>-103662438.87365657</v>
      </c>
      <c r="N7" s="145">
        <f>N$6*-HLOOKUP(N$2,Ingresos!$S$1:$AC$5,MATCH('Flujo de caja mensual'!$B7,Ingresos!$R$1:$R$5,0),0)</f>
        <v>-104084772.48134273</v>
      </c>
      <c r="O7" s="145">
        <f>O$6*-HLOOKUP(O$2,Ingresos!$S$1:$AC$5,MATCH('Flujo de caja mensual'!$B7,Ingresos!$R$1:$R$5,0),0)</f>
        <v>-105815187.06252991</v>
      </c>
      <c r="P7" s="145">
        <f>P$6*-HLOOKUP(P$2,Ingresos!$S$1:$AC$5,MATCH('Flujo de caja mensual'!$B7,Ingresos!$R$1:$R$5,0),0)</f>
        <v>-59156885.612343773</v>
      </c>
      <c r="Q7" s="145">
        <f>Q$6*-HLOOKUP(Q$2,Ingresos!$S$1:$AC$5,MATCH('Flujo de caja mensual'!$B7,Ingresos!$R$1:$R$5,0),0)</f>
        <v>-60074337.05560492</v>
      </c>
      <c r="R7" s="145">
        <f>R$6*-HLOOKUP(R$2,Ingresos!$S$1:$AC$5,MATCH('Flujo de caja mensual'!$B7,Ingresos!$R$1:$R$5,0),0)</f>
        <v>-60997161.487083107</v>
      </c>
      <c r="S7" s="145">
        <f>S$6*-HLOOKUP(S$2,Ingresos!$S$1:$AC$5,MATCH('Flujo de caja mensual'!$B7,Ingresos!$R$1:$R$5,0),0)</f>
        <v>-61925384.253640346</v>
      </c>
      <c r="T7" s="145">
        <f>T$6*-HLOOKUP(T$2,Ingresos!$S$1:$AC$5,MATCH('Flujo de caja mensual'!$B7,Ingresos!$R$1:$R$5,0),0)</f>
        <v>-62859030.810512379</v>
      </c>
      <c r="U7" s="145">
        <f>U$6*-HLOOKUP(U$2,Ingresos!$S$1:$AC$5,MATCH('Flujo de caja mensual'!$B7,Ingresos!$R$1:$R$5,0),0)</f>
        <v>-63798126.721746609</v>
      </c>
      <c r="V7" s="145">
        <f>V$6*-HLOOKUP(V$2,Ingresos!$S$1:$AC$5,MATCH('Flujo de caja mensual'!$B7,Ingresos!$R$1:$R$5,0),0)</f>
        <v>-64742697.660641737</v>
      </c>
      <c r="W7" s="145">
        <f>W$6*-HLOOKUP(W$2,Ingresos!$S$1:$AC$5,MATCH('Flujo de caja mensual'!$B7,Ingresos!$R$1:$R$5,0),0)</f>
        <v>-64954648.40558026</v>
      </c>
      <c r="X7" s="145">
        <f>X$6*-HLOOKUP(X$2,Ingresos!$S$1:$AC$5,MATCH('Flujo de caja mensual'!$B7,Ingresos!$R$1:$R$5,0),0)</f>
        <v>-65167293.022104345</v>
      </c>
      <c r="Y7" s="145">
        <f>Y$6*-HLOOKUP(Y$2,Ingresos!$S$1:$AC$5,MATCH('Flujo de caja mensual'!$B7,Ingresos!$R$1:$R$5,0),0)</f>
        <v>-65380633.781769022</v>
      </c>
      <c r="Z7" s="145">
        <f>Z$6*-HLOOKUP(Z$2,Ingresos!$S$1:$AC$5,MATCH('Flujo de caja mensual'!$B7,Ingresos!$R$1:$R$5,0),0)</f>
        <v>-65594672.963565789</v>
      </c>
      <c r="AA7" s="145">
        <f>AA$6*-HLOOKUP(AA$2,Ingresos!$S$1:$AC$5,MATCH('Flujo de caja mensual'!$B7,Ingresos!$R$1:$R$5,0),0)</f>
        <v>-65809412.853946939</v>
      </c>
      <c r="AB7" s="145">
        <f>AB$6*-HLOOKUP(AB$2,Ingresos!$S$1:$AC$5,MATCH('Flujo de caja mensual'!$B7,Ingresos!$R$1:$R$5,0),0)</f>
        <v>-60022596.133500054</v>
      </c>
      <c r="AC7" s="145">
        <f>AC$6*-HLOOKUP(AC$2,Ingresos!$S$1:$AC$5,MATCH('Flujo de caja mensual'!$B7,Ingresos!$R$1:$R$5,0),0)</f>
        <v>-60194914.927855372</v>
      </c>
      <c r="AD7" s="145">
        <f>AD$6*-HLOOKUP(AD$2,Ingresos!$S$1:$AC$5,MATCH('Flujo de caja mensual'!$B7,Ingresos!$R$1:$R$5,0),0)</f>
        <v>-60367728.432016686</v>
      </c>
      <c r="AE7" s="145">
        <f>AE$6*-HLOOKUP(AE$2,Ingresos!$S$1:$AC$5,MATCH('Flujo de caja mensual'!$B7,Ingresos!$R$1:$R$5,0),0)</f>
        <v>-60541038.066245727</v>
      </c>
      <c r="AF7" s="145">
        <f>AF$6*-HLOOKUP(AF$2,Ingresos!$S$1:$AC$5,MATCH('Flujo de caja mensual'!$B7,Ingresos!$R$1:$R$5,0),0)</f>
        <v>-60714845.25488168</v>
      </c>
      <c r="AG7" s="145">
        <f>AG$6*-HLOOKUP(AG$2,Ingresos!$S$1:$AC$5,MATCH('Flujo de caja mensual'!$B7,Ingresos!$R$1:$R$5,0),0)</f>
        <v>-60889151.426352859</v>
      </c>
      <c r="AH7" s="145">
        <f>AH$6*-HLOOKUP(AH$2,Ingresos!$S$1:$AC$5,MATCH('Flujo de caja mensual'!$B7,Ingresos!$R$1:$R$5,0),0)</f>
        <v>-61063958.013188437</v>
      </c>
      <c r="AI7" s="145">
        <f>AI$6*-HLOOKUP(AI$2,Ingresos!$S$1:$AC$5,MATCH('Flujo de caja mensual'!$B7,Ingresos!$R$1:$R$5,0),0)</f>
        <v>-61239266.452030241</v>
      </c>
      <c r="AJ7" s="145">
        <f>AJ$6*-HLOOKUP(AJ$2,Ingresos!$S$1:$AC$5,MATCH('Flujo de caja mensual'!$B7,Ingresos!$R$1:$R$5,0),0)</f>
        <v>-61415078.18364457</v>
      </c>
      <c r="AK7" s="145">
        <f>AK$6*-HLOOKUP(AK$2,Ingresos!$S$1:$AC$5,MATCH('Flujo de caja mensual'!$B7,Ingresos!$R$1:$R$5,0),0)</f>
        <v>-61591394.652933992</v>
      </c>
      <c r="AL7" s="145">
        <f>AL$6*-HLOOKUP(AL$2,Ingresos!$S$1:$AC$5,MATCH('Flujo de caja mensual'!$B7,Ingresos!$R$1:$R$5,0),0)</f>
        <v>-61768217.308949247</v>
      </c>
      <c r="AM7" s="145">
        <f>AM$6*-HLOOKUP(AM$2,Ingresos!$S$1:$AC$5,MATCH('Flujo de caja mensual'!$B7,Ingresos!$R$1:$R$5,0),0)</f>
        <v>-61945547.604901165</v>
      </c>
      <c r="AN7" s="145">
        <f>AN$6*-HLOOKUP(AN$2,Ingresos!$S$1:$AC$5,MATCH('Flujo de caja mensual'!$B7,Ingresos!$R$1:$R$5,0),0)</f>
        <v>-62123386.998172574</v>
      </c>
      <c r="AO7" s="145">
        <f>AO$6*-HLOOKUP(AO$2,Ingresos!$S$1:$AC$5,MATCH('Flujo de caja mensual'!$B7,Ingresos!$R$1:$R$5,0),0)</f>
        <v>-62301736.950330332</v>
      </c>
      <c r="AP7" s="145">
        <f>AP$6*-HLOOKUP(AP$2,Ingresos!$S$1:$AC$5,MATCH('Flujo de caja mensual'!$B7,Ingresos!$R$1:$R$5,0),0)</f>
        <v>-62480598.927137285</v>
      </c>
      <c r="AQ7" s="145">
        <f>AQ$6*-HLOOKUP(AQ$2,Ingresos!$S$1:$AC$5,MATCH('Flujo de caja mensual'!$B7,Ingresos!$R$1:$R$5,0),0)</f>
        <v>-62659974.398564339</v>
      </c>
      <c r="AR7" s="145">
        <f>AR$6*-HLOOKUP(AR$2,Ingresos!$S$1:$AC$5,MATCH('Flujo de caja mensual'!$B7,Ingresos!$R$1:$R$5,0),0)</f>
        <v>-62839864.838802554</v>
      </c>
      <c r="AS7" s="145">
        <f>AS$6*-HLOOKUP(AS$2,Ingresos!$S$1:$AC$5,MATCH('Flujo de caja mensual'!$B7,Ingresos!$R$1:$R$5,0),0)</f>
        <v>-63020271.726275221</v>
      </c>
      <c r="AT7" s="145">
        <f>AT$6*-HLOOKUP(AT$2,Ingresos!$S$1:$AC$5,MATCH('Flujo de caja mensual'!$B7,Ingresos!$R$1:$R$5,0),0)</f>
        <v>-63201196.543650046</v>
      </c>
      <c r="AU7" s="145">
        <f>AU$6*-HLOOKUP(AU$2,Ingresos!$S$1:$AC$5,MATCH('Flujo de caja mensual'!$B7,Ingresos!$R$1:$R$5,0),0)</f>
        <v>-63382640.777851321</v>
      </c>
      <c r="AV7" s="145">
        <f>AV$6*-HLOOKUP(AV$2,Ingresos!$S$1:$AC$5,MATCH('Flujo de caja mensual'!$B7,Ingresos!$R$1:$R$5,0),0)</f>
        <v>-63564605.920072153</v>
      </c>
      <c r="AW7" s="145">
        <f>AW$6*-HLOOKUP(AW$2,Ingresos!$S$1:$AC$5,MATCH('Flujo de caja mensual'!$B7,Ingresos!$R$1:$R$5,0),0)</f>
        <v>-63747093.465786695</v>
      </c>
      <c r="AX7" s="145">
        <f>AX$6*-HLOOKUP(AX$2,Ingresos!$S$1:$AC$5,MATCH('Flujo de caja mensual'!$B7,Ingresos!$R$1:$R$5,0),0)</f>
        <v>-63930104.914762489</v>
      </c>
      <c r="AY7" s="145">
        <f>AY$6*-HLOOKUP(AY$2,Ingresos!$S$1:$AC$5,MATCH('Flujo de caja mensual'!$B7,Ingresos!$R$1:$R$5,0),0)</f>
        <v>-64113641.771072716</v>
      </c>
      <c r="AZ7" s="145">
        <f>AZ$6*-HLOOKUP(AZ$2,Ingresos!$S$1:$AC$5,MATCH('Flujo de caja mensual'!$B7,Ingresos!$R$1:$R$5,0),0)</f>
        <v>-64297705.54310862</v>
      </c>
      <c r="BA7" s="145">
        <f>BA$6*-HLOOKUP(BA$2,Ingresos!$S$1:$AC$5,MATCH('Flujo de caja mensual'!$B7,Ingresos!$R$1:$R$5,0),0)</f>
        <v>-64482297.743591897</v>
      </c>
      <c r="BB7" s="145">
        <f>BB$6*-HLOOKUP(BB$2,Ingresos!$S$1:$AC$5,MATCH('Flujo de caja mensual'!$B7,Ingresos!$R$1:$R$5,0),0)</f>
        <v>-64667419.889587097</v>
      </c>
      <c r="BC7" s="145">
        <f>BC$6*-HLOOKUP(BC$2,Ingresos!$S$1:$AC$5,MATCH('Flujo de caja mensual'!$B7,Ingresos!$R$1:$R$5,0),0)</f>
        <v>-64853073.502514102</v>
      </c>
      <c r="BD7" s="145">
        <f>BD$6*-HLOOKUP(BD$2,Ingresos!$S$1:$AC$5,MATCH('Flujo de caja mensual'!$B7,Ingresos!$R$1:$R$5,0),0)</f>
        <v>-65039260.108160652</v>
      </c>
      <c r="BE7" s="145">
        <f>BE$6*-HLOOKUP(BE$2,Ingresos!$S$1:$AC$5,MATCH('Flujo de caja mensual'!$B7,Ingresos!$R$1:$R$5,0),0)</f>
        <v>-65225981.236694865</v>
      </c>
      <c r="BF7" s="145">
        <f>BF$6*-HLOOKUP(BF$2,Ingresos!$S$1:$AC$5,MATCH('Flujo de caja mensual'!$B7,Ingresos!$R$1:$R$5,0),0)</f>
        <v>-65413238.422677808</v>
      </c>
      <c r="BG7" s="145">
        <f>BG$6*-HLOOKUP(BG$2,Ingresos!$S$1:$AC$5,MATCH('Flujo de caja mensual'!$B7,Ingresos!$R$1:$R$5,0),0)</f>
        <v>-65601033.205076128</v>
      </c>
      <c r="BH7" s="145">
        <f>BH$6*-HLOOKUP(BH$2,Ingresos!$S$1:$AC$5,MATCH('Flujo de caja mensual'!$B7,Ingresos!$R$1:$R$5,0),0)</f>
        <v>-65789367.127274685</v>
      </c>
      <c r="BI7" s="145">
        <f>BI$6*-HLOOKUP(BI$2,Ingresos!$S$1:$AC$5,MATCH('Flujo de caja mensual'!$B7,Ingresos!$R$1:$R$5,0),0)</f>
        <v>-65978241.737089247</v>
      </c>
      <c r="BJ7" s="145">
        <f>BJ$6*-HLOOKUP(BJ$2,Ingresos!$S$1:$AC$5,MATCH('Flujo de caja mensual'!$B7,Ingresos!$R$1:$R$5,0),0)</f>
        <v>-66167658.586779177</v>
      </c>
      <c r="BK7" s="145">
        <f>BK$6*-HLOOKUP(BK$2,Ingresos!$S$1:$AC$5,MATCH('Flujo de caja mensual'!$B7,Ingresos!$R$1:$R$5,0),0)</f>
        <v>-66357619.233060271</v>
      </c>
      <c r="BL7" s="145">
        <f>BL$6*-HLOOKUP(BL$2,Ingresos!$S$1:$AC$5,MATCH('Flujo de caja mensual'!$B7,Ingresos!$R$1:$R$5,0),0)</f>
        <v>-66548125.23711744</v>
      </c>
      <c r="BM7" s="145">
        <f>BM$6*-HLOOKUP(BM$2,Ingresos!$S$1:$AC$5,MATCH('Flujo de caja mensual'!$B7,Ingresos!$R$1:$R$5,0),0)</f>
        <v>-66739178.164617628</v>
      </c>
      <c r="BN7" s="145">
        <f>BN$6*-HLOOKUP(BN$2,Ingresos!$S$1:$AC$5,MATCH('Flujo de caja mensual'!$B7,Ingresos!$R$1:$R$5,0),0)</f>
        <v>-66930779.585722655</v>
      </c>
      <c r="BO7" s="145">
        <f>BO$6*-HLOOKUP(BO$2,Ingresos!$S$1:$AC$5,MATCH('Flujo de caja mensual'!$B7,Ingresos!$R$1:$R$5,0),0)</f>
        <v>-67122931.075102106</v>
      </c>
      <c r="BP7" s="145">
        <f>BP$6*-HLOOKUP(BP$2,Ingresos!$S$1:$AC$5,MATCH('Flujo de caja mensual'!$B7,Ingresos!$R$1:$R$5,0),0)</f>
        <v>-67315634.211946294</v>
      </c>
      <c r="BQ7" s="145">
        <f>BQ$6*-HLOOKUP(BQ$2,Ingresos!$S$1:$AC$5,MATCH('Flujo de caja mensual'!$B7,Ingresos!$R$1:$R$5,0),0)</f>
        <v>-67508890.579979196</v>
      </c>
      <c r="BR7" s="145">
        <f>BR$6*-HLOOKUP(BR$2,Ingresos!$S$1:$AC$5,MATCH('Flujo de caja mensual'!$B7,Ingresos!$R$1:$R$5,0),0)</f>
        <v>-67702701.767471537</v>
      </c>
      <c r="BS7" s="145">
        <f>BS$6*-HLOOKUP(BS$2,Ingresos!$S$1:$AC$5,MATCH('Flujo de caja mensual'!$B7,Ingresos!$R$1:$R$5,0),0)</f>
        <v>-67897069.36725381</v>
      </c>
      <c r="BT7" s="145">
        <f>BT$6*-HLOOKUP(BT$2,Ingresos!$S$1:$AC$5,MATCH('Flujo de caja mensual'!$B7,Ingresos!$R$1:$R$5,0),0)</f>
        <v>-68091994.976729318</v>
      </c>
      <c r="BU7" s="145">
        <f>BU$6*-HLOOKUP(BU$2,Ingresos!$S$1:$AC$5,MATCH('Flujo de caja mensual'!$B7,Ingresos!$R$1:$R$5,0),0)</f>
        <v>-68287480.197887376</v>
      </c>
      <c r="BV7" s="145">
        <f>BV$6*-HLOOKUP(BV$2,Ingresos!$S$1:$AC$5,MATCH('Flujo de caja mensual'!$B7,Ingresos!$R$1:$R$5,0),0)</f>
        <v>-68483526.63731645</v>
      </c>
      <c r="BW7" s="145">
        <f>BW$6*-HLOOKUP(BW$2,Ingresos!$S$1:$AC$5,MATCH('Flujo de caja mensual'!$B7,Ingresos!$R$1:$R$5,0),0)</f>
        <v>-68680135.906217381</v>
      </c>
      <c r="BX7" s="145">
        <f>BX$6*-HLOOKUP(BX$2,Ingresos!$S$1:$AC$5,MATCH('Flujo de caja mensual'!$B7,Ingresos!$R$1:$R$5,0),0)</f>
        <v>-68877309.620416552</v>
      </c>
      <c r="BY7" s="145">
        <f>BY$6*-HLOOKUP(BY$2,Ingresos!$S$1:$AC$5,MATCH('Flujo de caja mensual'!$B7,Ingresos!$R$1:$R$5,0),0)</f>
        <v>-69075049.400379241</v>
      </c>
      <c r="BZ7" s="145">
        <f>BZ$6*-HLOOKUP(BZ$2,Ingresos!$S$1:$AC$5,MATCH('Flujo de caja mensual'!$B7,Ingresos!$R$1:$R$5,0),0)</f>
        <v>-69273356.871222958</v>
      </c>
      <c r="CA7" s="145">
        <f>CA$6*-HLOOKUP(CA$2,Ingresos!$S$1:$AC$5,MATCH('Flujo de caja mensual'!$B7,Ingresos!$R$1:$R$5,0),0)</f>
        <v>-69472233.662730679</v>
      </c>
      <c r="CB7" s="145">
        <f>CB$6*-HLOOKUP(CB$2,Ingresos!$S$1:$AC$5,MATCH('Flujo de caja mensual'!$B7,Ingresos!$R$1:$R$5,0),0)</f>
        <v>-69671681.409364417</v>
      </c>
      <c r="CC7" s="145">
        <f>CC$6*-HLOOKUP(CC$2,Ingresos!$S$1:$AC$5,MATCH('Flujo de caja mensual'!$B7,Ingresos!$R$1:$R$5,0),0)</f>
        <v>-69871701.750278473</v>
      </c>
      <c r="CD7" s="145">
        <f>CD$6*-HLOOKUP(CD$2,Ingresos!$S$1:$AC$5,MATCH('Flujo de caja mensual'!$B7,Ingresos!$R$1:$R$5,0),0)</f>
        <v>-70072296.329333052</v>
      </c>
      <c r="CE7" s="145">
        <f>CE$6*-HLOOKUP(CE$2,Ingresos!$S$1:$AC$5,MATCH('Flujo de caja mensual'!$B7,Ingresos!$R$1:$R$5,0),0)</f>
        <v>-70273466.795107707</v>
      </c>
      <c r="CF7" s="145">
        <f>CF$6*-HLOOKUP(CF$2,Ingresos!$S$1:$AC$5,MATCH('Flujo de caja mensual'!$B7,Ingresos!$R$1:$R$5,0),0)</f>
        <v>-70475214.800914854</v>
      </c>
      <c r="CG7" s="145">
        <f>CG$6*-HLOOKUP(CG$2,Ingresos!$S$1:$AC$5,MATCH('Flujo de caja mensual'!$B7,Ingresos!$R$1:$R$5,0),0)</f>
        <v>-70677542.004813448</v>
      </c>
      <c r="CH7" s="145">
        <f>CH$6*-HLOOKUP(CH$2,Ingresos!$S$1:$AC$5,MATCH('Flujo de caja mensual'!$B7,Ingresos!$R$1:$R$5,0),0)</f>
        <v>-70880450.069622561</v>
      </c>
      <c r="CI7" s="145">
        <f>CI$6*-HLOOKUP(CI$2,Ingresos!$S$1:$AC$5,MATCH('Flujo de caja mensual'!$B7,Ingresos!$R$1:$R$5,0),0)</f>
        <v>-71083940.662935004</v>
      </c>
      <c r="CJ7" s="145">
        <f>CJ$6*-HLOOKUP(CJ$2,Ingresos!$S$1:$AC$5,MATCH('Flujo de caja mensual'!$B7,Ingresos!$R$1:$R$5,0),0)</f>
        <v>-71288015.457131147</v>
      </c>
      <c r="CK7" s="145">
        <f>CK$6*-HLOOKUP(CK$2,Ingresos!$S$1:$AC$5,MATCH('Flujo de caja mensual'!$B7,Ingresos!$R$1:$R$5,0),0)</f>
        <v>-71492676.129392549</v>
      </c>
      <c r="CL7" s="145">
        <f>CL$6*-HLOOKUP(CL$2,Ingresos!$S$1:$AC$5,MATCH('Flujo de caja mensual'!$B7,Ingresos!$R$1:$R$5,0),0)</f>
        <v>-71697924.361715779</v>
      </c>
      <c r="CM7" s="145">
        <f>CM$6*-HLOOKUP(CM$2,Ingresos!$S$1:$AC$5,MATCH('Flujo de caja mensual'!$B7,Ingresos!$R$1:$R$5,0),0)</f>
        <v>-71903761.840926275</v>
      </c>
      <c r="CN7" s="145">
        <f>CN$6*-HLOOKUP(CN$2,Ingresos!$S$1:$AC$5,MATCH('Flujo de caja mensual'!$B7,Ingresos!$R$1:$R$5,0),0)</f>
        <v>-72110190.25869219</v>
      </c>
      <c r="CO7" s="145">
        <f>CO$6*-HLOOKUP(CO$2,Ingresos!$S$1:$AC$5,MATCH('Flujo de caja mensual'!$B7,Ingresos!$R$1:$R$5,0),0)</f>
        <v>-72317211.311538234</v>
      </c>
      <c r="CP7" s="145">
        <f>CP$6*-HLOOKUP(CP$2,Ingresos!$S$1:$AC$5,MATCH('Flujo de caja mensual'!$B7,Ingresos!$R$1:$R$5,0),0)</f>
        <v>-72524826.700859725</v>
      </c>
      <c r="CQ7" s="145">
        <f>CQ$6*-HLOOKUP(CQ$2,Ingresos!$S$1:$AC$5,MATCH('Flujo de caja mensual'!$B7,Ingresos!$R$1:$R$5,0),0)</f>
        <v>-72733038.132936478</v>
      </c>
      <c r="CR7" s="145">
        <f>CR$6*-HLOOKUP(CR$2,Ingresos!$S$1:$AC$5,MATCH('Flujo de caja mensual'!$B7,Ingresos!$R$1:$R$5,0),0)</f>
        <v>-72941847.318946883</v>
      </c>
      <c r="CS7" s="145">
        <f>CS$6*-HLOOKUP(CS$2,Ingresos!$S$1:$AC$5,MATCH('Flujo de caja mensual'!$B7,Ingresos!$R$1:$R$5,0),0)</f>
        <v>-73151255.974981934</v>
      </c>
      <c r="CT7" s="145">
        <f>CT$6*-HLOOKUP(CT$2,Ingresos!$S$1:$AC$5,MATCH('Flujo de caja mensual'!$B7,Ingresos!$R$1:$R$5,0),0)</f>
        <v>-73361265.822059348</v>
      </c>
      <c r="CU7" s="145">
        <f>CU$6*-HLOOKUP(CU$2,Ingresos!$S$1:$AC$5,MATCH('Flujo de caja mensual'!$B7,Ingresos!$R$1:$R$5,0),0)</f>
        <v>-73571878.586137742</v>
      </c>
      <c r="CV7" s="145">
        <f>CV$6*-HLOOKUP(CV$2,Ingresos!$S$1:$AC$5,MATCH('Flujo de caja mensual'!$B7,Ingresos!$R$1:$R$5,0),0)</f>
        <v>-73783095.998130739</v>
      </c>
      <c r="CW7" s="145">
        <f>CW$6*-HLOOKUP(CW$2,Ingresos!$S$1:$AC$5,MATCH('Flujo de caja mensual'!$B7,Ingresos!$R$1:$R$5,0),0)</f>
        <v>-73994919.793921277</v>
      </c>
      <c r="CX7" s="145">
        <f>CX$6*-HLOOKUP(CX$2,Ingresos!$S$1:$AC$5,MATCH('Flujo de caja mensual'!$B7,Ingresos!$R$1:$R$5,0),0)</f>
        <v>-74207351.714375839</v>
      </c>
      <c r="CY7" s="145">
        <f>CY$6*-HLOOKUP(CY$2,Ingresos!$S$1:$AC$5,MATCH('Flujo de caja mensual'!$B7,Ingresos!$R$1:$R$5,0),0)</f>
        <v>-74420393.505358696</v>
      </c>
      <c r="CZ7" s="145">
        <f>CZ$6*-HLOOKUP(CZ$2,Ingresos!$S$1:$AC$5,MATCH('Flujo de caja mensual'!$B7,Ingresos!$R$1:$R$5,0),0)</f>
        <v>-74634046.91774641</v>
      </c>
      <c r="DA7" s="145">
        <f>DA$6*-HLOOKUP(DA$2,Ingresos!$S$1:$AC$5,MATCH('Flujo de caja mensual'!$B7,Ingresos!$R$1:$R$5,0),0)</f>
        <v>-74848313.70744209</v>
      </c>
      <c r="DB7" s="145">
        <f>DB$6*-HLOOKUP(DB$2,Ingresos!$S$1:$AC$5,MATCH('Flujo de caja mensual'!$B7,Ingresos!$R$1:$R$5,0),0)</f>
        <v>-75063195.635389835</v>
      </c>
      <c r="DC7" s="145">
        <f>DC$6*-HLOOKUP(DC$2,Ingresos!$S$1:$AC$5,MATCH('Flujo de caja mensual'!$B7,Ingresos!$R$1:$R$5,0),0)</f>
        <v>-75278694.467589274</v>
      </c>
      <c r="DD7" s="145">
        <f>DD$6*-HLOOKUP(DD$2,Ingresos!$S$1:$AC$5,MATCH('Flujo de caja mensual'!$B7,Ingresos!$R$1:$R$5,0),0)</f>
        <v>-75494811.975110039</v>
      </c>
      <c r="DE7" s="145">
        <f>DE$6*-HLOOKUP(DE$2,Ingresos!$S$1:$AC$5,MATCH('Flujo de caja mensual'!$B7,Ingresos!$R$1:$R$5,0),0)</f>
        <v>-75711549.934106305</v>
      </c>
      <c r="DF7" s="145">
        <f>DF$6*-HLOOKUP(DF$2,Ingresos!$S$1:$AC$5,MATCH('Flujo de caja mensual'!$B7,Ingresos!$R$1:$R$5,0),0)</f>
        <v>-75928910.12583144</v>
      </c>
      <c r="DG7" s="145">
        <f>DG$6*-HLOOKUP(DG$2,Ingresos!$S$1:$AC$5,MATCH('Flujo de caja mensual'!$B7,Ingresos!$R$1:$R$5,0),0)</f>
        <v>-76146894.336652577</v>
      </c>
      <c r="DH7" s="145">
        <f>DH$6*-HLOOKUP(DH$2,Ingresos!$S$1:$AC$5,MATCH('Flujo de caja mensual'!$B7,Ingresos!$R$1:$R$5,0),0)</f>
        <v>-76365504.358065352</v>
      </c>
      <c r="DI7" s="145">
        <f>DI$6*-HLOOKUP(DI$2,Ingresos!$S$1:$AC$5,MATCH('Flujo de caja mensual'!$B7,Ingresos!$R$1:$R$5,0),0)</f>
        <v>-76584741.986708567</v>
      </c>
      <c r="DJ7" s="145">
        <f>DJ$6*-HLOOKUP(DJ$2,Ingresos!$S$1:$AC$5,MATCH('Flujo de caja mensual'!$B7,Ingresos!$R$1:$R$5,0),0)</f>
        <v>-76804609.024379015</v>
      </c>
      <c r="DK7" s="145">
        <f>DK$6*-HLOOKUP(DK$2,Ingresos!$S$1:$AC$5,MATCH('Flujo de caja mensual'!$B7,Ingresos!$R$1:$R$5,0),0)</f>
        <v>-77025107.278046295</v>
      </c>
      <c r="DL7" s="145">
        <f>DL$6*-HLOOKUP(DL$2,Ingresos!$S$1:$AC$5,MATCH('Flujo de caja mensual'!$B7,Ingresos!$R$1:$R$5,0),0)</f>
        <v>-77246238.559867576</v>
      </c>
      <c r="DM7" s="145">
        <f>DM$6*-HLOOKUP(DM$2,Ingresos!$S$1:$AC$5,MATCH('Flujo de caja mensual'!$B7,Ingresos!$R$1:$R$5,0),0)</f>
        <v>-77468004.687202588</v>
      </c>
      <c r="DN7" s="145">
        <f>DN$6*-HLOOKUP(DN$2,Ingresos!$S$1:$AC$5,MATCH('Flujo de caja mensual'!$B7,Ingresos!$R$1:$R$5,0),0)</f>
        <v>-77690407.482628509</v>
      </c>
      <c r="DO7" s="145">
        <f>DO$6*-HLOOKUP(DO$2,Ingresos!$S$1:$AC$5,MATCH('Flujo de caja mensual'!$B7,Ingresos!$R$1:$R$5,0),0)</f>
        <v>-77913448.773954913</v>
      </c>
      <c r="DP7" s="145">
        <f>DP$6*-HLOOKUP(DP$2,Ingresos!$S$1:$AC$5,MATCH('Flujo de caja mensual'!$B7,Ingresos!$R$1:$R$5,0),0)</f>
        <v>-78137130.394238904</v>
      </c>
      <c r="DQ7" s="145">
        <f>DQ$6*-HLOOKUP(DQ$2,Ingresos!$S$1:$AC$5,MATCH('Flujo de caja mensual'!$B7,Ingresos!$R$1:$R$5,0),0)</f>
        <v>-78361454.181800053</v>
      </c>
      <c r="DR7" s="145">
        <f>DR$6*-HLOOKUP(DR$2,Ingresos!$S$1:$AC$5,MATCH('Flujo de caja mensual'!$B7,Ingresos!$R$1:$R$5,0),0)</f>
        <v>-78586421.980235562</v>
      </c>
      <c r="DS7" s="145">
        <f>DS$6*-HLOOKUP(DS$2,Ingresos!$S$1:$AC$5,MATCH('Flujo de caja mensual'!$B7,Ingresos!$R$1:$R$5,0),0)</f>
        <v>-78812035.638435423</v>
      </c>
      <c r="DT7" s="145">
        <f>DT$6*-HLOOKUP(DT$2,Ingresos!$S$1:$AC$5,MATCH('Flujo de caja mensual'!$B7,Ingresos!$R$1:$R$5,0),0)</f>
        <v>-79038297.010597631</v>
      </c>
      <c r="DU7" s="145">
        <f>DU$6*-HLOOKUP(DU$2,Ingresos!$S$1:$AC$5,MATCH('Flujo de caja mensual'!$B7,Ingresos!$R$1:$R$5,0),0)</f>
        <v>-79265207.956243366</v>
      </c>
      <c r="DV7" s="145">
        <f>DV$6*-HLOOKUP(DV$2,Ingresos!$S$1:$AC$5,MATCH('Flujo de caja mensual'!$B7,Ingresos!$R$1:$R$5,0),0)</f>
        <v>-79492770.340232283</v>
      </c>
      <c r="DW7" s="145">
        <f>DW$6*-HLOOKUP(DW$2,Ingresos!$S$1:$AC$5,MATCH('Flujo de caja mensual'!$B7,Ingresos!$R$1:$R$5,0),0)</f>
        <v>-79720986.032777905</v>
      </c>
      <c r="DX7" s="145">
        <f>DX$6*-HLOOKUP(DX$2,Ingresos!$S$1:$AC$5,MATCH('Flujo de caja mensual'!$B7,Ingresos!$R$1:$R$5,0),0)</f>
        <v>-79949856.909462929</v>
      </c>
      <c r="DY7" s="145">
        <f>DY$6*-HLOOKUP(DY$2,Ingresos!$S$1:$AC$5,MATCH('Flujo de caja mensual'!$B7,Ingresos!$R$1:$R$5,0),0)</f>
        <v>-80179384.851254672</v>
      </c>
      <c r="DZ7" s="145">
        <f>DZ$6*-HLOOKUP(DZ$2,Ingresos!$S$1:$AC$5,MATCH('Flujo de caja mensual'!$B7,Ingresos!$R$1:$R$5,0),0)</f>
        <v>-80409571.744520485</v>
      </c>
      <c r="EA7" s="145">
        <f>EA$6*-HLOOKUP(EA$2,Ingresos!$S$1:$AC$5,MATCH('Flujo de caja mensual'!$B7,Ingresos!$R$1:$R$5,0),0)</f>
        <v>-80640419.481043339</v>
      </c>
      <c r="EB7" s="145">
        <f>EB$6*-HLOOKUP(EB$2,Ingresos!$S$1:$AC$5,MATCH('Flujo de caja mensual'!$B7,Ingresos!$R$1:$R$5,0),0)</f>
        <v>-80871929.958037257</v>
      </c>
      <c r="EC7" s="145">
        <f>EC$6*-HLOOKUP(EC$2,Ingresos!$S$1:$AC$5,MATCH('Flujo de caja mensual'!$B7,Ingresos!$R$1:$R$5,0),0)</f>
        <v>-81104105.078163043</v>
      </c>
      <c r="ED7" s="145">
        <f>ED$6*-HLOOKUP(ED$2,Ingresos!$S$1:$AC$5,MATCH('Flujo de caja mensual'!$B7,Ingresos!$R$1:$R$5,0),0)</f>
        <v>-81336946.749543801</v>
      </c>
      <c r="EE7" s="146">
        <f>EE$6*-HLOOKUP(EE$2,Ingresos!$S$1:$AC$5,MATCH('Flujo de caja mensual'!$B7,Ingresos!$R$1:$R$5,0),0)</f>
        <v>-81570456.885780677</v>
      </c>
    </row>
    <row r="8" spans="1:135" x14ac:dyDescent="0.25">
      <c r="A8" s="152">
        <f>SUMIF($C$1:$EE$1,"&lt;="&amp;Resumen!$K$19,'Flujo de caja mensual'!C8:EE8)</f>
        <v>-888839672.05290771</v>
      </c>
      <c r="B8" s="5" t="s">
        <v>63</v>
      </c>
      <c r="C8" s="144"/>
      <c r="D8" s="145">
        <f>D$6*-HLOOKUP(D$2,Ingresos!$S$1:$AC$5,MATCH('Flujo de caja mensual'!$B8,Ingresos!$R$1:$R$5,0),0)</f>
        <v>-9993772.2499999981</v>
      </c>
      <c r="E8" s="145">
        <f>E$6*-HLOOKUP(E$2,Ingresos!$S$1:$AC$5,MATCH('Flujo de caja mensual'!$B8,Ingresos!$R$1:$R$5,0),0)</f>
        <v>-10034488.115212088</v>
      </c>
      <c r="F8" s="145">
        <f>F$6*-HLOOKUP(F$2,Ingresos!$S$1:$AC$5,MATCH('Flujo de caja mensual'!$B8,Ingresos!$R$1:$R$5,0),0)</f>
        <v>-10075369.861899011</v>
      </c>
      <c r="G8" s="145">
        <f>G$6*-HLOOKUP(G$2,Ingresos!$S$1:$AC$5,MATCH('Flujo de caja mensual'!$B8,Ingresos!$R$1:$R$5,0),0)</f>
        <v>-10116418.165882427</v>
      </c>
      <c r="H8" s="145">
        <f>H$6*-HLOOKUP(H$2,Ingresos!$S$1:$AC$5,MATCH('Flujo de caja mensual'!$B8,Ingresos!$R$1:$R$5,0),0)</f>
        <v>-10157633.70573738</v>
      </c>
      <c r="I8" s="145">
        <f>I$6*-HLOOKUP(I$2,Ingresos!$S$1:$AC$5,MATCH('Flujo de caja mensual'!$B8,Ingresos!$R$1:$R$5,0),0)</f>
        <v>-10199017.162803514</v>
      </c>
      <c r="J8" s="145">
        <f>J$6*-HLOOKUP(J$2,Ingresos!$S$1:$AC$5,MATCH('Flujo de caja mensual'!$B8,Ingresos!$R$1:$R$5,0),0)</f>
        <v>-10240569.221196329</v>
      </c>
      <c r="K8" s="145">
        <f>K$6*-HLOOKUP(K$2,Ingresos!$S$1:$AC$5,MATCH('Flujo de caja mensual'!$B8,Ingresos!$R$1:$R$5,0),0)</f>
        <v>-10282290.567818504</v>
      </c>
      <c r="L8" s="145">
        <f>L$6*-HLOOKUP(L$2,Ingresos!$S$1:$AC$5,MATCH('Flujo de caja mensual'!$B8,Ingresos!$R$1:$R$5,0),0)</f>
        <v>-10324181.892371235</v>
      </c>
      <c r="M8" s="145">
        <f>M$6*-HLOOKUP(M$2,Ingresos!$S$1:$AC$5,MATCH('Flujo de caja mensual'!$B8,Ingresos!$R$1:$R$5,0),0)</f>
        <v>-10366243.887365658</v>
      </c>
      <c r="N8" s="145">
        <f>N$6*-HLOOKUP(N$2,Ingresos!$S$1:$AC$5,MATCH('Flujo de caja mensual'!$B8,Ingresos!$R$1:$R$5,0),0)</f>
        <v>-10408477.248134274</v>
      </c>
      <c r="O8" s="145">
        <f>O$6*-HLOOKUP(O$2,Ingresos!$S$1:$AC$5,MATCH('Flujo de caja mensual'!$B8,Ingresos!$R$1:$R$5,0),0)</f>
        <v>-10581518.70625299</v>
      </c>
      <c r="P8" s="145">
        <f>P$6*-HLOOKUP(P$2,Ingresos!$S$1:$AC$5,MATCH('Flujo de caja mensual'!$B8,Ingresos!$R$1:$R$5,0),0)</f>
        <v>-8066848.0380468778</v>
      </c>
      <c r="Q8" s="145">
        <f>Q$6*-HLOOKUP(Q$2,Ingresos!$S$1:$AC$5,MATCH('Flujo de caja mensual'!$B8,Ingresos!$R$1:$R$5,0),0)</f>
        <v>-8191955.0530370343</v>
      </c>
      <c r="R8" s="145">
        <f>R$6*-HLOOKUP(R$2,Ingresos!$S$1:$AC$5,MATCH('Flujo de caja mensual'!$B8,Ingresos!$R$1:$R$5,0),0)</f>
        <v>-8317794.7482386054</v>
      </c>
      <c r="S8" s="145">
        <f>S$6*-HLOOKUP(S$2,Ingresos!$S$1:$AC$5,MATCH('Flujo de caja mensual'!$B8,Ingresos!$R$1:$R$5,0),0)</f>
        <v>-8444370.5800418649</v>
      </c>
      <c r="T8" s="145">
        <f>T$6*-HLOOKUP(T$2,Ingresos!$S$1:$AC$5,MATCH('Flujo de caja mensual'!$B8,Ingresos!$R$1:$R$5,0),0)</f>
        <v>-8571686.0196153242</v>
      </c>
      <c r="U8" s="145">
        <f>U$6*-HLOOKUP(U$2,Ingresos!$S$1:$AC$5,MATCH('Flujo de caja mensual'!$B8,Ingresos!$R$1:$R$5,0),0)</f>
        <v>-8699744.5529654473</v>
      </c>
      <c r="V8" s="145">
        <f>V$6*-HLOOKUP(V$2,Ingresos!$S$1:$AC$5,MATCH('Flujo de caja mensual'!$B8,Ingresos!$R$1:$R$5,0),0)</f>
        <v>-8828549.6809966005</v>
      </c>
      <c r="W8" s="145">
        <f>W$6*-HLOOKUP(W$2,Ingresos!$S$1:$AC$5,MATCH('Flujo de caja mensual'!$B8,Ingresos!$R$1:$R$5,0),0)</f>
        <v>-8857452.0553063992</v>
      </c>
      <c r="X8" s="145">
        <f>X$6*-HLOOKUP(X$2,Ingresos!$S$1:$AC$5,MATCH('Flujo de caja mensual'!$B8,Ingresos!$R$1:$R$5,0),0)</f>
        <v>-8886449.0484687742</v>
      </c>
      <c r="Y8" s="145">
        <f>Y$6*-HLOOKUP(Y$2,Ingresos!$S$1:$AC$5,MATCH('Flujo de caja mensual'!$B8,Ingresos!$R$1:$R$5,0),0)</f>
        <v>-8915540.97024123</v>
      </c>
      <c r="Z8" s="145">
        <f>Z$6*-HLOOKUP(Z$2,Ingresos!$S$1:$AC$5,MATCH('Flujo de caja mensual'!$B8,Ingresos!$R$1:$R$5,0),0)</f>
        <v>-8944728.1313953344</v>
      </c>
      <c r="AA8" s="145">
        <f>AA$6*-HLOOKUP(AA$2,Ingresos!$S$1:$AC$5,MATCH('Flujo de caja mensual'!$B8,Ingresos!$R$1:$R$5,0),0)</f>
        <v>-8974010.8437200356</v>
      </c>
      <c r="AB8" s="145">
        <f>AB$6*-HLOOKUP(AB$2,Ingresos!$S$1:$AC$5,MATCH('Flujo de caja mensual'!$B8,Ingresos!$R$1:$R$5,0),0)</f>
        <v>-6002259.6133500049</v>
      </c>
      <c r="AC8" s="145">
        <f>AC$6*-HLOOKUP(AC$2,Ingresos!$S$1:$AC$5,MATCH('Flujo de caja mensual'!$B8,Ingresos!$R$1:$R$5,0),0)</f>
        <v>-6019491.4927855376</v>
      </c>
      <c r="AD8" s="145">
        <f>AD$6*-HLOOKUP(AD$2,Ingresos!$S$1:$AC$5,MATCH('Flujo de caja mensual'!$B8,Ingresos!$R$1:$R$5,0),0)</f>
        <v>-6036772.843201668</v>
      </c>
      <c r="AE8" s="145">
        <f>AE$6*-HLOOKUP(AE$2,Ingresos!$S$1:$AC$5,MATCH('Flujo de caja mensual'!$B8,Ingresos!$R$1:$R$5,0),0)</f>
        <v>-6054103.8066245727</v>
      </c>
      <c r="AF8" s="145">
        <f>AF$6*-HLOOKUP(AF$2,Ingresos!$S$1:$AC$5,MATCH('Flujo de caja mensual'!$B8,Ingresos!$R$1:$R$5,0),0)</f>
        <v>-6071484.525488168</v>
      </c>
      <c r="AG8" s="145">
        <f>AG$6*-HLOOKUP(AG$2,Ingresos!$S$1:$AC$5,MATCH('Flujo de caja mensual'!$B8,Ingresos!$R$1:$R$5,0),0)</f>
        <v>-6088915.1426352859</v>
      </c>
      <c r="AH8" s="145">
        <f>AH$6*-HLOOKUP(AH$2,Ingresos!$S$1:$AC$5,MATCH('Flujo de caja mensual'!$B8,Ingresos!$R$1:$R$5,0),0)</f>
        <v>-6106395.8013188438</v>
      </c>
      <c r="AI8" s="145">
        <f>AI$6*-HLOOKUP(AI$2,Ingresos!$S$1:$AC$5,MATCH('Flujo de caja mensual'!$B8,Ingresos!$R$1:$R$5,0),0)</f>
        <v>-6123926.6452030241</v>
      </c>
      <c r="AJ8" s="145">
        <f>AJ$6*-HLOOKUP(AJ$2,Ingresos!$S$1:$AC$5,MATCH('Flujo de caja mensual'!$B8,Ingresos!$R$1:$R$5,0),0)</f>
        <v>-6141507.8183644572</v>
      </c>
      <c r="AK8" s="145">
        <f>AK$6*-HLOOKUP(AK$2,Ingresos!$S$1:$AC$5,MATCH('Flujo de caja mensual'!$B8,Ingresos!$R$1:$R$5,0),0)</f>
        <v>-6159139.4652933991</v>
      </c>
      <c r="AL8" s="145">
        <f>AL$6*-HLOOKUP(AL$2,Ingresos!$S$1:$AC$5,MATCH('Flujo de caja mensual'!$B8,Ingresos!$R$1:$R$5,0),0)</f>
        <v>-6176821.7308949241</v>
      </c>
      <c r="AM8" s="145">
        <f>AM$6*-HLOOKUP(AM$2,Ingresos!$S$1:$AC$5,MATCH('Flujo de caja mensual'!$B8,Ingresos!$R$1:$R$5,0),0)</f>
        <v>-6194554.7604901157</v>
      </c>
      <c r="AN8" s="145">
        <f>AN$6*-HLOOKUP(AN$2,Ingresos!$S$1:$AC$5,MATCH('Flujo de caja mensual'!$B8,Ingresos!$R$1:$R$5,0),0)</f>
        <v>-6212338.699817257</v>
      </c>
      <c r="AO8" s="145">
        <f>AO$6*-HLOOKUP(AO$2,Ingresos!$S$1:$AC$5,MATCH('Flujo de caja mensual'!$B8,Ingresos!$R$1:$R$5,0),0)</f>
        <v>-6230173.6950330334</v>
      </c>
      <c r="AP8" s="145">
        <f>AP$6*-HLOOKUP(AP$2,Ingresos!$S$1:$AC$5,MATCH('Flujo de caja mensual'!$B8,Ingresos!$R$1:$R$5,0),0)</f>
        <v>-6248059.8927137284</v>
      </c>
      <c r="AQ8" s="145">
        <f>AQ$6*-HLOOKUP(AQ$2,Ingresos!$S$1:$AC$5,MATCH('Flujo de caja mensual'!$B8,Ingresos!$R$1:$R$5,0),0)</f>
        <v>-6265997.4398564342</v>
      </c>
      <c r="AR8" s="145">
        <f>AR$6*-HLOOKUP(AR$2,Ingresos!$S$1:$AC$5,MATCH('Flujo de caja mensual'!$B8,Ingresos!$R$1:$R$5,0),0)</f>
        <v>-6283986.4838802554</v>
      </c>
      <c r="AS8" s="145">
        <f>AS$6*-HLOOKUP(AS$2,Ingresos!$S$1:$AC$5,MATCH('Flujo de caja mensual'!$B8,Ingresos!$R$1:$R$5,0),0)</f>
        <v>-6302027.1726275217</v>
      </c>
      <c r="AT8" s="145">
        <f>AT$6*-HLOOKUP(AT$2,Ingresos!$S$1:$AC$5,MATCH('Flujo de caja mensual'!$B8,Ingresos!$R$1:$R$5,0),0)</f>
        <v>-6320119.654365004</v>
      </c>
      <c r="AU8" s="145">
        <f>AU$6*-HLOOKUP(AU$2,Ingresos!$S$1:$AC$5,MATCH('Flujo de caja mensual'!$B8,Ingresos!$R$1:$R$5,0),0)</f>
        <v>-6338264.0777851325</v>
      </c>
      <c r="AV8" s="145">
        <f>AV$6*-HLOOKUP(AV$2,Ingresos!$S$1:$AC$5,MATCH('Flujo de caja mensual'!$B8,Ingresos!$R$1:$R$5,0),0)</f>
        <v>-6356460.5920072151</v>
      </c>
      <c r="AW8" s="145">
        <f>AW$6*-HLOOKUP(AW$2,Ingresos!$S$1:$AC$5,MATCH('Flujo de caja mensual'!$B8,Ingresos!$R$1:$R$5,0),0)</f>
        <v>-6374709.3465786697</v>
      </c>
      <c r="AX8" s="145">
        <f>AX$6*-HLOOKUP(AX$2,Ingresos!$S$1:$AC$5,MATCH('Flujo de caja mensual'!$B8,Ingresos!$R$1:$R$5,0),0)</f>
        <v>-6393010.4914762489</v>
      </c>
      <c r="AY8" s="145">
        <f>AY$6*-HLOOKUP(AY$2,Ingresos!$S$1:$AC$5,MATCH('Flujo de caja mensual'!$B8,Ingresos!$R$1:$R$5,0),0)</f>
        <v>-6411364.1771072708</v>
      </c>
      <c r="AZ8" s="145">
        <f>AZ$6*-HLOOKUP(AZ$2,Ingresos!$S$1:$AC$5,MATCH('Flujo de caja mensual'!$B8,Ingresos!$R$1:$R$5,0),0)</f>
        <v>-6429770.554310862</v>
      </c>
      <c r="BA8" s="145">
        <f>BA$6*-HLOOKUP(BA$2,Ingresos!$S$1:$AC$5,MATCH('Flujo de caja mensual'!$B8,Ingresos!$R$1:$R$5,0),0)</f>
        <v>-6448229.774359189</v>
      </c>
      <c r="BB8" s="145">
        <f>BB$6*-HLOOKUP(BB$2,Ingresos!$S$1:$AC$5,MATCH('Flujo de caja mensual'!$B8,Ingresos!$R$1:$R$5,0),0)</f>
        <v>-6466741.9889587089</v>
      </c>
      <c r="BC8" s="145">
        <f>BC$6*-HLOOKUP(BC$2,Ingresos!$S$1:$AC$5,MATCH('Flujo de caja mensual'!$B8,Ingresos!$R$1:$R$5,0),0)</f>
        <v>-6485307.3502514102</v>
      </c>
      <c r="BD8" s="145">
        <f>BD$6*-HLOOKUP(BD$2,Ingresos!$S$1:$AC$5,MATCH('Flujo de caja mensual'!$B8,Ingresos!$R$1:$R$5,0),0)</f>
        <v>-6503926.0108160656</v>
      </c>
      <c r="BE8" s="145">
        <f>BE$6*-HLOOKUP(BE$2,Ingresos!$S$1:$AC$5,MATCH('Flujo de caja mensual'!$B8,Ingresos!$R$1:$R$5,0),0)</f>
        <v>-6522598.1236694865</v>
      </c>
      <c r="BF8" s="145">
        <f>BF$6*-HLOOKUP(BF$2,Ingresos!$S$1:$AC$5,MATCH('Flujo de caja mensual'!$B8,Ingresos!$R$1:$R$5,0),0)</f>
        <v>-6541323.8422677806</v>
      </c>
      <c r="BG8" s="145">
        <f>BG$6*-HLOOKUP(BG$2,Ingresos!$S$1:$AC$5,MATCH('Flujo de caja mensual'!$B8,Ingresos!$R$1:$R$5,0),0)</f>
        <v>-6560103.3205076121</v>
      </c>
      <c r="BH8" s="145">
        <f>BH$6*-HLOOKUP(BH$2,Ingresos!$S$1:$AC$5,MATCH('Flujo de caja mensual'!$B8,Ingresos!$R$1:$R$5,0),0)</f>
        <v>-6578936.7127274685</v>
      </c>
      <c r="BI8" s="145">
        <f>BI$6*-HLOOKUP(BI$2,Ingresos!$S$1:$AC$5,MATCH('Flujo de caja mensual'!$B8,Ingresos!$R$1:$R$5,0),0)</f>
        <v>-6597824.1737089241</v>
      </c>
      <c r="BJ8" s="145">
        <f>BJ$6*-HLOOKUP(BJ$2,Ingresos!$S$1:$AC$5,MATCH('Flujo de caja mensual'!$B8,Ingresos!$R$1:$R$5,0),0)</f>
        <v>-6616765.8586779181</v>
      </c>
      <c r="BK8" s="145">
        <f>BK$6*-HLOOKUP(BK$2,Ingresos!$S$1:$AC$5,MATCH('Flujo de caja mensual'!$B8,Ingresos!$R$1:$R$5,0),0)</f>
        <v>-6635761.9233060265</v>
      </c>
      <c r="BL8" s="145">
        <f>BL$6*-HLOOKUP(BL$2,Ingresos!$S$1:$AC$5,MATCH('Flujo de caja mensual'!$B8,Ingresos!$R$1:$R$5,0),0)</f>
        <v>-6654812.5237117438</v>
      </c>
      <c r="BM8" s="145">
        <f>BM$6*-HLOOKUP(BM$2,Ingresos!$S$1:$AC$5,MATCH('Flujo de caja mensual'!$B8,Ingresos!$R$1:$R$5,0),0)</f>
        <v>-6673917.8164617624</v>
      </c>
      <c r="BN8" s="145">
        <f>BN$6*-HLOOKUP(BN$2,Ingresos!$S$1:$AC$5,MATCH('Flujo de caja mensual'!$B8,Ingresos!$R$1:$R$5,0),0)</f>
        <v>-6693077.9585722648</v>
      </c>
      <c r="BO8" s="145">
        <f>BO$6*-HLOOKUP(BO$2,Ingresos!$S$1:$AC$5,MATCH('Flujo de caja mensual'!$B8,Ingresos!$R$1:$R$5,0),0)</f>
        <v>-6712293.10751021</v>
      </c>
      <c r="BP8" s="145">
        <f>BP$6*-HLOOKUP(BP$2,Ingresos!$S$1:$AC$5,MATCH('Flujo de caja mensual'!$B8,Ingresos!$R$1:$R$5,0),0)</f>
        <v>-6731563.4211946288</v>
      </c>
      <c r="BQ8" s="145">
        <f>BQ$6*-HLOOKUP(BQ$2,Ingresos!$S$1:$AC$5,MATCH('Flujo de caja mensual'!$B8,Ingresos!$R$1:$R$5,0),0)</f>
        <v>-6750889.0579979196</v>
      </c>
      <c r="BR8" s="145">
        <f>BR$6*-HLOOKUP(BR$2,Ingresos!$S$1:$AC$5,MATCH('Flujo de caja mensual'!$B8,Ingresos!$R$1:$R$5,0),0)</f>
        <v>-6770270.1767471544</v>
      </c>
      <c r="BS8" s="145">
        <f>BS$6*-HLOOKUP(BS$2,Ingresos!$S$1:$AC$5,MATCH('Flujo de caja mensual'!$B8,Ingresos!$R$1:$R$5,0),0)</f>
        <v>-6789706.9367253808</v>
      </c>
      <c r="BT8" s="145">
        <f>BT$6*-HLOOKUP(BT$2,Ingresos!$S$1:$AC$5,MATCH('Flujo de caja mensual'!$B8,Ingresos!$R$1:$R$5,0),0)</f>
        <v>-6809199.4976729313</v>
      </c>
      <c r="BU8" s="145">
        <f>BU$6*-HLOOKUP(BU$2,Ingresos!$S$1:$AC$5,MATCH('Flujo de caja mensual'!$B8,Ingresos!$R$1:$R$5,0),0)</f>
        <v>-6828748.0197887374</v>
      </c>
      <c r="BV8" s="145">
        <f>BV$6*-HLOOKUP(BV$2,Ingresos!$S$1:$AC$5,MATCH('Flujo de caja mensual'!$B8,Ingresos!$R$1:$R$5,0),0)</f>
        <v>-6848352.6637316458</v>
      </c>
      <c r="BW8" s="145">
        <f>BW$6*-HLOOKUP(BW$2,Ingresos!$S$1:$AC$5,MATCH('Flujo de caja mensual'!$B8,Ingresos!$R$1:$R$5,0),0)</f>
        <v>-6868013.5906217378</v>
      </c>
      <c r="BX8" s="145">
        <f>BX$6*-HLOOKUP(BX$2,Ingresos!$S$1:$AC$5,MATCH('Flujo de caja mensual'!$B8,Ingresos!$R$1:$R$5,0),0)</f>
        <v>-6887730.9620416546</v>
      </c>
      <c r="BY8" s="145">
        <f>BY$6*-HLOOKUP(BY$2,Ingresos!$S$1:$AC$5,MATCH('Flujo de caja mensual'!$B8,Ingresos!$R$1:$R$5,0),0)</f>
        <v>-6907504.9400379239</v>
      </c>
      <c r="BZ8" s="145">
        <f>BZ$6*-HLOOKUP(BZ$2,Ingresos!$S$1:$AC$5,MATCH('Flujo de caja mensual'!$B8,Ingresos!$R$1:$R$5,0),0)</f>
        <v>-6927335.6871222947</v>
      </c>
      <c r="CA8" s="145">
        <f>CA$6*-HLOOKUP(CA$2,Ingresos!$S$1:$AC$5,MATCH('Flujo de caja mensual'!$B8,Ingresos!$R$1:$R$5,0),0)</f>
        <v>-6947223.3662730679</v>
      </c>
      <c r="CB8" s="145">
        <f>CB$6*-HLOOKUP(CB$2,Ingresos!$S$1:$AC$5,MATCH('Flujo de caja mensual'!$B8,Ingresos!$R$1:$R$5,0),0)</f>
        <v>-6967168.1409364417</v>
      </c>
      <c r="CC8" s="145">
        <f>CC$6*-HLOOKUP(CC$2,Ingresos!$S$1:$AC$5,MATCH('Flujo de caja mensual'!$B8,Ingresos!$R$1:$R$5,0),0)</f>
        <v>-6987170.1750278473</v>
      </c>
      <c r="CD8" s="145">
        <f>CD$6*-HLOOKUP(CD$2,Ingresos!$S$1:$AC$5,MATCH('Flujo de caja mensual'!$B8,Ingresos!$R$1:$R$5,0),0)</f>
        <v>-7007229.6329333056</v>
      </c>
      <c r="CE8" s="145">
        <f>CE$6*-HLOOKUP(CE$2,Ingresos!$S$1:$AC$5,MATCH('Flujo de caja mensual'!$B8,Ingresos!$R$1:$R$5,0),0)</f>
        <v>-7027346.6795107704</v>
      </c>
      <c r="CF8" s="145">
        <f>CF$6*-HLOOKUP(CF$2,Ingresos!$S$1:$AC$5,MATCH('Flujo de caja mensual'!$B8,Ingresos!$R$1:$R$5,0),0)</f>
        <v>-7047521.4800914852</v>
      </c>
      <c r="CG8" s="145">
        <f>CG$6*-HLOOKUP(CG$2,Ingresos!$S$1:$AC$5,MATCH('Flujo de caja mensual'!$B8,Ingresos!$R$1:$R$5,0),0)</f>
        <v>-7067754.2004813449</v>
      </c>
      <c r="CH8" s="145">
        <f>CH$6*-HLOOKUP(CH$2,Ingresos!$S$1:$AC$5,MATCH('Flujo de caja mensual'!$B8,Ingresos!$R$1:$R$5,0),0)</f>
        <v>-7088045.0069622556</v>
      </c>
      <c r="CI8" s="145">
        <f>CI$6*-HLOOKUP(CI$2,Ingresos!$S$1:$AC$5,MATCH('Flujo de caja mensual'!$B8,Ingresos!$R$1:$R$5,0),0)</f>
        <v>-7108394.0662935004</v>
      </c>
      <c r="CJ8" s="145">
        <f>CJ$6*-HLOOKUP(CJ$2,Ingresos!$S$1:$AC$5,MATCH('Flujo de caja mensual'!$B8,Ingresos!$R$1:$R$5,0),0)</f>
        <v>-7128801.5457131146</v>
      </c>
      <c r="CK8" s="145">
        <f>CK$6*-HLOOKUP(CK$2,Ingresos!$S$1:$AC$5,MATCH('Flujo de caja mensual'!$B8,Ingresos!$R$1:$R$5,0),0)</f>
        <v>-7149267.6129392544</v>
      </c>
      <c r="CL8" s="145">
        <f>CL$6*-HLOOKUP(CL$2,Ingresos!$S$1:$AC$5,MATCH('Flujo de caja mensual'!$B8,Ingresos!$R$1:$R$5,0),0)</f>
        <v>-7169792.4361715773</v>
      </c>
      <c r="CM8" s="145">
        <f>CM$6*-HLOOKUP(CM$2,Ingresos!$S$1:$AC$5,MATCH('Flujo de caja mensual'!$B8,Ingresos!$R$1:$R$5,0),0)</f>
        <v>-7190376.1840926278</v>
      </c>
      <c r="CN8" s="145">
        <f>CN$6*-HLOOKUP(CN$2,Ingresos!$S$1:$AC$5,MATCH('Flujo de caja mensual'!$B8,Ingresos!$R$1:$R$5,0),0)</f>
        <v>-7211019.0258692186</v>
      </c>
      <c r="CO8" s="145">
        <f>CO$6*-HLOOKUP(CO$2,Ingresos!$S$1:$AC$5,MATCH('Flujo de caja mensual'!$B8,Ingresos!$R$1:$R$5,0),0)</f>
        <v>-7231721.1311538229</v>
      </c>
      <c r="CP8" s="145">
        <f>CP$6*-HLOOKUP(CP$2,Ingresos!$S$1:$AC$5,MATCH('Flujo de caja mensual'!$B8,Ingresos!$R$1:$R$5,0),0)</f>
        <v>-7252482.6700859731</v>
      </c>
      <c r="CQ8" s="145">
        <f>CQ$6*-HLOOKUP(CQ$2,Ingresos!$S$1:$AC$5,MATCH('Flujo de caja mensual'!$B8,Ingresos!$R$1:$R$5,0),0)</f>
        <v>-7273303.813293648</v>
      </c>
      <c r="CR8" s="145">
        <f>CR$6*-HLOOKUP(CR$2,Ingresos!$S$1:$AC$5,MATCH('Flujo de caja mensual'!$B8,Ingresos!$R$1:$R$5,0),0)</f>
        <v>-7294184.7318946877</v>
      </c>
      <c r="CS8" s="145">
        <f>CS$6*-HLOOKUP(CS$2,Ingresos!$S$1:$AC$5,MATCH('Flujo de caja mensual'!$B8,Ingresos!$R$1:$R$5,0),0)</f>
        <v>-7315125.5974981934</v>
      </c>
      <c r="CT8" s="145">
        <f>CT$6*-HLOOKUP(CT$2,Ingresos!$S$1:$AC$5,MATCH('Flujo de caja mensual'!$B8,Ingresos!$R$1:$R$5,0),0)</f>
        <v>-7336126.5822059345</v>
      </c>
      <c r="CU8" s="145">
        <f>CU$6*-HLOOKUP(CU$2,Ingresos!$S$1:$AC$5,MATCH('Flujo de caja mensual'!$B8,Ingresos!$R$1:$R$5,0),0)</f>
        <v>-7357187.8586137742</v>
      </c>
      <c r="CV8" s="145">
        <f>CV$6*-HLOOKUP(CV$2,Ingresos!$S$1:$AC$5,MATCH('Flujo de caja mensual'!$B8,Ingresos!$R$1:$R$5,0),0)</f>
        <v>-7378309.5998130739</v>
      </c>
      <c r="CW8" s="145">
        <f>CW$6*-HLOOKUP(CW$2,Ingresos!$S$1:$AC$5,MATCH('Flujo de caja mensual'!$B8,Ingresos!$R$1:$R$5,0),0)</f>
        <v>-7399491.9793921281</v>
      </c>
      <c r="CX8" s="145">
        <f>CX$6*-HLOOKUP(CX$2,Ingresos!$S$1:$AC$5,MATCH('Flujo de caja mensual'!$B8,Ingresos!$R$1:$R$5,0),0)</f>
        <v>-7420735.1714375829</v>
      </c>
      <c r="CY8" s="145">
        <f>CY$6*-HLOOKUP(CY$2,Ingresos!$S$1:$AC$5,MATCH('Flujo de caja mensual'!$B8,Ingresos!$R$1:$R$5,0),0)</f>
        <v>-7442039.3505358696</v>
      </c>
      <c r="CZ8" s="145">
        <f>CZ$6*-HLOOKUP(CZ$2,Ingresos!$S$1:$AC$5,MATCH('Flujo de caja mensual'!$B8,Ingresos!$R$1:$R$5,0),0)</f>
        <v>-7463404.6917746412</v>
      </c>
      <c r="DA8" s="145">
        <f>DA$6*-HLOOKUP(DA$2,Ingresos!$S$1:$AC$5,MATCH('Flujo de caja mensual'!$B8,Ingresos!$R$1:$R$5,0),0)</f>
        <v>-7484831.3707442079</v>
      </c>
      <c r="DB8" s="145">
        <f>DB$6*-HLOOKUP(DB$2,Ingresos!$S$1:$AC$5,MATCH('Flujo de caja mensual'!$B8,Ingresos!$R$1:$R$5,0),0)</f>
        <v>-7506319.5635389835</v>
      </c>
      <c r="DC8" s="145">
        <f>DC$6*-HLOOKUP(DC$2,Ingresos!$S$1:$AC$5,MATCH('Flujo de caja mensual'!$B8,Ingresos!$R$1:$R$5,0),0)</f>
        <v>-7527869.4467589268</v>
      </c>
      <c r="DD8" s="145">
        <f>DD$6*-HLOOKUP(DD$2,Ingresos!$S$1:$AC$5,MATCH('Flujo de caja mensual'!$B8,Ingresos!$R$1:$R$5,0),0)</f>
        <v>-7549481.1975110034</v>
      </c>
      <c r="DE8" s="145">
        <f>DE$6*-HLOOKUP(DE$2,Ingresos!$S$1:$AC$5,MATCH('Flujo de caja mensual'!$B8,Ingresos!$R$1:$R$5,0),0)</f>
        <v>-7571154.9934106302</v>
      </c>
      <c r="DF8" s="145">
        <f>DF$6*-HLOOKUP(DF$2,Ingresos!$S$1:$AC$5,MATCH('Flujo de caja mensual'!$B8,Ingresos!$R$1:$R$5,0),0)</f>
        <v>-7592891.012583144</v>
      </c>
      <c r="DG8" s="145">
        <f>DG$6*-HLOOKUP(DG$2,Ingresos!$S$1:$AC$5,MATCH('Flujo de caja mensual'!$B8,Ingresos!$R$1:$R$5,0),0)</f>
        <v>-7614689.4336652579</v>
      </c>
      <c r="DH8" s="145">
        <f>DH$6*-HLOOKUP(DH$2,Ingresos!$S$1:$AC$5,MATCH('Flujo de caja mensual'!$B8,Ingresos!$R$1:$R$5,0),0)</f>
        <v>-7636550.4358065343</v>
      </c>
      <c r="DI8" s="145">
        <f>DI$6*-HLOOKUP(DI$2,Ingresos!$S$1:$AC$5,MATCH('Flujo de caja mensual'!$B8,Ingresos!$R$1:$R$5,0),0)</f>
        <v>-7658474.1986708557</v>
      </c>
      <c r="DJ8" s="145">
        <f>DJ$6*-HLOOKUP(DJ$2,Ingresos!$S$1:$AC$5,MATCH('Flujo de caja mensual'!$B8,Ingresos!$R$1:$R$5,0),0)</f>
        <v>-7680460.9024379021</v>
      </c>
      <c r="DK8" s="145">
        <f>DK$6*-HLOOKUP(DK$2,Ingresos!$S$1:$AC$5,MATCH('Flujo de caja mensual'!$B8,Ingresos!$R$1:$R$5,0),0)</f>
        <v>-7702510.7278046291</v>
      </c>
      <c r="DL8" s="145">
        <f>DL$6*-HLOOKUP(DL$2,Ingresos!$S$1:$AC$5,MATCH('Flujo de caja mensual'!$B8,Ingresos!$R$1:$R$5,0),0)</f>
        <v>-7724623.8559867572</v>
      </c>
      <c r="DM8" s="145">
        <f>DM$6*-HLOOKUP(DM$2,Ingresos!$S$1:$AC$5,MATCH('Flujo de caja mensual'!$B8,Ingresos!$R$1:$R$5,0),0)</f>
        <v>-7746800.4687202582</v>
      </c>
      <c r="DN8" s="145">
        <f>DN$6*-HLOOKUP(DN$2,Ingresos!$S$1:$AC$5,MATCH('Flujo de caja mensual'!$B8,Ingresos!$R$1:$R$5,0),0)</f>
        <v>-7769040.7482628506</v>
      </c>
      <c r="DO8" s="145">
        <f>DO$6*-HLOOKUP(DO$2,Ingresos!$S$1:$AC$5,MATCH('Flujo de caja mensual'!$B8,Ingresos!$R$1:$R$5,0),0)</f>
        <v>-7791344.877395492</v>
      </c>
      <c r="DP8" s="145">
        <f>DP$6*-HLOOKUP(DP$2,Ingresos!$S$1:$AC$5,MATCH('Flujo de caja mensual'!$B8,Ingresos!$R$1:$R$5,0),0)</f>
        <v>-7813713.0394238904</v>
      </c>
      <c r="DQ8" s="145">
        <f>DQ$6*-HLOOKUP(DQ$2,Ingresos!$S$1:$AC$5,MATCH('Flujo de caja mensual'!$B8,Ingresos!$R$1:$R$5,0),0)</f>
        <v>-7836145.4181800047</v>
      </c>
      <c r="DR8" s="145">
        <f>DR$6*-HLOOKUP(DR$2,Ingresos!$S$1:$AC$5,MATCH('Flujo de caja mensual'!$B8,Ingresos!$R$1:$R$5,0),0)</f>
        <v>-7858642.1980235558</v>
      </c>
      <c r="DS8" s="145">
        <f>DS$6*-HLOOKUP(DS$2,Ingresos!$S$1:$AC$5,MATCH('Flujo de caja mensual'!$B8,Ingresos!$R$1:$R$5,0),0)</f>
        <v>-7881203.5638435427</v>
      </c>
      <c r="DT8" s="145">
        <f>DT$6*-HLOOKUP(DT$2,Ingresos!$S$1:$AC$5,MATCH('Flujo de caja mensual'!$B8,Ingresos!$R$1:$R$5,0),0)</f>
        <v>-7903829.7010597633</v>
      </c>
      <c r="DU8" s="145">
        <f>DU$6*-HLOOKUP(DU$2,Ingresos!$S$1:$AC$5,MATCH('Flujo de caja mensual'!$B8,Ingresos!$R$1:$R$5,0),0)</f>
        <v>-7926520.7956243362</v>
      </c>
      <c r="DV8" s="145">
        <f>DV$6*-HLOOKUP(DV$2,Ingresos!$S$1:$AC$5,MATCH('Flujo de caja mensual'!$B8,Ingresos!$R$1:$R$5,0),0)</f>
        <v>-7949277.0340232281</v>
      </c>
      <c r="DW8" s="145">
        <f>DW$6*-HLOOKUP(DW$2,Ingresos!$S$1:$AC$5,MATCH('Flujo de caja mensual'!$B8,Ingresos!$R$1:$R$5,0),0)</f>
        <v>-7972098.6032777904</v>
      </c>
      <c r="DX8" s="145">
        <f>DX$6*-HLOOKUP(DX$2,Ingresos!$S$1:$AC$5,MATCH('Flujo de caja mensual'!$B8,Ingresos!$R$1:$R$5,0),0)</f>
        <v>-7994985.6909462931</v>
      </c>
      <c r="DY8" s="145">
        <f>DY$6*-HLOOKUP(DY$2,Ingresos!$S$1:$AC$5,MATCH('Flujo de caja mensual'!$B8,Ingresos!$R$1:$R$5,0),0)</f>
        <v>-8017938.4851254672</v>
      </c>
      <c r="DZ8" s="145">
        <f>DZ$6*-HLOOKUP(DZ$2,Ingresos!$S$1:$AC$5,MATCH('Flujo de caja mensual'!$B8,Ingresos!$R$1:$R$5,0),0)</f>
        <v>-8040957.1744520487</v>
      </c>
      <c r="EA8" s="145">
        <f>EA$6*-HLOOKUP(EA$2,Ingresos!$S$1:$AC$5,MATCH('Flujo de caja mensual'!$B8,Ingresos!$R$1:$R$5,0),0)</f>
        <v>-8064041.9481043331</v>
      </c>
      <c r="EB8" s="145">
        <f>EB$6*-HLOOKUP(EB$2,Ingresos!$S$1:$AC$5,MATCH('Flujo de caja mensual'!$B8,Ingresos!$R$1:$R$5,0),0)</f>
        <v>-8087192.9958037259</v>
      </c>
      <c r="EC8" s="145">
        <f>EC$6*-HLOOKUP(EC$2,Ingresos!$S$1:$AC$5,MATCH('Flujo de caja mensual'!$B8,Ingresos!$R$1:$R$5,0),0)</f>
        <v>-8110410.5078163045</v>
      </c>
      <c r="ED8" s="145">
        <f>ED$6*-HLOOKUP(ED$2,Ingresos!$S$1:$AC$5,MATCH('Flujo de caja mensual'!$B8,Ingresos!$R$1:$R$5,0),0)</f>
        <v>-8133694.6749543799</v>
      </c>
      <c r="EE8" s="146">
        <f>EE$6*-HLOOKUP(EE$2,Ingresos!$S$1:$AC$5,MATCH('Flujo de caja mensual'!$B8,Ingresos!$R$1:$R$5,0),0)</f>
        <v>-8157045.6885780673</v>
      </c>
    </row>
    <row r="9" spans="1:135" x14ac:dyDescent="0.25">
      <c r="A9" s="152">
        <f>SUMIF($C$1:$EE$1,"&lt;="&amp;Resumen!$K$19,'Flujo de caja mensual'!C9:EE9)</f>
        <v>-191912733.93272242</v>
      </c>
      <c r="B9" s="5" t="s">
        <v>178</v>
      </c>
      <c r="C9" s="144"/>
      <c r="D9" s="145">
        <f>D$6*-HLOOKUP(D$2,Ingresos!$S$1:$AC$5,MATCH('Flujo de caja mensual'!$B9,Ingresos!$R$1:$R$5,0),0)</f>
        <v>-9993772.2499999981</v>
      </c>
      <c r="E9" s="145">
        <f>E$6*-HLOOKUP(E$2,Ingresos!$S$1:$AC$5,MATCH('Flujo de caja mensual'!$B9,Ingresos!$R$1:$R$5,0),0)</f>
        <v>-10034488.115212088</v>
      </c>
      <c r="F9" s="145">
        <f>F$6*-HLOOKUP(F$2,Ingresos!$S$1:$AC$5,MATCH('Flujo de caja mensual'!$B9,Ingresos!$R$1:$R$5,0),0)</f>
        <v>-10075369.861899011</v>
      </c>
      <c r="G9" s="145">
        <f>G$6*-HLOOKUP(G$2,Ingresos!$S$1:$AC$5,MATCH('Flujo de caja mensual'!$B9,Ingresos!$R$1:$R$5,0),0)</f>
        <v>-10116418.165882427</v>
      </c>
      <c r="H9" s="145">
        <f>H$6*-HLOOKUP(H$2,Ingresos!$S$1:$AC$5,MATCH('Flujo de caja mensual'!$B9,Ingresos!$R$1:$R$5,0),0)</f>
        <v>-10157633.70573738</v>
      </c>
      <c r="I9" s="145">
        <f>I$6*-HLOOKUP(I$2,Ingresos!$S$1:$AC$5,MATCH('Flujo de caja mensual'!$B9,Ingresos!$R$1:$R$5,0),0)</f>
        <v>-10199017.162803514</v>
      </c>
      <c r="J9" s="145">
        <f>J$6*-HLOOKUP(J$2,Ingresos!$S$1:$AC$5,MATCH('Flujo de caja mensual'!$B9,Ingresos!$R$1:$R$5,0),0)</f>
        <v>-10240569.221196329</v>
      </c>
      <c r="K9" s="145">
        <f>K$6*-HLOOKUP(K$2,Ingresos!$S$1:$AC$5,MATCH('Flujo de caja mensual'!$B9,Ingresos!$R$1:$R$5,0),0)</f>
        <v>-10282290.567818504</v>
      </c>
      <c r="L9" s="145">
        <f>L$6*-HLOOKUP(L$2,Ingresos!$S$1:$AC$5,MATCH('Flujo de caja mensual'!$B9,Ingresos!$R$1:$R$5,0),0)</f>
        <v>-10324181.892371235</v>
      </c>
      <c r="M9" s="145">
        <f>M$6*-HLOOKUP(M$2,Ingresos!$S$1:$AC$5,MATCH('Flujo de caja mensual'!$B9,Ingresos!$R$1:$R$5,0),0)</f>
        <v>-10366243.887365658</v>
      </c>
      <c r="N9" s="145">
        <f>N$6*-HLOOKUP(N$2,Ingresos!$S$1:$AC$5,MATCH('Flujo de caja mensual'!$B9,Ingresos!$R$1:$R$5,0),0)</f>
        <v>-10408477.248134274</v>
      </c>
      <c r="O9" s="145">
        <f>O$6*-HLOOKUP(O$2,Ingresos!$S$1:$AC$5,MATCH('Flujo de caja mensual'!$B9,Ingresos!$R$1:$R$5,0),0)</f>
        <v>-10581518.70625299</v>
      </c>
      <c r="P9" s="145">
        <f>P$6*-HLOOKUP(P$2,Ingresos!$S$1:$AC$5,MATCH('Flujo de caja mensual'!$B9,Ingresos!$R$1:$R$5,0),0)</f>
        <v>-5377898.6920312522</v>
      </c>
      <c r="Q9" s="145">
        <f>Q$6*-HLOOKUP(Q$2,Ingresos!$S$1:$AC$5,MATCH('Flujo de caja mensual'!$B9,Ingresos!$R$1:$R$5,0),0)</f>
        <v>-5461303.3686913559</v>
      </c>
      <c r="R9" s="145">
        <f>R$6*-HLOOKUP(R$2,Ingresos!$S$1:$AC$5,MATCH('Flujo de caja mensual'!$B9,Ingresos!$R$1:$R$5,0),0)</f>
        <v>-5545196.4988257373</v>
      </c>
      <c r="S9" s="145">
        <f>S$6*-HLOOKUP(S$2,Ingresos!$S$1:$AC$5,MATCH('Flujo de caja mensual'!$B9,Ingresos!$R$1:$R$5,0),0)</f>
        <v>-5629580.3866945766</v>
      </c>
      <c r="T9" s="145">
        <f>T$6*-HLOOKUP(T$2,Ingresos!$S$1:$AC$5,MATCH('Flujo de caja mensual'!$B9,Ingresos!$R$1:$R$5,0),0)</f>
        <v>-5714457.3464102158</v>
      </c>
      <c r="U9" s="145">
        <f>U$6*-HLOOKUP(U$2,Ingresos!$S$1:$AC$5,MATCH('Flujo de caja mensual'!$B9,Ingresos!$R$1:$R$5,0),0)</f>
        <v>-5799829.7019769643</v>
      </c>
      <c r="V9" s="145">
        <f>V$6*-HLOOKUP(V$2,Ingresos!$S$1:$AC$5,MATCH('Flujo de caja mensual'!$B9,Ingresos!$R$1:$R$5,0),0)</f>
        <v>-5885699.787331067</v>
      </c>
      <c r="W9" s="145">
        <f>W$6*-HLOOKUP(W$2,Ingresos!$S$1:$AC$5,MATCH('Flujo de caja mensual'!$B9,Ingresos!$R$1:$R$5,0),0)</f>
        <v>-5904968.0368709331</v>
      </c>
      <c r="X9" s="145">
        <f>X$6*-HLOOKUP(X$2,Ingresos!$S$1:$AC$5,MATCH('Flujo de caja mensual'!$B9,Ingresos!$R$1:$R$5,0),0)</f>
        <v>-5924299.3656458501</v>
      </c>
      <c r="Y9" s="145">
        <f>Y$6*-HLOOKUP(Y$2,Ingresos!$S$1:$AC$5,MATCH('Flujo de caja mensual'!$B9,Ingresos!$R$1:$R$5,0),0)</f>
        <v>-5943693.9801608203</v>
      </c>
      <c r="Z9" s="145">
        <f>Z$6*-HLOOKUP(Z$2,Ingresos!$S$1:$AC$5,MATCH('Flujo de caja mensual'!$B9,Ingresos!$R$1:$R$5,0),0)</f>
        <v>-5963152.0875968896</v>
      </c>
      <c r="AA9" s="145">
        <f>AA$6*-HLOOKUP(AA$2,Ingresos!$S$1:$AC$5,MATCH('Flujo de caja mensual'!$B9,Ingresos!$R$1:$R$5,0),0)</f>
        <v>-5982673.895813358</v>
      </c>
      <c r="AB9" s="145">
        <f>AB$6*-HLOOKUP(AB$2,Ingresos!$S$1:$AC$5,MATCH('Flujo de caja mensual'!$B9,Ingresos!$R$1:$R$5,0),0)</f>
        <v>0</v>
      </c>
      <c r="AC9" s="145">
        <f>AC$6*-HLOOKUP(AC$2,Ingresos!$S$1:$AC$5,MATCH('Flujo de caja mensual'!$B9,Ingresos!$R$1:$R$5,0),0)</f>
        <v>0</v>
      </c>
      <c r="AD9" s="145">
        <f>AD$6*-HLOOKUP(AD$2,Ingresos!$S$1:$AC$5,MATCH('Flujo de caja mensual'!$B9,Ingresos!$R$1:$R$5,0),0)</f>
        <v>0</v>
      </c>
      <c r="AE9" s="145">
        <f>AE$6*-HLOOKUP(AE$2,Ingresos!$S$1:$AC$5,MATCH('Flujo de caja mensual'!$B9,Ingresos!$R$1:$R$5,0),0)</f>
        <v>0</v>
      </c>
      <c r="AF9" s="145">
        <f>AF$6*-HLOOKUP(AF$2,Ingresos!$S$1:$AC$5,MATCH('Flujo de caja mensual'!$B9,Ingresos!$R$1:$R$5,0),0)</f>
        <v>0</v>
      </c>
      <c r="AG9" s="145">
        <f>AG$6*-HLOOKUP(AG$2,Ingresos!$S$1:$AC$5,MATCH('Flujo de caja mensual'!$B9,Ingresos!$R$1:$R$5,0),0)</f>
        <v>0</v>
      </c>
      <c r="AH9" s="145">
        <f>AH$6*-HLOOKUP(AH$2,Ingresos!$S$1:$AC$5,MATCH('Flujo de caja mensual'!$B9,Ingresos!$R$1:$R$5,0),0)</f>
        <v>0</v>
      </c>
      <c r="AI9" s="145">
        <f>AI$6*-HLOOKUP(AI$2,Ingresos!$S$1:$AC$5,MATCH('Flujo de caja mensual'!$B9,Ingresos!$R$1:$R$5,0),0)</f>
        <v>0</v>
      </c>
      <c r="AJ9" s="145">
        <f>AJ$6*-HLOOKUP(AJ$2,Ingresos!$S$1:$AC$5,MATCH('Flujo de caja mensual'!$B9,Ingresos!$R$1:$R$5,0),0)</f>
        <v>0</v>
      </c>
      <c r="AK9" s="145">
        <f>AK$6*-HLOOKUP(AK$2,Ingresos!$S$1:$AC$5,MATCH('Flujo de caja mensual'!$B9,Ingresos!$R$1:$R$5,0),0)</f>
        <v>0</v>
      </c>
      <c r="AL9" s="145">
        <f>AL$6*-HLOOKUP(AL$2,Ingresos!$S$1:$AC$5,MATCH('Flujo de caja mensual'!$B9,Ingresos!$R$1:$R$5,0),0)</f>
        <v>0</v>
      </c>
      <c r="AM9" s="145">
        <f>AM$6*-HLOOKUP(AM$2,Ingresos!$S$1:$AC$5,MATCH('Flujo de caja mensual'!$B9,Ingresos!$R$1:$R$5,0),0)</f>
        <v>0</v>
      </c>
      <c r="AN9" s="145">
        <f>AN$6*-HLOOKUP(AN$2,Ingresos!$S$1:$AC$5,MATCH('Flujo de caja mensual'!$B9,Ingresos!$R$1:$R$5,0),0)</f>
        <v>0</v>
      </c>
      <c r="AO9" s="145">
        <f>AO$6*-HLOOKUP(AO$2,Ingresos!$S$1:$AC$5,MATCH('Flujo de caja mensual'!$B9,Ingresos!$R$1:$R$5,0),0)</f>
        <v>0</v>
      </c>
      <c r="AP9" s="145">
        <f>AP$6*-HLOOKUP(AP$2,Ingresos!$S$1:$AC$5,MATCH('Flujo de caja mensual'!$B9,Ingresos!$R$1:$R$5,0),0)</f>
        <v>0</v>
      </c>
      <c r="AQ9" s="145">
        <f>AQ$6*-HLOOKUP(AQ$2,Ingresos!$S$1:$AC$5,MATCH('Flujo de caja mensual'!$B9,Ingresos!$R$1:$R$5,0),0)</f>
        <v>0</v>
      </c>
      <c r="AR9" s="145">
        <f>AR$6*-HLOOKUP(AR$2,Ingresos!$S$1:$AC$5,MATCH('Flujo de caja mensual'!$B9,Ingresos!$R$1:$R$5,0),0)</f>
        <v>0</v>
      </c>
      <c r="AS9" s="145">
        <f>AS$6*-HLOOKUP(AS$2,Ingresos!$S$1:$AC$5,MATCH('Flujo de caja mensual'!$B9,Ingresos!$R$1:$R$5,0),0)</f>
        <v>0</v>
      </c>
      <c r="AT9" s="145">
        <f>AT$6*-HLOOKUP(AT$2,Ingresos!$S$1:$AC$5,MATCH('Flujo de caja mensual'!$B9,Ingresos!$R$1:$R$5,0),0)</f>
        <v>0</v>
      </c>
      <c r="AU9" s="145">
        <f>AU$6*-HLOOKUP(AU$2,Ingresos!$S$1:$AC$5,MATCH('Flujo de caja mensual'!$B9,Ingresos!$R$1:$R$5,0),0)</f>
        <v>0</v>
      </c>
      <c r="AV9" s="145">
        <f>AV$6*-HLOOKUP(AV$2,Ingresos!$S$1:$AC$5,MATCH('Flujo de caja mensual'!$B9,Ingresos!$R$1:$R$5,0),0)</f>
        <v>0</v>
      </c>
      <c r="AW9" s="145">
        <f>AW$6*-HLOOKUP(AW$2,Ingresos!$S$1:$AC$5,MATCH('Flujo de caja mensual'!$B9,Ingresos!$R$1:$R$5,0),0)</f>
        <v>0</v>
      </c>
      <c r="AX9" s="145">
        <f>AX$6*-HLOOKUP(AX$2,Ingresos!$S$1:$AC$5,MATCH('Flujo de caja mensual'!$B9,Ingresos!$R$1:$R$5,0),0)</f>
        <v>0</v>
      </c>
      <c r="AY9" s="145">
        <f>AY$6*-HLOOKUP(AY$2,Ingresos!$S$1:$AC$5,MATCH('Flujo de caja mensual'!$B9,Ingresos!$R$1:$R$5,0),0)</f>
        <v>0</v>
      </c>
      <c r="AZ9" s="145">
        <f>AZ$6*-HLOOKUP(AZ$2,Ingresos!$S$1:$AC$5,MATCH('Flujo de caja mensual'!$B9,Ingresos!$R$1:$R$5,0),0)</f>
        <v>0</v>
      </c>
      <c r="BA9" s="145">
        <f>BA$6*-HLOOKUP(BA$2,Ingresos!$S$1:$AC$5,MATCH('Flujo de caja mensual'!$B9,Ingresos!$R$1:$R$5,0),0)</f>
        <v>0</v>
      </c>
      <c r="BB9" s="145">
        <f>BB$6*-HLOOKUP(BB$2,Ingresos!$S$1:$AC$5,MATCH('Flujo de caja mensual'!$B9,Ingresos!$R$1:$R$5,0),0)</f>
        <v>0</v>
      </c>
      <c r="BC9" s="145">
        <f>BC$6*-HLOOKUP(BC$2,Ingresos!$S$1:$AC$5,MATCH('Flujo de caja mensual'!$B9,Ingresos!$R$1:$R$5,0),0)</f>
        <v>0</v>
      </c>
      <c r="BD9" s="145">
        <f>BD$6*-HLOOKUP(BD$2,Ingresos!$S$1:$AC$5,MATCH('Flujo de caja mensual'!$B9,Ingresos!$R$1:$R$5,0),0)</f>
        <v>0</v>
      </c>
      <c r="BE9" s="145">
        <f>BE$6*-HLOOKUP(BE$2,Ingresos!$S$1:$AC$5,MATCH('Flujo de caja mensual'!$B9,Ingresos!$R$1:$R$5,0),0)</f>
        <v>0</v>
      </c>
      <c r="BF9" s="145">
        <f>BF$6*-HLOOKUP(BF$2,Ingresos!$S$1:$AC$5,MATCH('Flujo de caja mensual'!$B9,Ingresos!$R$1:$R$5,0),0)</f>
        <v>0</v>
      </c>
      <c r="BG9" s="145">
        <f>BG$6*-HLOOKUP(BG$2,Ingresos!$S$1:$AC$5,MATCH('Flujo de caja mensual'!$B9,Ingresos!$R$1:$R$5,0),0)</f>
        <v>0</v>
      </c>
      <c r="BH9" s="145">
        <f>BH$6*-HLOOKUP(BH$2,Ingresos!$S$1:$AC$5,MATCH('Flujo de caja mensual'!$B9,Ingresos!$R$1:$R$5,0),0)</f>
        <v>0</v>
      </c>
      <c r="BI9" s="145">
        <f>BI$6*-HLOOKUP(BI$2,Ingresos!$S$1:$AC$5,MATCH('Flujo de caja mensual'!$B9,Ingresos!$R$1:$R$5,0),0)</f>
        <v>0</v>
      </c>
      <c r="BJ9" s="145">
        <f>BJ$6*-HLOOKUP(BJ$2,Ingresos!$S$1:$AC$5,MATCH('Flujo de caja mensual'!$B9,Ingresos!$R$1:$R$5,0),0)</f>
        <v>0</v>
      </c>
      <c r="BK9" s="145">
        <f>BK$6*-HLOOKUP(BK$2,Ingresos!$S$1:$AC$5,MATCH('Flujo de caja mensual'!$B9,Ingresos!$R$1:$R$5,0),0)</f>
        <v>0</v>
      </c>
      <c r="BL9" s="145">
        <f>BL$6*-HLOOKUP(BL$2,Ingresos!$S$1:$AC$5,MATCH('Flujo de caja mensual'!$B9,Ingresos!$R$1:$R$5,0),0)</f>
        <v>0</v>
      </c>
      <c r="BM9" s="145">
        <f>BM$6*-HLOOKUP(BM$2,Ingresos!$S$1:$AC$5,MATCH('Flujo de caja mensual'!$B9,Ingresos!$R$1:$R$5,0),0)</f>
        <v>0</v>
      </c>
      <c r="BN9" s="145">
        <f>BN$6*-HLOOKUP(BN$2,Ingresos!$S$1:$AC$5,MATCH('Flujo de caja mensual'!$B9,Ingresos!$R$1:$R$5,0),0)</f>
        <v>0</v>
      </c>
      <c r="BO9" s="145">
        <f>BO$6*-HLOOKUP(BO$2,Ingresos!$S$1:$AC$5,MATCH('Flujo de caja mensual'!$B9,Ingresos!$R$1:$R$5,0),0)</f>
        <v>0</v>
      </c>
      <c r="BP9" s="145">
        <f>BP$6*-HLOOKUP(BP$2,Ingresos!$S$1:$AC$5,MATCH('Flujo de caja mensual'!$B9,Ingresos!$R$1:$R$5,0),0)</f>
        <v>0</v>
      </c>
      <c r="BQ9" s="145">
        <f>BQ$6*-HLOOKUP(BQ$2,Ingresos!$S$1:$AC$5,MATCH('Flujo de caja mensual'!$B9,Ingresos!$R$1:$R$5,0),0)</f>
        <v>0</v>
      </c>
      <c r="BR9" s="145">
        <f>BR$6*-HLOOKUP(BR$2,Ingresos!$S$1:$AC$5,MATCH('Flujo de caja mensual'!$B9,Ingresos!$R$1:$R$5,0),0)</f>
        <v>0</v>
      </c>
      <c r="BS9" s="145">
        <f>BS$6*-HLOOKUP(BS$2,Ingresos!$S$1:$AC$5,MATCH('Flujo de caja mensual'!$B9,Ingresos!$R$1:$R$5,0),0)</f>
        <v>0</v>
      </c>
      <c r="BT9" s="145">
        <f>BT$6*-HLOOKUP(BT$2,Ingresos!$S$1:$AC$5,MATCH('Flujo de caja mensual'!$B9,Ingresos!$R$1:$R$5,0),0)</f>
        <v>0</v>
      </c>
      <c r="BU9" s="145">
        <f>BU$6*-HLOOKUP(BU$2,Ingresos!$S$1:$AC$5,MATCH('Flujo de caja mensual'!$B9,Ingresos!$R$1:$R$5,0),0)</f>
        <v>0</v>
      </c>
      <c r="BV9" s="145">
        <f>BV$6*-HLOOKUP(BV$2,Ingresos!$S$1:$AC$5,MATCH('Flujo de caja mensual'!$B9,Ingresos!$R$1:$R$5,0),0)</f>
        <v>0</v>
      </c>
      <c r="BW9" s="145">
        <f>BW$6*-HLOOKUP(BW$2,Ingresos!$S$1:$AC$5,MATCH('Flujo de caja mensual'!$B9,Ingresos!$R$1:$R$5,0),0)</f>
        <v>0</v>
      </c>
      <c r="BX9" s="145">
        <f>BX$6*-HLOOKUP(BX$2,Ingresos!$S$1:$AC$5,MATCH('Flujo de caja mensual'!$B9,Ingresos!$R$1:$R$5,0),0)</f>
        <v>0</v>
      </c>
      <c r="BY9" s="145">
        <f>BY$6*-HLOOKUP(BY$2,Ingresos!$S$1:$AC$5,MATCH('Flujo de caja mensual'!$B9,Ingresos!$R$1:$R$5,0),0)</f>
        <v>0</v>
      </c>
      <c r="BZ9" s="145">
        <f>BZ$6*-HLOOKUP(BZ$2,Ingresos!$S$1:$AC$5,MATCH('Flujo de caja mensual'!$B9,Ingresos!$R$1:$R$5,0),0)</f>
        <v>0</v>
      </c>
      <c r="CA9" s="145">
        <f>CA$6*-HLOOKUP(CA$2,Ingresos!$S$1:$AC$5,MATCH('Flujo de caja mensual'!$B9,Ingresos!$R$1:$R$5,0),0)</f>
        <v>0</v>
      </c>
      <c r="CB9" s="145">
        <f>CB$6*-HLOOKUP(CB$2,Ingresos!$S$1:$AC$5,MATCH('Flujo de caja mensual'!$B9,Ingresos!$R$1:$R$5,0),0)</f>
        <v>0</v>
      </c>
      <c r="CC9" s="145">
        <f>CC$6*-HLOOKUP(CC$2,Ingresos!$S$1:$AC$5,MATCH('Flujo de caja mensual'!$B9,Ingresos!$R$1:$R$5,0),0)</f>
        <v>0</v>
      </c>
      <c r="CD9" s="145">
        <f>CD$6*-HLOOKUP(CD$2,Ingresos!$S$1:$AC$5,MATCH('Flujo de caja mensual'!$B9,Ingresos!$R$1:$R$5,0),0)</f>
        <v>0</v>
      </c>
      <c r="CE9" s="145">
        <f>CE$6*-HLOOKUP(CE$2,Ingresos!$S$1:$AC$5,MATCH('Flujo de caja mensual'!$B9,Ingresos!$R$1:$R$5,0),0)</f>
        <v>0</v>
      </c>
      <c r="CF9" s="145">
        <f>CF$6*-HLOOKUP(CF$2,Ingresos!$S$1:$AC$5,MATCH('Flujo de caja mensual'!$B9,Ingresos!$R$1:$R$5,0),0)</f>
        <v>0</v>
      </c>
      <c r="CG9" s="145">
        <f>CG$6*-HLOOKUP(CG$2,Ingresos!$S$1:$AC$5,MATCH('Flujo de caja mensual'!$B9,Ingresos!$R$1:$R$5,0),0)</f>
        <v>0</v>
      </c>
      <c r="CH9" s="145">
        <f>CH$6*-HLOOKUP(CH$2,Ingresos!$S$1:$AC$5,MATCH('Flujo de caja mensual'!$B9,Ingresos!$R$1:$R$5,0),0)</f>
        <v>0</v>
      </c>
      <c r="CI9" s="145">
        <f>CI$6*-HLOOKUP(CI$2,Ingresos!$S$1:$AC$5,MATCH('Flujo de caja mensual'!$B9,Ingresos!$R$1:$R$5,0),0)</f>
        <v>0</v>
      </c>
      <c r="CJ9" s="145">
        <f>CJ$6*-HLOOKUP(CJ$2,Ingresos!$S$1:$AC$5,MATCH('Flujo de caja mensual'!$B9,Ingresos!$R$1:$R$5,0),0)</f>
        <v>0</v>
      </c>
      <c r="CK9" s="145">
        <f>CK$6*-HLOOKUP(CK$2,Ingresos!$S$1:$AC$5,MATCH('Flujo de caja mensual'!$B9,Ingresos!$R$1:$R$5,0),0)</f>
        <v>0</v>
      </c>
      <c r="CL9" s="145">
        <f>CL$6*-HLOOKUP(CL$2,Ingresos!$S$1:$AC$5,MATCH('Flujo de caja mensual'!$B9,Ingresos!$R$1:$R$5,0),0)</f>
        <v>0</v>
      </c>
      <c r="CM9" s="145">
        <f>CM$6*-HLOOKUP(CM$2,Ingresos!$S$1:$AC$5,MATCH('Flujo de caja mensual'!$B9,Ingresos!$R$1:$R$5,0),0)</f>
        <v>0</v>
      </c>
      <c r="CN9" s="145">
        <f>CN$6*-HLOOKUP(CN$2,Ingresos!$S$1:$AC$5,MATCH('Flujo de caja mensual'!$B9,Ingresos!$R$1:$R$5,0),0)</f>
        <v>0</v>
      </c>
      <c r="CO9" s="145">
        <f>CO$6*-HLOOKUP(CO$2,Ingresos!$S$1:$AC$5,MATCH('Flujo de caja mensual'!$B9,Ingresos!$R$1:$R$5,0),0)</f>
        <v>0</v>
      </c>
      <c r="CP9" s="145">
        <f>CP$6*-HLOOKUP(CP$2,Ingresos!$S$1:$AC$5,MATCH('Flujo de caja mensual'!$B9,Ingresos!$R$1:$R$5,0),0)</f>
        <v>0</v>
      </c>
      <c r="CQ9" s="145">
        <f>CQ$6*-HLOOKUP(CQ$2,Ingresos!$S$1:$AC$5,MATCH('Flujo de caja mensual'!$B9,Ingresos!$R$1:$R$5,0),0)</f>
        <v>0</v>
      </c>
      <c r="CR9" s="145">
        <f>CR$6*-HLOOKUP(CR$2,Ingresos!$S$1:$AC$5,MATCH('Flujo de caja mensual'!$B9,Ingresos!$R$1:$R$5,0),0)</f>
        <v>0</v>
      </c>
      <c r="CS9" s="145">
        <f>CS$6*-HLOOKUP(CS$2,Ingresos!$S$1:$AC$5,MATCH('Flujo de caja mensual'!$B9,Ingresos!$R$1:$R$5,0),0)</f>
        <v>0</v>
      </c>
      <c r="CT9" s="145">
        <f>CT$6*-HLOOKUP(CT$2,Ingresos!$S$1:$AC$5,MATCH('Flujo de caja mensual'!$B9,Ingresos!$R$1:$R$5,0),0)</f>
        <v>0</v>
      </c>
      <c r="CU9" s="145">
        <f>CU$6*-HLOOKUP(CU$2,Ingresos!$S$1:$AC$5,MATCH('Flujo de caja mensual'!$B9,Ingresos!$R$1:$R$5,0),0)</f>
        <v>0</v>
      </c>
      <c r="CV9" s="145">
        <f>CV$6*-HLOOKUP(CV$2,Ingresos!$S$1:$AC$5,MATCH('Flujo de caja mensual'!$B9,Ingresos!$R$1:$R$5,0),0)</f>
        <v>0</v>
      </c>
      <c r="CW9" s="145">
        <f>CW$6*-HLOOKUP(CW$2,Ingresos!$S$1:$AC$5,MATCH('Flujo de caja mensual'!$B9,Ingresos!$R$1:$R$5,0),0)</f>
        <v>0</v>
      </c>
      <c r="CX9" s="145">
        <f>CX$6*-HLOOKUP(CX$2,Ingresos!$S$1:$AC$5,MATCH('Flujo de caja mensual'!$B9,Ingresos!$R$1:$R$5,0),0)</f>
        <v>0</v>
      </c>
      <c r="CY9" s="145">
        <f>CY$6*-HLOOKUP(CY$2,Ingresos!$S$1:$AC$5,MATCH('Flujo de caja mensual'!$B9,Ingresos!$R$1:$R$5,0),0)</f>
        <v>0</v>
      </c>
      <c r="CZ9" s="145">
        <f>CZ$6*-HLOOKUP(CZ$2,Ingresos!$S$1:$AC$5,MATCH('Flujo de caja mensual'!$B9,Ingresos!$R$1:$R$5,0),0)</f>
        <v>0</v>
      </c>
      <c r="DA9" s="145">
        <f>DA$6*-HLOOKUP(DA$2,Ingresos!$S$1:$AC$5,MATCH('Flujo de caja mensual'!$B9,Ingresos!$R$1:$R$5,0),0)</f>
        <v>0</v>
      </c>
      <c r="DB9" s="145">
        <f>DB$6*-HLOOKUP(DB$2,Ingresos!$S$1:$AC$5,MATCH('Flujo de caja mensual'!$B9,Ingresos!$R$1:$R$5,0),0)</f>
        <v>0</v>
      </c>
      <c r="DC9" s="145">
        <f>DC$6*-HLOOKUP(DC$2,Ingresos!$S$1:$AC$5,MATCH('Flujo de caja mensual'!$B9,Ingresos!$R$1:$R$5,0),0)</f>
        <v>0</v>
      </c>
      <c r="DD9" s="145">
        <f>DD$6*-HLOOKUP(DD$2,Ingresos!$S$1:$AC$5,MATCH('Flujo de caja mensual'!$B9,Ingresos!$R$1:$R$5,0),0)</f>
        <v>0</v>
      </c>
      <c r="DE9" s="145">
        <f>DE$6*-HLOOKUP(DE$2,Ingresos!$S$1:$AC$5,MATCH('Flujo de caja mensual'!$B9,Ingresos!$R$1:$R$5,0),0)</f>
        <v>0</v>
      </c>
      <c r="DF9" s="145">
        <f>DF$6*-HLOOKUP(DF$2,Ingresos!$S$1:$AC$5,MATCH('Flujo de caja mensual'!$B9,Ingresos!$R$1:$R$5,0),0)</f>
        <v>0</v>
      </c>
      <c r="DG9" s="145">
        <f>DG$6*-HLOOKUP(DG$2,Ingresos!$S$1:$AC$5,MATCH('Flujo de caja mensual'!$B9,Ingresos!$R$1:$R$5,0),0)</f>
        <v>0</v>
      </c>
      <c r="DH9" s="145">
        <f>DH$6*-HLOOKUP(DH$2,Ingresos!$S$1:$AC$5,MATCH('Flujo de caja mensual'!$B9,Ingresos!$R$1:$R$5,0),0)</f>
        <v>0</v>
      </c>
      <c r="DI9" s="145">
        <f>DI$6*-HLOOKUP(DI$2,Ingresos!$S$1:$AC$5,MATCH('Flujo de caja mensual'!$B9,Ingresos!$R$1:$R$5,0),0)</f>
        <v>0</v>
      </c>
      <c r="DJ9" s="145">
        <f>DJ$6*-HLOOKUP(DJ$2,Ingresos!$S$1:$AC$5,MATCH('Flujo de caja mensual'!$B9,Ingresos!$R$1:$R$5,0),0)</f>
        <v>0</v>
      </c>
      <c r="DK9" s="145">
        <f>DK$6*-HLOOKUP(DK$2,Ingresos!$S$1:$AC$5,MATCH('Flujo de caja mensual'!$B9,Ingresos!$R$1:$R$5,0),0)</f>
        <v>0</v>
      </c>
      <c r="DL9" s="145">
        <f>DL$6*-HLOOKUP(DL$2,Ingresos!$S$1:$AC$5,MATCH('Flujo de caja mensual'!$B9,Ingresos!$R$1:$R$5,0),0)</f>
        <v>0</v>
      </c>
      <c r="DM9" s="145">
        <f>DM$6*-HLOOKUP(DM$2,Ingresos!$S$1:$AC$5,MATCH('Flujo de caja mensual'!$B9,Ingresos!$R$1:$R$5,0),0)</f>
        <v>0</v>
      </c>
      <c r="DN9" s="145">
        <f>DN$6*-HLOOKUP(DN$2,Ingresos!$S$1:$AC$5,MATCH('Flujo de caja mensual'!$B9,Ingresos!$R$1:$R$5,0),0)</f>
        <v>0</v>
      </c>
      <c r="DO9" s="145">
        <f>DO$6*-HLOOKUP(DO$2,Ingresos!$S$1:$AC$5,MATCH('Flujo de caja mensual'!$B9,Ingresos!$R$1:$R$5,0),0)</f>
        <v>0</v>
      </c>
      <c r="DP9" s="145">
        <f>DP$6*-HLOOKUP(DP$2,Ingresos!$S$1:$AC$5,MATCH('Flujo de caja mensual'!$B9,Ingresos!$R$1:$R$5,0),0)</f>
        <v>0</v>
      </c>
      <c r="DQ9" s="145">
        <f>DQ$6*-HLOOKUP(DQ$2,Ingresos!$S$1:$AC$5,MATCH('Flujo de caja mensual'!$B9,Ingresos!$R$1:$R$5,0),0)</f>
        <v>0</v>
      </c>
      <c r="DR9" s="145">
        <f>DR$6*-HLOOKUP(DR$2,Ingresos!$S$1:$AC$5,MATCH('Flujo de caja mensual'!$B9,Ingresos!$R$1:$R$5,0),0)</f>
        <v>0</v>
      </c>
      <c r="DS9" s="145">
        <f>DS$6*-HLOOKUP(DS$2,Ingresos!$S$1:$AC$5,MATCH('Flujo de caja mensual'!$B9,Ingresos!$R$1:$R$5,0),0)</f>
        <v>0</v>
      </c>
      <c r="DT9" s="145">
        <f>DT$6*-HLOOKUP(DT$2,Ingresos!$S$1:$AC$5,MATCH('Flujo de caja mensual'!$B9,Ingresos!$R$1:$R$5,0),0)</f>
        <v>0</v>
      </c>
      <c r="DU9" s="145">
        <f>DU$6*-HLOOKUP(DU$2,Ingresos!$S$1:$AC$5,MATCH('Flujo de caja mensual'!$B9,Ingresos!$R$1:$R$5,0),0)</f>
        <v>0</v>
      </c>
      <c r="DV9" s="145">
        <f>DV$6*-HLOOKUP(DV$2,Ingresos!$S$1:$AC$5,MATCH('Flujo de caja mensual'!$B9,Ingresos!$R$1:$R$5,0),0)</f>
        <v>0</v>
      </c>
      <c r="DW9" s="145">
        <f>DW$6*-HLOOKUP(DW$2,Ingresos!$S$1:$AC$5,MATCH('Flujo de caja mensual'!$B9,Ingresos!$R$1:$R$5,0),0)</f>
        <v>0</v>
      </c>
      <c r="DX9" s="145">
        <f>DX$6*-HLOOKUP(DX$2,Ingresos!$S$1:$AC$5,MATCH('Flujo de caja mensual'!$B9,Ingresos!$R$1:$R$5,0),0)</f>
        <v>0</v>
      </c>
      <c r="DY9" s="145">
        <f>DY$6*-HLOOKUP(DY$2,Ingresos!$S$1:$AC$5,MATCH('Flujo de caja mensual'!$B9,Ingresos!$R$1:$R$5,0),0)</f>
        <v>0</v>
      </c>
      <c r="DZ9" s="145">
        <f>DZ$6*-HLOOKUP(DZ$2,Ingresos!$S$1:$AC$5,MATCH('Flujo de caja mensual'!$B9,Ingresos!$R$1:$R$5,0),0)</f>
        <v>0</v>
      </c>
      <c r="EA9" s="145">
        <f>EA$6*-HLOOKUP(EA$2,Ingresos!$S$1:$AC$5,MATCH('Flujo de caja mensual'!$B9,Ingresos!$R$1:$R$5,0),0)</f>
        <v>0</v>
      </c>
      <c r="EB9" s="145">
        <f>EB$6*-HLOOKUP(EB$2,Ingresos!$S$1:$AC$5,MATCH('Flujo de caja mensual'!$B9,Ingresos!$R$1:$R$5,0),0)</f>
        <v>0</v>
      </c>
      <c r="EC9" s="145">
        <f>EC$6*-HLOOKUP(EC$2,Ingresos!$S$1:$AC$5,MATCH('Flujo de caja mensual'!$B9,Ingresos!$R$1:$R$5,0),0)</f>
        <v>0</v>
      </c>
      <c r="ED9" s="145">
        <f>ED$6*-HLOOKUP(ED$2,Ingresos!$S$1:$AC$5,MATCH('Flujo de caja mensual'!$B9,Ingresos!$R$1:$R$5,0),0)</f>
        <v>0</v>
      </c>
      <c r="EE9" s="146">
        <f>EE$6*-HLOOKUP(EE$2,Ingresos!$S$1:$AC$5,MATCH('Flujo de caja mensual'!$B9,Ingresos!$R$1:$R$5,0),0)</f>
        <v>0</v>
      </c>
    </row>
    <row r="10" spans="1:135" x14ac:dyDescent="0.25">
      <c r="A10" s="152">
        <f>SUMIF($C$1:$EE$1,"&lt;="&amp;Resumen!$K$19,'Flujo de caja mensual'!C10:EE10)</f>
        <v>-158576661.01730919</v>
      </c>
      <c r="B10" s="5" t="s">
        <v>64</v>
      </c>
      <c r="C10" s="144"/>
      <c r="D10" s="145">
        <f>D$6*-HLOOKUP(D$2,Ingresos!$S$1:$AC$5,MATCH('Flujo de caja mensual'!$B10,Ingresos!$R$1:$R$5,0),0)</f>
        <v>-999377.22499999986</v>
      </c>
      <c r="E10" s="145">
        <f>E$6*-HLOOKUP(E$2,Ingresos!$S$1:$AC$5,MATCH('Flujo de caja mensual'!$B10,Ingresos!$R$1:$R$5,0),0)</f>
        <v>-1003448.8115212088</v>
      </c>
      <c r="F10" s="145">
        <f>F$6*-HLOOKUP(F$2,Ingresos!$S$1:$AC$5,MATCH('Flujo de caja mensual'!$B10,Ingresos!$R$1:$R$5,0),0)</f>
        <v>-1007536.9861899011</v>
      </c>
      <c r="G10" s="145">
        <f>G$6*-HLOOKUP(G$2,Ingresos!$S$1:$AC$5,MATCH('Flujo de caja mensual'!$B10,Ingresos!$R$1:$R$5,0),0)</f>
        <v>-1011641.8165882428</v>
      </c>
      <c r="H10" s="145">
        <f>H$6*-HLOOKUP(H$2,Ingresos!$S$1:$AC$5,MATCH('Flujo de caja mensual'!$B10,Ingresos!$R$1:$R$5,0),0)</f>
        <v>-1015763.3705737381</v>
      </c>
      <c r="I10" s="145">
        <f>I$6*-HLOOKUP(I$2,Ingresos!$S$1:$AC$5,MATCH('Flujo de caja mensual'!$B10,Ingresos!$R$1:$R$5,0),0)</f>
        <v>-1019901.7162803514</v>
      </c>
      <c r="J10" s="145">
        <f>J$6*-HLOOKUP(J$2,Ingresos!$S$1:$AC$5,MATCH('Flujo de caja mensual'!$B10,Ingresos!$R$1:$R$5,0),0)</f>
        <v>-1024056.9221196329</v>
      </c>
      <c r="K10" s="145">
        <f>K$6*-HLOOKUP(K$2,Ingresos!$S$1:$AC$5,MATCH('Flujo de caja mensual'!$B10,Ingresos!$R$1:$R$5,0),0)</f>
        <v>-1028229.0567818504</v>
      </c>
      <c r="L10" s="145">
        <f>L$6*-HLOOKUP(L$2,Ingresos!$S$1:$AC$5,MATCH('Flujo de caja mensual'!$B10,Ingresos!$R$1:$R$5,0),0)</f>
        <v>-1032418.1892371236</v>
      </c>
      <c r="M10" s="145">
        <f>M$6*-HLOOKUP(M$2,Ingresos!$S$1:$AC$5,MATCH('Flujo de caja mensual'!$B10,Ingresos!$R$1:$R$5,0),0)</f>
        <v>-1036624.3887365657</v>
      </c>
      <c r="N10" s="145">
        <f>N$6*-HLOOKUP(N$2,Ingresos!$S$1:$AC$5,MATCH('Flujo de caja mensual'!$B10,Ingresos!$R$1:$R$5,0),0)</f>
        <v>-1040847.7248134273</v>
      </c>
      <c r="O10" s="145">
        <f>O$6*-HLOOKUP(O$2,Ingresos!$S$1:$AC$5,MATCH('Flujo de caja mensual'!$B10,Ingresos!$R$1:$R$5,0),0)</f>
        <v>-1058151.8706252989</v>
      </c>
      <c r="P10" s="145">
        <f>P$6*-HLOOKUP(P$2,Ingresos!$S$1:$AC$5,MATCH('Flujo de caja mensual'!$B10,Ingresos!$R$1:$R$5,0),0)</f>
        <v>-1075579.7384062505</v>
      </c>
      <c r="Q10" s="145">
        <f>Q$6*-HLOOKUP(Q$2,Ingresos!$S$1:$AC$5,MATCH('Flujo de caja mensual'!$B10,Ingresos!$R$1:$R$5,0),0)</f>
        <v>-1092260.6737382712</v>
      </c>
      <c r="R10" s="145">
        <f>R$6*-HLOOKUP(R$2,Ingresos!$S$1:$AC$5,MATCH('Flujo de caja mensual'!$B10,Ingresos!$R$1:$R$5,0),0)</f>
        <v>-1109039.2997651475</v>
      </c>
      <c r="S10" s="145">
        <f>S$6*-HLOOKUP(S$2,Ingresos!$S$1:$AC$5,MATCH('Flujo de caja mensual'!$B10,Ingresos!$R$1:$R$5,0),0)</f>
        <v>-1125916.0773389153</v>
      </c>
      <c r="T10" s="145">
        <f>T$6*-HLOOKUP(T$2,Ingresos!$S$1:$AC$5,MATCH('Flujo de caja mensual'!$B10,Ingresos!$R$1:$R$5,0),0)</f>
        <v>-1142891.4692820432</v>
      </c>
      <c r="U10" s="145">
        <f>U$6*-HLOOKUP(U$2,Ingresos!$S$1:$AC$5,MATCH('Flujo de caja mensual'!$B10,Ingresos!$R$1:$R$5,0),0)</f>
        <v>-1159965.9403953929</v>
      </c>
      <c r="V10" s="145">
        <f>V$6*-HLOOKUP(V$2,Ingresos!$S$1:$AC$5,MATCH('Flujo de caja mensual'!$B10,Ingresos!$R$1:$R$5,0),0)</f>
        <v>-1177139.9574662135</v>
      </c>
      <c r="W10" s="145">
        <f>W$6*-HLOOKUP(W$2,Ingresos!$S$1:$AC$5,MATCH('Flujo de caja mensual'!$B10,Ingresos!$R$1:$R$5,0),0)</f>
        <v>-1180993.6073741866</v>
      </c>
      <c r="X10" s="145">
        <f>X$6*-HLOOKUP(X$2,Ingresos!$S$1:$AC$5,MATCH('Flujo de caja mensual'!$B10,Ingresos!$R$1:$R$5,0),0)</f>
        <v>-1184859.8731291699</v>
      </c>
      <c r="Y10" s="145">
        <f>Y$6*-HLOOKUP(Y$2,Ingresos!$S$1:$AC$5,MATCH('Flujo de caja mensual'!$B10,Ingresos!$R$1:$R$5,0),0)</f>
        <v>-1188738.796032164</v>
      </c>
      <c r="Z10" s="145">
        <f>Z$6*-HLOOKUP(Z$2,Ingresos!$S$1:$AC$5,MATCH('Flujo de caja mensual'!$B10,Ingresos!$R$1:$R$5,0),0)</f>
        <v>-1192630.417519378</v>
      </c>
      <c r="AA10" s="145">
        <f>AA$6*-HLOOKUP(AA$2,Ingresos!$S$1:$AC$5,MATCH('Flujo de caja mensual'!$B10,Ingresos!$R$1:$R$5,0),0)</f>
        <v>-1196534.7791626716</v>
      </c>
      <c r="AB10" s="145">
        <f>AB$6*-HLOOKUP(AB$2,Ingresos!$S$1:$AC$5,MATCH('Flujo de caja mensual'!$B10,Ingresos!$R$1:$R$5,0),0)</f>
        <v>-1200451.9226700012</v>
      </c>
      <c r="AC10" s="145">
        <f>AC$6*-HLOOKUP(AC$2,Ingresos!$S$1:$AC$5,MATCH('Flujo de caja mensual'!$B10,Ingresos!$R$1:$R$5,0),0)</f>
        <v>-1203898.2985571076</v>
      </c>
      <c r="AD10" s="145">
        <f>AD$6*-HLOOKUP(AD$2,Ingresos!$S$1:$AC$5,MATCH('Flujo de caja mensual'!$B10,Ingresos!$R$1:$R$5,0),0)</f>
        <v>-1207354.5686403336</v>
      </c>
      <c r="AE10" s="145">
        <f>AE$6*-HLOOKUP(AE$2,Ingresos!$S$1:$AC$5,MATCH('Flujo de caja mensual'!$B10,Ingresos!$R$1:$R$5,0),0)</f>
        <v>-1210820.7613249144</v>
      </c>
      <c r="AF10" s="145">
        <f>AF$6*-HLOOKUP(AF$2,Ingresos!$S$1:$AC$5,MATCH('Flujo de caja mensual'!$B10,Ingresos!$R$1:$R$5,0),0)</f>
        <v>-1214296.9050976336</v>
      </c>
      <c r="AG10" s="145">
        <f>AG$6*-HLOOKUP(AG$2,Ingresos!$S$1:$AC$5,MATCH('Flujo de caja mensual'!$B10,Ingresos!$R$1:$R$5,0),0)</f>
        <v>-1217783.0285270573</v>
      </c>
      <c r="AH10" s="145">
        <f>AH$6*-HLOOKUP(AH$2,Ingresos!$S$1:$AC$5,MATCH('Flujo de caja mensual'!$B10,Ingresos!$R$1:$R$5,0),0)</f>
        <v>-1221279.1602637686</v>
      </c>
      <c r="AI10" s="145">
        <f>AI$6*-HLOOKUP(AI$2,Ingresos!$S$1:$AC$5,MATCH('Flujo de caja mensual'!$B10,Ingresos!$R$1:$R$5,0),0)</f>
        <v>-1224785.3290406049</v>
      </c>
      <c r="AJ10" s="145">
        <f>AJ$6*-HLOOKUP(AJ$2,Ingresos!$S$1:$AC$5,MATCH('Flujo de caja mensual'!$B10,Ingresos!$R$1:$R$5,0),0)</f>
        <v>-1228301.5636728914</v>
      </c>
      <c r="AK10" s="145">
        <f>AK$6*-HLOOKUP(AK$2,Ingresos!$S$1:$AC$5,MATCH('Flujo de caja mensual'!$B10,Ingresos!$R$1:$R$5,0),0)</f>
        <v>-1231827.8930586798</v>
      </c>
      <c r="AL10" s="145">
        <f>AL$6*-HLOOKUP(AL$2,Ingresos!$S$1:$AC$5,MATCH('Flujo de caja mensual'!$B10,Ingresos!$R$1:$R$5,0),0)</f>
        <v>-1235364.346178985</v>
      </c>
      <c r="AM10" s="145">
        <f>AM$6*-HLOOKUP(AM$2,Ingresos!$S$1:$AC$5,MATCH('Flujo de caja mensual'!$B10,Ingresos!$R$1:$R$5,0),0)</f>
        <v>-1238910.9520980231</v>
      </c>
      <c r="AN10" s="145">
        <f>AN$6*-HLOOKUP(AN$2,Ingresos!$S$1:$AC$5,MATCH('Flujo de caja mensual'!$B10,Ingresos!$R$1:$R$5,0),0)</f>
        <v>-1242467.7399634514</v>
      </c>
      <c r="AO10" s="145">
        <f>AO$6*-HLOOKUP(AO$2,Ingresos!$S$1:$AC$5,MATCH('Flujo de caja mensual'!$B10,Ingresos!$R$1:$R$5,0),0)</f>
        <v>-1246034.7390066066</v>
      </c>
      <c r="AP10" s="145">
        <f>AP$6*-HLOOKUP(AP$2,Ingresos!$S$1:$AC$5,MATCH('Flujo de caja mensual'!$B10,Ingresos!$R$1:$R$5,0),0)</f>
        <v>-1249611.9785427456</v>
      </c>
      <c r="AQ10" s="145">
        <f>AQ$6*-HLOOKUP(AQ$2,Ingresos!$S$1:$AC$5,MATCH('Flujo de caja mensual'!$B10,Ingresos!$R$1:$R$5,0),0)</f>
        <v>-1253199.4879712868</v>
      </c>
      <c r="AR10" s="145">
        <f>AR$6*-HLOOKUP(AR$2,Ingresos!$S$1:$AC$5,MATCH('Flujo de caja mensual'!$B10,Ingresos!$R$1:$R$5,0),0)</f>
        <v>-1256797.2967760512</v>
      </c>
      <c r="AS10" s="145">
        <f>AS$6*-HLOOKUP(AS$2,Ingresos!$S$1:$AC$5,MATCH('Flujo de caja mensual'!$B10,Ingresos!$R$1:$R$5,0),0)</f>
        <v>-1260405.4345255045</v>
      </c>
      <c r="AT10" s="145">
        <f>AT$6*-HLOOKUP(AT$2,Ingresos!$S$1:$AC$5,MATCH('Flujo de caja mensual'!$B10,Ingresos!$R$1:$R$5,0),0)</f>
        <v>-1264023.930873001</v>
      </c>
      <c r="AU10" s="145">
        <f>AU$6*-HLOOKUP(AU$2,Ingresos!$S$1:$AC$5,MATCH('Flujo de caja mensual'!$B10,Ingresos!$R$1:$R$5,0),0)</f>
        <v>-1267652.8155570263</v>
      </c>
      <c r="AV10" s="145">
        <f>AV$6*-HLOOKUP(AV$2,Ingresos!$S$1:$AC$5,MATCH('Flujo de caja mensual'!$B10,Ingresos!$R$1:$R$5,0),0)</f>
        <v>-1271292.1184014431</v>
      </c>
      <c r="AW10" s="145">
        <f>AW$6*-HLOOKUP(AW$2,Ingresos!$S$1:$AC$5,MATCH('Flujo de caja mensual'!$B10,Ingresos!$R$1:$R$5,0),0)</f>
        <v>-1274941.8693157339</v>
      </c>
      <c r="AX10" s="145">
        <f>AX$6*-HLOOKUP(AX$2,Ingresos!$S$1:$AC$5,MATCH('Flujo de caja mensual'!$B10,Ingresos!$R$1:$R$5,0),0)</f>
        <v>-1278602.0982952497</v>
      </c>
      <c r="AY10" s="145">
        <f>AY$6*-HLOOKUP(AY$2,Ingresos!$S$1:$AC$5,MATCH('Flujo de caja mensual'!$B10,Ingresos!$R$1:$R$5,0),0)</f>
        <v>-1282272.8354214542</v>
      </c>
      <c r="AZ10" s="145">
        <f>AZ$6*-HLOOKUP(AZ$2,Ingresos!$S$1:$AC$5,MATCH('Flujo de caja mensual'!$B10,Ingresos!$R$1:$R$5,0),0)</f>
        <v>-1285954.1108621724</v>
      </c>
      <c r="BA10" s="145">
        <f>BA$6*-HLOOKUP(BA$2,Ingresos!$S$1:$AC$5,MATCH('Flujo de caja mensual'!$B10,Ingresos!$R$1:$R$5,0),0)</f>
        <v>-1289645.954871838</v>
      </c>
      <c r="BB10" s="145">
        <f>BB$6*-HLOOKUP(BB$2,Ingresos!$S$1:$AC$5,MATCH('Flujo de caja mensual'!$B10,Ingresos!$R$1:$R$5,0),0)</f>
        <v>-1293348.3977917419</v>
      </c>
      <c r="BC10" s="145">
        <f>BC$6*-HLOOKUP(BC$2,Ingresos!$S$1:$AC$5,MATCH('Flujo de caja mensual'!$B10,Ingresos!$R$1:$R$5,0),0)</f>
        <v>-1297061.4700502821</v>
      </c>
      <c r="BD10" s="145">
        <f>BD$6*-HLOOKUP(BD$2,Ingresos!$S$1:$AC$5,MATCH('Flujo de caja mensual'!$B10,Ingresos!$R$1:$R$5,0),0)</f>
        <v>-1300785.2021632129</v>
      </c>
      <c r="BE10" s="145">
        <f>BE$6*-HLOOKUP(BE$2,Ingresos!$S$1:$AC$5,MATCH('Flujo de caja mensual'!$B10,Ingresos!$R$1:$R$5,0),0)</f>
        <v>-1304519.6247338972</v>
      </c>
      <c r="BF10" s="145">
        <f>BF$6*-HLOOKUP(BF$2,Ingresos!$S$1:$AC$5,MATCH('Flujo de caja mensual'!$B10,Ingresos!$R$1:$R$5,0),0)</f>
        <v>-1308264.7684535561</v>
      </c>
      <c r="BG10" s="145">
        <f>BG$6*-HLOOKUP(BG$2,Ingresos!$S$1:$AC$5,MATCH('Flujo de caja mensual'!$B10,Ingresos!$R$1:$R$5,0),0)</f>
        <v>-1312020.6641015224</v>
      </c>
      <c r="BH10" s="145">
        <f>BH$6*-HLOOKUP(BH$2,Ingresos!$S$1:$AC$5,MATCH('Flujo de caja mensual'!$B10,Ingresos!$R$1:$R$5,0),0)</f>
        <v>-1315787.3425454937</v>
      </c>
      <c r="BI10" s="145">
        <f>BI$6*-HLOOKUP(BI$2,Ingresos!$S$1:$AC$5,MATCH('Flujo de caja mensual'!$B10,Ingresos!$R$1:$R$5,0),0)</f>
        <v>-1319564.8347417847</v>
      </c>
      <c r="BJ10" s="145">
        <f>BJ$6*-HLOOKUP(BJ$2,Ingresos!$S$1:$AC$5,MATCH('Flujo de caja mensual'!$B10,Ingresos!$R$1:$R$5,0),0)</f>
        <v>-1323353.1717355836</v>
      </c>
      <c r="BK10" s="145">
        <f>BK$6*-HLOOKUP(BK$2,Ingresos!$S$1:$AC$5,MATCH('Flujo de caja mensual'!$B10,Ingresos!$R$1:$R$5,0),0)</f>
        <v>-1327152.3846612053</v>
      </c>
      <c r="BL10" s="145">
        <f>BL$6*-HLOOKUP(BL$2,Ingresos!$S$1:$AC$5,MATCH('Flujo de caja mensual'!$B10,Ingresos!$R$1:$R$5,0),0)</f>
        <v>-1330962.5047423488</v>
      </c>
      <c r="BM10" s="145">
        <f>BM$6*-HLOOKUP(BM$2,Ingresos!$S$1:$AC$5,MATCH('Flujo de caja mensual'!$B10,Ingresos!$R$1:$R$5,0),0)</f>
        <v>-1334783.5632923525</v>
      </c>
      <c r="BN10" s="145">
        <f>BN$6*-HLOOKUP(BN$2,Ingresos!$S$1:$AC$5,MATCH('Flujo de caja mensual'!$B10,Ingresos!$R$1:$R$5,0),0)</f>
        <v>-1338615.591714453</v>
      </c>
      <c r="BO10" s="145">
        <f>BO$6*-HLOOKUP(BO$2,Ingresos!$S$1:$AC$5,MATCH('Flujo de caja mensual'!$B10,Ingresos!$R$1:$R$5,0),0)</f>
        <v>-1342458.621502042</v>
      </c>
      <c r="BP10" s="145">
        <f>BP$6*-HLOOKUP(BP$2,Ingresos!$S$1:$AC$5,MATCH('Flujo de caja mensual'!$B10,Ingresos!$R$1:$R$5,0),0)</f>
        <v>-1346312.6842389258</v>
      </c>
      <c r="BQ10" s="145">
        <f>BQ$6*-HLOOKUP(BQ$2,Ingresos!$S$1:$AC$5,MATCH('Flujo de caja mensual'!$B10,Ingresos!$R$1:$R$5,0),0)</f>
        <v>-1350177.8115995838</v>
      </c>
      <c r="BR10" s="145">
        <f>BR$6*-HLOOKUP(BR$2,Ingresos!$S$1:$AC$5,MATCH('Flujo de caja mensual'!$B10,Ingresos!$R$1:$R$5,0),0)</f>
        <v>-1354054.0353494307</v>
      </c>
      <c r="BS10" s="145">
        <f>BS$6*-HLOOKUP(BS$2,Ingresos!$S$1:$AC$5,MATCH('Flujo de caja mensual'!$B10,Ingresos!$R$1:$R$5,0),0)</f>
        <v>-1357941.3873450761</v>
      </c>
      <c r="BT10" s="145">
        <f>BT$6*-HLOOKUP(BT$2,Ingresos!$S$1:$AC$5,MATCH('Flujo de caja mensual'!$B10,Ingresos!$R$1:$R$5,0),0)</f>
        <v>-1361839.8995345861</v>
      </c>
      <c r="BU10" s="145">
        <f>BU$6*-HLOOKUP(BU$2,Ingresos!$S$1:$AC$5,MATCH('Flujo de caja mensual'!$B10,Ingresos!$R$1:$R$5,0),0)</f>
        <v>-1365749.6039577476</v>
      </c>
      <c r="BV10" s="145">
        <f>BV$6*-HLOOKUP(BV$2,Ingresos!$S$1:$AC$5,MATCH('Flujo de caja mensual'!$B10,Ingresos!$R$1:$R$5,0),0)</f>
        <v>-1369670.5327463292</v>
      </c>
      <c r="BW10" s="145">
        <f>BW$6*-HLOOKUP(BW$2,Ingresos!$S$1:$AC$5,MATCH('Flujo de caja mensual'!$B10,Ingresos!$R$1:$R$5,0),0)</f>
        <v>-1373602.7181243475</v>
      </c>
      <c r="BX10" s="145">
        <f>BX$6*-HLOOKUP(BX$2,Ingresos!$S$1:$AC$5,MATCH('Flujo de caja mensual'!$B10,Ingresos!$R$1:$R$5,0),0)</f>
        <v>-1377546.192408331</v>
      </c>
      <c r="BY10" s="145">
        <f>BY$6*-HLOOKUP(BY$2,Ingresos!$S$1:$AC$5,MATCH('Flujo de caja mensual'!$B10,Ingresos!$R$1:$R$5,0),0)</f>
        <v>-1381500.9880075848</v>
      </c>
      <c r="BZ10" s="145">
        <f>BZ$6*-HLOOKUP(BZ$2,Ingresos!$S$1:$AC$5,MATCH('Flujo de caja mensual'!$B10,Ingresos!$R$1:$R$5,0),0)</f>
        <v>-1385467.137424459</v>
      </c>
      <c r="CA10" s="145">
        <f>CA$6*-HLOOKUP(CA$2,Ingresos!$S$1:$AC$5,MATCH('Flujo de caja mensual'!$B10,Ingresos!$R$1:$R$5,0),0)</f>
        <v>-1389444.6732546138</v>
      </c>
      <c r="CB10" s="145">
        <f>CB$6*-HLOOKUP(CB$2,Ingresos!$S$1:$AC$5,MATCH('Flujo de caja mensual'!$B10,Ingresos!$R$1:$R$5,0),0)</f>
        <v>-1393433.6281872883</v>
      </c>
      <c r="CC10" s="145">
        <f>CC$6*-HLOOKUP(CC$2,Ingresos!$S$1:$AC$5,MATCH('Flujo de caja mensual'!$B10,Ingresos!$R$1:$R$5,0),0)</f>
        <v>-1397434.0350055695</v>
      </c>
      <c r="CD10" s="145">
        <f>CD$6*-HLOOKUP(CD$2,Ingresos!$S$1:$AC$5,MATCH('Flujo de caja mensual'!$B10,Ingresos!$R$1:$R$5,0),0)</f>
        <v>-1401445.926586661</v>
      </c>
      <c r="CE10" s="145">
        <f>CE$6*-HLOOKUP(CE$2,Ingresos!$S$1:$AC$5,MATCH('Flujo de caja mensual'!$B10,Ingresos!$R$1:$R$5,0),0)</f>
        <v>-1405469.335902154</v>
      </c>
      <c r="CF10" s="145">
        <f>CF$6*-HLOOKUP(CF$2,Ingresos!$S$1:$AC$5,MATCH('Flujo de caja mensual'!$B10,Ingresos!$R$1:$R$5,0),0)</f>
        <v>-1409504.2960182971</v>
      </c>
      <c r="CG10" s="145">
        <f>CG$6*-HLOOKUP(CG$2,Ingresos!$S$1:$AC$5,MATCH('Flujo de caja mensual'!$B10,Ingresos!$R$1:$R$5,0),0)</f>
        <v>-1413550.840096269</v>
      </c>
      <c r="CH10" s="145">
        <f>CH$6*-HLOOKUP(CH$2,Ingresos!$S$1:$AC$5,MATCH('Flujo de caja mensual'!$B10,Ingresos!$R$1:$R$5,0),0)</f>
        <v>-1417609.0013924511</v>
      </c>
      <c r="CI10" s="145">
        <f>CI$6*-HLOOKUP(CI$2,Ingresos!$S$1:$AC$5,MATCH('Flujo de caja mensual'!$B10,Ingresos!$R$1:$R$5,0),0)</f>
        <v>-1421678.8132587001</v>
      </c>
      <c r="CJ10" s="145">
        <f>CJ$6*-HLOOKUP(CJ$2,Ingresos!$S$1:$AC$5,MATCH('Flujo de caja mensual'!$B10,Ingresos!$R$1:$R$5,0),0)</f>
        <v>-1425760.3091426229</v>
      </c>
      <c r="CK10" s="145">
        <f>CK$6*-HLOOKUP(CK$2,Ingresos!$S$1:$AC$5,MATCH('Flujo de caja mensual'!$B10,Ingresos!$R$1:$R$5,0),0)</f>
        <v>-1429853.5225878509</v>
      </c>
      <c r="CL10" s="145">
        <f>CL$6*-HLOOKUP(CL$2,Ingresos!$S$1:$AC$5,MATCH('Flujo de caja mensual'!$B10,Ingresos!$R$1:$R$5,0),0)</f>
        <v>-1433958.4872343154</v>
      </c>
      <c r="CM10" s="145">
        <f>CM$6*-HLOOKUP(CM$2,Ingresos!$S$1:$AC$5,MATCH('Flujo de caja mensual'!$B10,Ingresos!$R$1:$R$5,0),0)</f>
        <v>-1438075.2368185255</v>
      </c>
      <c r="CN10" s="145">
        <f>CN$6*-HLOOKUP(CN$2,Ingresos!$S$1:$AC$5,MATCH('Flujo de caja mensual'!$B10,Ingresos!$R$1:$R$5,0),0)</f>
        <v>-1442203.8051738436</v>
      </c>
      <c r="CO10" s="145">
        <f>CO$6*-HLOOKUP(CO$2,Ingresos!$S$1:$AC$5,MATCH('Flujo de caja mensual'!$B10,Ingresos!$R$1:$R$5,0),0)</f>
        <v>-1446344.2262307648</v>
      </c>
      <c r="CP10" s="145">
        <f>CP$6*-HLOOKUP(CP$2,Ingresos!$S$1:$AC$5,MATCH('Flujo de caja mensual'!$B10,Ingresos!$R$1:$R$5,0),0)</f>
        <v>-1450496.5340171945</v>
      </c>
      <c r="CQ10" s="145">
        <f>CQ$6*-HLOOKUP(CQ$2,Ingresos!$S$1:$AC$5,MATCH('Flujo de caja mensual'!$B10,Ingresos!$R$1:$R$5,0),0)</f>
        <v>-1454660.7626587297</v>
      </c>
      <c r="CR10" s="145">
        <f>CR$6*-HLOOKUP(CR$2,Ingresos!$S$1:$AC$5,MATCH('Flujo de caja mensual'!$B10,Ingresos!$R$1:$R$5,0),0)</f>
        <v>-1458836.9463789375</v>
      </c>
      <c r="CS10" s="145">
        <f>CS$6*-HLOOKUP(CS$2,Ingresos!$S$1:$AC$5,MATCH('Flujo de caja mensual'!$B10,Ingresos!$R$1:$R$5,0),0)</f>
        <v>-1463025.1194996387</v>
      </c>
      <c r="CT10" s="145">
        <f>CT$6*-HLOOKUP(CT$2,Ingresos!$S$1:$AC$5,MATCH('Flujo de caja mensual'!$B10,Ingresos!$R$1:$R$5,0),0)</f>
        <v>-1467225.3164411869</v>
      </c>
      <c r="CU10" s="145">
        <f>CU$6*-HLOOKUP(CU$2,Ingresos!$S$1:$AC$5,MATCH('Flujo de caja mensual'!$B10,Ingresos!$R$1:$R$5,0),0)</f>
        <v>-1471437.5717227547</v>
      </c>
      <c r="CV10" s="145">
        <f>CV$6*-HLOOKUP(CV$2,Ingresos!$S$1:$AC$5,MATCH('Flujo de caja mensual'!$B10,Ingresos!$R$1:$R$5,0),0)</f>
        <v>-1475661.9199626148</v>
      </c>
      <c r="CW10" s="145">
        <f>CW$6*-HLOOKUP(CW$2,Ingresos!$S$1:$AC$5,MATCH('Flujo de caja mensual'!$B10,Ingresos!$R$1:$R$5,0),0)</f>
        <v>-1479898.3958784256</v>
      </c>
      <c r="CX10" s="145">
        <f>CX$6*-HLOOKUP(CX$2,Ingresos!$S$1:$AC$5,MATCH('Flujo de caja mensual'!$B10,Ingresos!$R$1:$R$5,0),0)</f>
        <v>-1484147.0342875167</v>
      </c>
      <c r="CY10" s="145">
        <f>CY$6*-HLOOKUP(CY$2,Ingresos!$S$1:$AC$5,MATCH('Flujo de caja mensual'!$B10,Ingresos!$R$1:$R$5,0),0)</f>
        <v>-1488407.8701071739</v>
      </c>
      <c r="CZ10" s="145">
        <f>CZ$6*-HLOOKUP(CZ$2,Ingresos!$S$1:$AC$5,MATCH('Flujo de caja mensual'!$B10,Ingresos!$R$1:$R$5,0),0)</f>
        <v>-1492680.9383549283</v>
      </c>
      <c r="DA10" s="145">
        <f>DA$6*-HLOOKUP(DA$2,Ingresos!$S$1:$AC$5,MATCH('Flujo de caja mensual'!$B10,Ingresos!$R$1:$R$5,0),0)</f>
        <v>-1496966.2741488416</v>
      </c>
      <c r="DB10" s="145">
        <f>DB$6*-HLOOKUP(DB$2,Ingresos!$S$1:$AC$5,MATCH('Flujo de caja mensual'!$B10,Ingresos!$R$1:$R$5,0),0)</f>
        <v>-1501263.9127077966</v>
      </c>
      <c r="DC10" s="145">
        <f>DC$6*-HLOOKUP(DC$2,Ingresos!$S$1:$AC$5,MATCH('Flujo de caja mensual'!$B10,Ingresos!$R$1:$R$5,0),0)</f>
        <v>-1505573.8893517854</v>
      </c>
      <c r="DD10" s="145">
        <f>DD$6*-HLOOKUP(DD$2,Ingresos!$S$1:$AC$5,MATCH('Flujo de caja mensual'!$B10,Ingresos!$R$1:$R$5,0),0)</f>
        <v>-1509896.2395022006</v>
      </c>
      <c r="DE10" s="145">
        <f>DE$6*-HLOOKUP(DE$2,Ingresos!$S$1:$AC$5,MATCH('Flujo de caja mensual'!$B10,Ingresos!$R$1:$R$5,0),0)</f>
        <v>-1514230.9986821262</v>
      </c>
      <c r="DF10" s="145">
        <f>DF$6*-HLOOKUP(DF$2,Ingresos!$S$1:$AC$5,MATCH('Flujo de caja mensual'!$B10,Ingresos!$R$1:$R$5,0),0)</f>
        <v>-1518578.2025166287</v>
      </c>
      <c r="DG10" s="145">
        <f>DG$6*-HLOOKUP(DG$2,Ingresos!$S$1:$AC$5,MATCH('Flujo de caja mensual'!$B10,Ingresos!$R$1:$R$5,0),0)</f>
        <v>-1522937.8867330516</v>
      </c>
      <c r="DH10" s="145">
        <f>DH$6*-HLOOKUP(DH$2,Ingresos!$S$1:$AC$5,MATCH('Flujo de caja mensual'!$B10,Ingresos!$R$1:$R$5,0),0)</f>
        <v>-1527310.087161307</v>
      </c>
      <c r="DI10" s="145">
        <f>DI$6*-HLOOKUP(DI$2,Ingresos!$S$1:$AC$5,MATCH('Flujo de caja mensual'!$B10,Ingresos!$R$1:$R$5,0),0)</f>
        <v>-1531694.8397341713</v>
      </c>
      <c r="DJ10" s="145">
        <f>DJ$6*-HLOOKUP(DJ$2,Ingresos!$S$1:$AC$5,MATCH('Flujo de caja mensual'!$B10,Ingresos!$R$1:$R$5,0),0)</f>
        <v>-1536092.1804875804</v>
      </c>
      <c r="DK10" s="145">
        <f>DK$6*-HLOOKUP(DK$2,Ingresos!$S$1:$AC$5,MATCH('Flujo de caja mensual'!$B10,Ingresos!$R$1:$R$5,0),0)</f>
        <v>-1540502.1455609258</v>
      </c>
      <c r="DL10" s="145">
        <f>DL$6*-HLOOKUP(DL$2,Ingresos!$S$1:$AC$5,MATCH('Flujo de caja mensual'!$B10,Ingresos!$R$1:$R$5,0),0)</f>
        <v>-1544924.7711973514</v>
      </c>
      <c r="DM10" s="145">
        <f>DM$6*-HLOOKUP(DM$2,Ingresos!$S$1:$AC$5,MATCH('Flujo de caja mensual'!$B10,Ingresos!$R$1:$R$5,0),0)</f>
        <v>-1549360.0937440516</v>
      </c>
      <c r="DN10" s="145">
        <f>DN$6*-HLOOKUP(DN$2,Ingresos!$S$1:$AC$5,MATCH('Flujo de caja mensual'!$B10,Ingresos!$R$1:$R$5,0),0)</f>
        <v>-1553808.14965257</v>
      </c>
      <c r="DO10" s="145">
        <f>DO$6*-HLOOKUP(DO$2,Ingresos!$S$1:$AC$5,MATCH('Flujo de caja mensual'!$B10,Ingresos!$R$1:$R$5,0),0)</f>
        <v>-1558268.9754790983</v>
      </c>
      <c r="DP10" s="145">
        <f>DP$6*-HLOOKUP(DP$2,Ingresos!$S$1:$AC$5,MATCH('Flujo de caja mensual'!$B10,Ingresos!$R$1:$R$5,0),0)</f>
        <v>-1562742.6078847779</v>
      </c>
      <c r="DQ10" s="145">
        <f>DQ$6*-HLOOKUP(DQ$2,Ingresos!$S$1:$AC$5,MATCH('Flujo de caja mensual'!$B10,Ingresos!$R$1:$R$5,0),0)</f>
        <v>-1567229.083636001</v>
      </c>
      <c r="DR10" s="145">
        <f>DR$6*-HLOOKUP(DR$2,Ingresos!$S$1:$AC$5,MATCH('Flujo de caja mensual'!$B10,Ingresos!$R$1:$R$5,0),0)</f>
        <v>-1571728.439604711</v>
      </c>
      <c r="DS10" s="145">
        <f>DS$6*-HLOOKUP(DS$2,Ingresos!$S$1:$AC$5,MATCH('Flujo de caja mensual'!$B10,Ingresos!$R$1:$R$5,0),0)</f>
        <v>-1576240.7127687086</v>
      </c>
      <c r="DT10" s="145">
        <f>DT$6*-HLOOKUP(DT$2,Ingresos!$S$1:$AC$5,MATCH('Flujo de caja mensual'!$B10,Ingresos!$R$1:$R$5,0),0)</f>
        <v>-1580765.9402119527</v>
      </c>
      <c r="DU10" s="145">
        <f>DU$6*-HLOOKUP(DU$2,Ingresos!$S$1:$AC$5,MATCH('Flujo de caja mensual'!$B10,Ingresos!$R$1:$R$5,0),0)</f>
        <v>-1585304.1591248673</v>
      </c>
      <c r="DV10" s="145">
        <f>DV$6*-HLOOKUP(DV$2,Ingresos!$S$1:$AC$5,MATCH('Flujo de caja mensual'!$B10,Ingresos!$R$1:$R$5,0),0)</f>
        <v>-1589855.4068046457</v>
      </c>
      <c r="DW10" s="145">
        <f>DW$6*-HLOOKUP(DW$2,Ingresos!$S$1:$AC$5,MATCH('Flujo de caja mensual'!$B10,Ingresos!$R$1:$R$5,0),0)</f>
        <v>-1594419.7206555582</v>
      </c>
      <c r="DX10" s="145">
        <f>DX$6*-HLOOKUP(DX$2,Ingresos!$S$1:$AC$5,MATCH('Flujo de caja mensual'!$B10,Ingresos!$R$1:$R$5,0),0)</f>
        <v>-1598997.1381892585</v>
      </c>
      <c r="DY10" s="145">
        <f>DY$6*-HLOOKUP(DY$2,Ingresos!$S$1:$AC$5,MATCH('Flujo de caja mensual'!$B10,Ingresos!$R$1:$R$5,0),0)</f>
        <v>-1603587.6970250932</v>
      </c>
      <c r="DZ10" s="145">
        <f>DZ$6*-HLOOKUP(DZ$2,Ingresos!$S$1:$AC$5,MATCH('Flujo de caja mensual'!$B10,Ingresos!$R$1:$R$5,0),0)</f>
        <v>-1608191.4348904097</v>
      </c>
      <c r="EA10" s="145">
        <f>EA$6*-HLOOKUP(EA$2,Ingresos!$S$1:$AC$5,MATCH('Flujo de caja mensual'!$B10,Ingresos!$R$1:$R$5,0),0)</f>
        <v>-1612808.3896208666</v>
      </c>
      <c r="EB10" s="145">
        <f>EB$6*-HLOOKUP(EB$2,Ingresos!$S$1:$AC$5,MATCH('Flujo de caja mensual'!$B10,Ingresos!$R$1:$R$5,0),0)</f>
        <v>-1617438.5991607453</v>
      </c>
      <c r="EC10" s="145">
        <f>EC$6*-HLOOKUP(EC$2,Ingresos!$S$1:$AC$5,MATCH('Flujo de caja mensual'!$B10,Ingresos!$R$1:$R$5,0),0)</f>
        <v>-1622082.1015632609</v>
      </c>
      <c r="ED10" s="145">
        <f>ED$6*-HLOOKUP(ED$2,Ingresos!$S$1:$AC$5,MATCH('Flujo de caja mensual'!$B10,Ingresos!$R$1:$R$5,0),0)</f>
        <v>-1626738.9349908759</v>
      </c>
      <c r="EE10" s="146">
        <f>EE$6*-HLOOKUP(EE$2,Ingresos!$S$1:$AC$5,MATCH('Flujo de caja mensual'!$B10,Ingresos!$R$1:$R$5,0),0)</f>
        <v>-1631409.1377156135</v>
      </c>
    </row>
    <row r="11" spans="1:135" x14ac:dyDescent="0.25">
      <c r="A11" s="152">
        <f>SUMIF($C$1:$EE$1,"&lt;="&amp;Resumen!$K$19,'Flujo de caja mensual'!C11:EE11)</f>
        <v>148725466242.36945</v>
      </c>
      <c r="B11" s="14" t="s">
        <v>199</v>
      </c>
      <c r="C11" s="147"/>
      <c r="D11" s="148">
        <f>SUM(D6:D10)</f>
        <v>878452580.77499986</v>
      </c>
      <c r="E11" s="148">
        <f t="shared" ref="E11:BP11" si="6">SUM(E6:E10)</f>
        <v>882031505.3271426</v>
      </c>
      <c r="F11" s="148">
        <f t="shared" si="6"/>
        <v>885625010.86092305</v>
      </c>
      <c r="G11" s="148">
        <f t="shared" si="6"/>
        <v>889233156.78106523</v>
      </c>
      <c r="H11" s="148">
        <f t="shared" si="6"/>
        <v>892856002.73431587</v>
      </c>
      <c r="I11" s="148">
        <f t="shared" si="6"/>
        <v>896493608.61042881</v>
      </c>
      <c r="J11" s="148">
        <f t="shared" si="6"/>
        <v>900146034.54315746</v>
      </c>
      <c r="K11" s="148">
        <f t="shared" si="6"/>
        <v>903813340.91124642</v>
      </c>
      <c r="L11" s="148">
        <f t="shared" si="6"/>
        <v>907495588.33943176</v>
      </c>
      <c r="M11" s="148">
        <f t="shared" si="6"/>
        <v>911192837.69944108</v>
      </c>
      <c r="N11" s="148">
        <f t="shared" si="6"/>
        <v>914905150.11100268</v>
      </c>
      <c r="O11" s="148">
        <f t="shared" si="6"/>
        <v>930115494.27963793</v>
      </c>
      <c r="P11" s="148">
        <f t="shared" si="6"/>
        <v>1001902526.3254223</v>
      </c>
      <c r="Q11" s="148">
        <f t="shared" si="6"/>
        <v>1017440817.5871997</v>
      </c>
      <c r="R11" s="148">
        <f t="shared" si="6"/>
        <v>1033070107.7312349</v>
      </c>
      <c r="S11" s="148">
        <f t="shared" si="6"/>
        <v>1048790826.0411997</v>
      </c>
      <c r="T11" s="148">
        <f t="shared" si="6"/>
        <v>1064603403.6362233</v>
      </c>
      <c r="U11" s="148">
        <f t="shared" si="6"/>
        <v>1080508273.4783084</v>
      </c>
      <c r="V11" s="148">
        <f t="shared" si="6"/>
        <v>1096505870.3797779</v>
      </c>
      <c r="W11" s="148">
        <f t="shared" si="6"/>
        <v>1100095545.2690547</v>
      </c>
      <c r="X11" s="148">
        <f t="shared" si="6"/>
        <v>1103696971.8198218</v>
      </c>
      <c r="Y11" s="148">
        <f t="shared" si="6"/>
        <v>1107310188.5039608</v>
      </c>
      <c r="Z11" s="148">
        <f t="shared" si="6"/>
        <v>1110935233.9193006</v>
      </c>
      <c r="AA11" s="148">
        <f t="shared" si="6"/>
        <v>1114572146.7900286</v>
      </c>
      <c r="AB11" s="148">
        <f t="shared" si="6"/>
        <v>1133226615.0004811</v>
      </c>
      <c r="AC11" s="148">
        <f t="shared" si="6"/>
        <v>1136479993.8379095</v>
      </c>
      <c r="AD11" s="148">
        <f t="shared" si="6"/>
        <v>1139742712.7964752</v>
      </c>
      <c r="AE11" s="148">
        <f t="shared" si="6"/>
        <v>1143014798.6907191</v>
      </c>
      <c r="AF11" s="148">
        <f t="shared" si="6"/>
        <v>1146296278.4121661</v>
      </c>
      <c r="AG11" s="148">
        <f t="shared" si="6"/>
        <v>1149587178.9295418</v>
      </c>
      <c r="AH11" s="148">
        <f t="shared" si="6"/>
        <v>1152887527.2889977</v>
      </c>
      <c r="AI11" s="148">
        <f t="shared" si="6"/>
        <v>1156197350.614331</v>
      </c>
      <c r="AJ11" s="148">
        <f t="shared" si="6"/>
        <v>1159516676.1072097</v>
      </c>
      <c r="AK11" s="148">
        <f t="shared" si="6"/>
        <v>1162845531.0473936</v>
      </c>
      <c r="AL11" s="148">
        <f t="shared" si="6"/>
        <v>1166183942.7929616</v>
      </c>
      <c r="AM11" s="148">
        <f t="shared" si="6"/>
        <v>1169531938.7805338</v>
      </c>
      <c r="AN11" s="148">
        <f t="shared" si="6"/>
        <v>1172889546.5254982</v>
      </c>
      <c r="AO11" s="148">
        <f t="shared" si="6"/>
        <v>1176256793.6222367</v>
      </c>
      <c r="AP11" s="148">
        <f t="shared" si="6"/>
        <v>1179633707.7443516</v>
      </c>
      <c r="AQ11" s="148">
        <f t="shared" si="6"/>
        <v>1183020316.6448946</v>
      </c>
      <c r="AR11" s="148">
        <f t="shared" si="6"/>
        <v>1186416648.1565921</v>
      </c>
      <c r="AS11" s="148">
        <f t="shared" si="6"/>
        <v>1189822730.1920762</v>
      </c>
      <c r="AT11" s="148">
        <f t="shared" si="6"/>
        <v>1193238590.7441127</v>
      </c>
      <c r="AU11" s="148">
        <f t="shared" si="6"/>
        <v>1196664257.885833</v>
      </c>
      <c r="AV11" s="148">
        <f t="shared" si="6"/>
        <v>1200099759.7709622</v>
      </c>
      <c r="AW11" s="148">
        <f t="shared" si="6"/>
        <v>1203545124.634053</v>
      </c>
      <c r="AX11" s="148">
        <f t="shared" si="6"/>
        <v>1207000380.7907157</v>
      </c>
      <c r="AY11" s="148">
        <f t="shared" si="6"/>
        <v>1210465556.6378527</v>
      </c>
      <c r="AZ11" s="148">
        <f t="shared" si="6"/>
        <v>1213940680.6538906</v>
      </c>
      <c r="BA11" s="148">
        <f t="shared" si="6"/>
        <v>1217425781.3990149</v>
      </c>
      <c r="BB11" s="148">
        <f t="shared" si="6"/>
        <v>1220920887.5154045</v>
      </c>
      <c r="BC11" s="148">
        <f t="shared" si="6"/>
        <v>1224426027.7274661</v>
      </c>
      <c r="BD11" s="148">
        <f t="shared" si="6"/>
        <v>1227941230.842073</v>
      </c>
      <c r="BE11" s="148">
        <f t="shared" si="6"/>
        <v>1231466525.7487991</v>
      </c>
      <c r="BF11" s="148">
        <f t="shared" si="6"/>
        <v>1235001941.420157</v>
      </c>
      <c r="BG11" s="148">
        <f t="shared" si="6"/>
        <v>1238547506.9118371</v>
      </c>
      <c r="BH11" s="148">
        <f t="shared" si="6"/>
        <v>1242103251.3629458</v>
      </c>
      <c r="BI11" s="148">
        <f t="shared" si="6"/>
        <v>1245669203.9962449</v>
      </c>
      <c r="BJ11" s="148">
        <f t="shared" si="6"/>
        <v>1249245394.118391</v>
      </c>
      <c r="BK11" s="148">
        <f t="shared" si="6"/>
        <v>1252831851.1201777</v>
      </c>
      <c r="BL11" s="148">
        <f t="shared" si="6"/>
        <v>1256428604.4767771</v>
      </c>
      <c r="BM11" s="148">
        <f t="shared" si="6"/>
        <v>1260035683.7479808</v>
      </c>
      <c r="BN11" s="148">
        <f t="shared" si="6"/>
        <v>1263653118.5784438</v>
      </c>
      <c r="BO11" s="148">
        <f t="shared" si="6"/>
        <v>1267280938.6979275</v>
      </c>
      <c r="BP11" s="148">
        <f t="shared" si="6"/>
        <v>1270919173.921546</v>
      </c>
      <c r="BQ11" s="148">
        <f t="shared" ref="BQ11:EB11" si="7">SUM(BQ6:BQ10)</f>
        <v>1274567854.1500072</v>
      </c>
      <c r="BR11" s="148">
        <f t="shared" si="7"/>
        <v>1278227009.3698628</v>
      </c>
      <c r="BS11" s="148">
        <f t="shared" si="7"/>
        <v>1281896669.6537519</v>
      </c>
      <c r="BT11" s="148">
        <f t="shared" si="7"/>
        <v>1285576865.1606491</v>
      </c>
      <c r="BU11" s="148">
        <f t="shared" si="7"/>
        <v>1289267626.1361136</v>
      </c>
      <c r="BV11" s="148">
        <f t="shared" si="7"/>
        <v>1292968982.9125347</v>
      </c>
      <c r="BW11" s="148">
        <f t="shared" si="7"/>
        <v>1296680965.909384</v>
      </c>
      <c r="BX11" s="148">
        <f t="shared" si="7"/>
        <v>1300403605.6334643</v>
      </c>
      <c r="BY11" s="148">
        <f t="shared" si="7"/>
        <v>1304136932.6791601</v>
      </c>
      <c r="BZ11" s="148">
        <f t="shared" si="7"/>
        <v>1307880977.7286892</v>
      </c>
      <c r="CA11" s="148">
        <f t="shared" si="7"/>
        <v>1311635771.5523551</v>
      </c>
      <c r="CB11" s="148">
        <f t="shared" si="7"/>
        <v>1315401345.0088003</v>
      </c>
      <c r="CC11" s="148">
        <f t="shared" si="7"/>
        <v>1319177729.0452576</v>
      </c>
      <c r="CD11" s="148">
        <f t="shared" si="7"/>
        <v>1322964954.697808</v>
      </c>
      <c r="CE11" s="148">
        <f t="shared" si="7"/>
        <v>1326763053.0916333</v>
      </c>
      <c r="CF11" s="148">
        <f t="shared" si="7"/>
        <v>1330572055.4412723</v>
      </c>
      <c r="CG11" s="148">
        <f t="shared" si="7"/>
        <v>1334391993.0508778</v>
      </c>
      <c r="CH11" s="148">
        <f t="shared" si="7"/>
        <v>1338222897.3144739</v>
      </c>
      <c r="CI11" s="148">
        <f t="shared" si="7"/>
        <v>1342064799.716213</v>
      </c>
      <c r="CJ11" s="148">
        <f t="shared" si="7"/>
        <v>1345917731.830636</v>
      </c>
      <c r="CK11" s="148">
        <f t="shared" si="7"/>
        <v>1349781725.3229311</v>
      </c>
      <c r="CL11" s="148">
        <f t="shared" si="7"/>
        <v>1353656811.9491937</v>
      </c>
      <c r="CM11" s="148">
        <f t="shared" si="7"/>
        <v>1357543023.5566883</v>
      </c>
      <c r="CN11" s="148">
        <f t="shared" si="7"/>
        <v>1361440392.0841084</v>
      </c>
      <c r="CO11" s="148">
        <f t="shared" si="7"/>
        <v>1365348949.5618417</v>
      </c>
      <c r="CP11" s="148">
        <f t="shared" si="7"/>
        <v>1369268728.1122317</v>
      </c>
      <c r="CQ11" s="148">
        <f t="shared" si="7"/>
        <v>1373199759.9498405</v>
      </c>
      <c r="CR11" s="148">
        <f t="shared" si="7"/>
        <v>1377142077.381717</v>
      </c>
      <c r="CS11" s="148">
        <f t="shared" si="7"/>
        <v>1381095712.8076587</v>
      </c>
      <c r="CT11" s="148">
        <f t="shared" si="7"/>
        <v>1385060698.7204802</v>
      </c>
      <c r="CU11" s="148">
        <f t="shared" si="7"/>
        <v>1389037067.7062805</v>
      </c>
      <c r="CV11" s="148">
        <f t="shared" si="7"/>
        <v>1393024852.4447083</v>
      </c>
      <c r="CW11" s="148">
        <f t="shared" si="7"/>
        <v>1397024085.709234</v>
      </c>
      <c r="CX11" s="148">
        <f t="shared" si="7"/>
        <v>1401034800.3674159</v>
      </c>
      <c r="CY11" s="148">
        <f t="shared" si="7"/>
        <v>1405057029.3811722</v>
      </c>
      <c r="CZ11" s="148">
        <f t="shared" si="7"/>
        <v>1409090805.8070524</v>
      </c>
      <c r="DA11" s="148">
        <f t="shared" si="7"/>
        <v>1413136162.7965064</v>
      </c>
      <c r="DB11" s="148">
        <f t="shared" si="7"/>
        <v>1417193133.5961599</v>
      </c>
      <c r="DC11" s="148">
        <f t="shared" si="7"/>
        <v>1421261751.5480852</v>
      </c>
      <c r="DD11" s="148">
        <f t="shared" si="7"/>
        <v>1425342050.0900774</v>
      </c>
      <c r="DE11" s="148">
        <f t="shared" si="7"/>
        <v>1429434062.7559271</v>
      </c>
      <c r="DF11" s="148">
        <f t="shared" si="7"/>
        <v>1433537823.1756976</v>
      </c>
      <c r="DG11" s="148">
        <f t="shared" si="7"/>
        <v>1437653365.0760007</v>
      </c>
      <c r="DH11" s="148">
        <f t="shared" si="7"/>
        <v>1441780722.2802737</v>
      </c>
      <c r="DI11" s="148">
        <f t="shared" si="7"/>
        <v>1445919928.7090576</v>
      </c>
      <c r="DJ11" s="148">
        <f t="shared" si="7"/>
        <v>1450071018.3802757</v>
      </c>
      <c r="DK11" s="148">
        <f t="shared" si="7"/>
        <v>1454234025.4095137</v>
      </c>
      <c r="DL11" s="148">
        <f t="shared" si="7"/>
        <v>1458408984.0102997</v>
      </c>
      <c r="DM11" s="148">
        <f t="shared" si="7"/>
        <v>1462595928.4943848</v>
      </c>
      <c r="DN11" s="148">
        <f t="shared" si="7"/>
        <v>1466794893.2720261</v>
      </c>
      <c r="DO11" s="148">
        <f t="shared" si="7"/>
        <v>1471005912.8522689</v>
      </c>
      <c r="DP11" s="148">
        <f t="shared" si="7"/>
        <v>1475229021.8432302</v>
      </c>
      <c r="DQ11" s="148">
        <f t="shared" si="7"/>
        <v>1479464254.9523847</v>
      </c>
      <c r="DR11" s="148">
        <f t="shared" si="7"/>
        <v>1483711646.9868472</v>
      </c>
      <c r="DS11" s="148">
        <f t="shared" si="7"/>
        <v>1487971232.8536608</v>
      </c>
      <c r="DT11" s="148">
        <f t="shared" si="7"/>
        <v>1492243047.5600832</v>
      </c>
      <c r="DU11" s="148">
        <f t="shared" si="7"/>
        <v>1496527126.2138748</v>
      </c>
      <c r="DV11" s="148">
        <f t="shared" si="7"/>
        <v>1500823504.0235853</v>
      </c>
      <c r="DW11" s="148">
        <f t="shared" si="7"/>
        <v>1505132216.2988472</v>
      </c>
      <c r="DX11" s="148">
        <f t="shared" si="7"/>
        <v>1509453298.45066</v>
      </c>
      <c r="DY11" s="148">
        <f t="shared" si="7"/>
        <v>1513786785.991688</v>
      </c>
      <c r="DZ11" s="148">
        <f t="shared" si="7"/>
        <v>1518132714.5365467</v>
      </c>
      <c r="EA11" s="148">
        <f t="shared" si="7"/>
        <v>1522491119.802098</v>
      </c>
      <c r="EB11" s="148">
        <f t="shared" si="7"/>
        <v>1526862037.6077433</v>
      </c>
      <c r="EC11" s="148">
        <f>SUM(EC6:EC10)</f>
        <v>1531245503.8757181</v>
      </c>
      <c r="ED11" s="148">
        <f>SUM(ED6:ED10)</f>
        <v>1535641554.6313868</v>
      </c>
      <c r="EE11" s="149">
        <f>SUM(EE6:EE10)</f>
        <v>1540050226.0035391</v>
      </c>
    </row>
    <row r="12" spans="1:135" x14ac:dyDescent="0.25">
      <c r="B12" s="5"/>
      <c r="C12" s="144"/>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c r="BU12" s="145"/>
      <c r="BV12" s="145"/>
      <c r="BW12" s="145"/>
      <c r="BX12" s="145"/>
      <c r="BY12" s="145"/>
      <c r="BZ12" s="145"/>
      <c r="CA12" s="145"/>
      <c r="CB12" s="145"/>
      <c r="CC12" s="145"/>
      <c r="CD12" s="145"/>
      <c r="CE12" s="145"/>
      <c r="CF12" s="145"/>
      <c r="CG12" s="145"/>
      <c r="CH12" s="145"/>
      <c r="CI12" s="145"/>
      <c r="CJ12" s="145"/>
      <c r="CK12" s="145"/>
      <c r="CL12" s="145"/>
      <c r="CM12" s="145"/>
      <c r="CN12" s="145"/>
      <c r="CO12" s="145"/>
      <c r="CP12" s="145"/>
      <c r="CQ12" s="145"/>
      <c r="CR12" s="145"/>
      <c r="CS12" s="145"/>
      <c r="CT12" s="145"/>
      <c r="CU12" s="145"/>
      <c r="CV12" s="145"/>
      <c r="CW12" s="145"/>
      <c r="CX12" s="145"/>
      <c r="CY12" s="145"/>
      <c r="CZ12" s="145"/>
      <c r="DA12" s="145"/>
      <c r="DB12" s="145"/>
      <c r="DC12" s="145"/>
      <c r="DD12" s="145"/>
      <c r="DE12" s="145"/>
      <c r="DF12" s="145"/>
      <c r="DG12" s="145"/>
      <c r="DH12" s="145"/>
      <c r="DI12" s="145"/>
      <c r="DJ12" s="145"/>
      <c r="DK12" s="145"/>
      <c r="DL12" s="145"/>
      <c r="DM12" s="145"/>
      <c r="DN12" s="145"/>
      <c r="DO12" s="145"/>
      <c r="DP12" s="145"/>
      <c r="DQ12" s="145"/>
      <c r="DR12" s="145"/>
      <c r="DS12" s="145"/>
      <c r="DT12" s="145"/>
      <c r="DU12" s="145"/>
      <c r="DV12" s="145"/>
      <c r="DW12" s="145"/>
      <c r="DX12" s="145"/>
      <c r="DY12" s="145"/>
      <c r="DZ12" s="145"/>
      <c r="EA12" s="145"/>
      <c r="EB12" s="145"/>
      <c r="EC12" s="145"/>
      <c r="ED12" s="145"/>
      <c r="EE12" s="146"/>
    </row>
    <row r="13" spans="1:135" x14ac:dyDescent="0.25">
      <c r="B13" s="140" t="s">
        <v>85</v>
      </c>
      <c r="C13" s="144"/>
      <c r="D13" s="145"/>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c r="BJ13" s="145"/>
      <c r="BK13" s="145"/>
      <c r="BL13" s="145"/>
      <c r="BM13" s="145"/>
      <c r="BN13" s="145"/>
      <c r="BO13" s="145"/>
      <c r="BP13" s="145"/>
      <c r="BQ13" s="145"/>
      <c r="BR13" s="145"/>
      <c r="BS13" s="145"/>
      <c r="BT13" s="145"/>
      <c r="BU13" s="145"/>
      <c r="BV13" s="145"/>
      <c r="BW13" s="145"/>
      <c r="BX13" s="145"/>
      <c r="BY13" s="145"/>
      <c r="BZ13" s="145"/>
      <c r="CA13" s="145"/>
      <c r="CB13" s="145"/>
      <c r="CC13" s="145"/>
      <c r="CD13" s="145"/>
      <c r="CE13" s="145"/>
      <c r="CF13" s="145"/>
      <c r="CG13" s="145"/>
      <c r="CH13" s="145"/>
      <c r="CI13" s="145"/>
      <c r="CJ13" s="145"/>
      <c r="CK13" s="145"/>
      <c r="CL13" s="145"/>
      <c r="CM13" s="145"/>
      <c r="CN13" s="145"/>
      <c r="CO13" s="145"/>
      <c r="CP13" s="145"/>
      <c r="CQ13" s="145"/>
      <c r="CR13" s="145"/>
      <c r="CS13" s="145"/>
      <c r="CT13" s="145"/>
      <c r="CU13" s="145"/>
      <c r="CV13" s="145"/>
      <c r="CW13" s="145"/>
      <c r="CX13" s="145"/>
      <c r="CY13" s="145"/>
      <c r="CZ13" s="145"/>
      <c r="DA13" s="145"/>
      <c r="DB13" s="145"/>
      <c r="DC13" s="145"/>
      <c r="DD13" s="145"/>
      <c r="DE13" s="145"/>
      <c r="DF13" s="145"/>
      <c r="DG13" s="145"/>
      <c r="DH13" s="145"/>
      <c r="DI13" s="145"/>
      <c r="DJ13" s="145"/>
      <c r="DK13" s="145"/>
      <c r="DL13" s="145"/>
      <c r="DM13" s="145"/>
      <c r="DN13" s="145"/>
      <c r="DO13" s="145"/>
      <c r="DP13" s="145"/>
      <c r="DQ13" s="145"/>
      <c r="DR13" s="145"/>
      <c r="DS13" s="145"/>
      <c r="DT13" s="145"/>
      <c r="DU13" s="145"/>
      <c r="DV13" s="145"/>
      <c r="DW13" s="145"/>
      <c r="DX13" s="145"/>
      <c r="DY13" s="145"/>
      <c r="DZ13" s="145"/>
      <c r="EA13" s="145"/>
      <c r="EB13" s="145"/>
      <c r="EC13" s="145"/>
      <c r="ED13" s="145"/>
      <c r="EE13" s="146"/>
    </row>
    <row r="14" spans="1:135" x14ac:dyDescent="0.25">
      <c r="A14" s="152">
        <f>SUMIF($C$1:$EE$1,"&lt;="&amp;Resumen!$K$19,'Flujo de caja mensual'!C14:EE14)</f>
        <v>937090538.5722791</v>
      </c>
      <c r="B14" s="5" t="str">
        <f>Ingresos!O2</f>
        <v>Ingresos de lavandería</v>
      </c>
      <c r="C14" s="144"/>
      <c r="D14" s="145">
        <f>IF(D$1=1,Ingresos!$P2*Ingresos!$A$23,'Flujo de caja mensual'!C14*((1+HLOOKUP('Flujo de caja mensual'!C$2,Ingresos!$S$8:$AC$10,3,0))^(1/12)))</f>
        <v>6720000</v>
      </c>
      <c r="E14" s="145">
        <f>IF(E$1=1,Ingresos!$P2*Ingresos!$A$23,'Flujo de caja mensual'!D14*((1+HLOOKUP('Flujo de caja mensual'!D$2,Ingresos!$S$8:$AC$10,3,0))^(1/12)))</f>
        <v>6736573.3328698808</v>
      </c>
      <c r="F14" s="145">
        <f>IF(F$1=1,Ingresos!$P2*Ingresos!$A$23,'Flujo de caja mensual'!E14*((1+HLOOKUP('Flujo de caja mensual'!E$2,Ingresos!$S$8:$AC$10,3,0))^(1/12)))</f>
        <v>6753187.5400496451</v>
      </c>
      <c r="G14" s="145">
        <f>IF(G$1=1,Ingresos!$P2*Ingresos!$A$23,'Flujo de caja mensual'!F14*((1+HLOOKUP('Flujo de caja mensual'!F$2,Ingresos!$S$8:$AC$10,3,0))^(1/12)))</f>
        <v>6769842.7223463673</v>
      </c>
      <c r="H14" s="145">
        <f>IF(H$1=1,Ingresos!$P2*Ingresos!$A$23,'Flujo de caja mensual'!G14*((1+HLOOKUP('Flujo de caja mensual'!G$2,Ingresos!$S$8:$AC$10,3,0))^(1/12)))</f>
        <v>6786538.9808157403</v>
      </c>
      <c r="I14" s="145">
        <f>IF(I$1=1,Ingresos!$P2*Ingresos!$A$23,'Flujo de caja mensual'!H14*((1+HLOOKUP('Flujo de caja mensual'!H$2,Ingresos!$S$8:$AC$10,3,0))^(1/12)))</f>
        <v>6803276.4167626873</v>
      </c>
      <c r="J14" s="145">
        <f>IF(J$1=1,Ingresos!$P2*Ingresos!$A$23,'Flujo de caja mensual'!I14*((1+HLOOKUP('Flujo de caja mensual'!I$2,Ingresos!$S$8:$AC$10,3,0))^(1/12)))</f>
        <v>6820055.1317419754</v>
      </c>
      <c r="K14" s="145">
        <f>IF(K$1=1,Ingresos!$P2*Ingresos!$A$23,'Flujo de caja mensual'!J14*((1+HLOOKUP('Flujo de caja mensual'!J$2,Ingresos!$S$8:$AC$10,3,0))^(1/12)))</f>
        <v>6836875.2275588354</v>
      </c>
      <c r="L14" s="145">
        <f>IF(L$1=1,Ingresos!$P2*Ingresos!$A$23,'Flujo de caja mensual'!K14*((1+HLOOKUP('Flujo de caja mensual'!K$2,Ingresos!$S$8:$AC$10,3,0))^(1/12)))</f>
        <v>6853736.8062695758</v>
      </c>
      <c r="M14" s="145">
        <f>IF(M$1=1,Ingresos!$P2*Ingresos!$A$23,'Flujo de caja mensual'!L14*((1+HLOOKUP('Flujo de caja mensual'!L$2,Ingresos!$S$8:$AC$10,3,0))^(1/12)))</f>
        <v>6870639.9701822037</v>
      </c>
      <c r="N14" s="145">
        <f>IF(N$1=1,Ingresos!$P2*Ingresos!$A$23,'Flujo de caja mensual'!M14*((1+HLOOKUP('Flujo de caja mensual'!M$2,Ingresos!$S$8:$AC$10,3,0))^(1/12)))</f>
        <v>6887584.8218570454</v>
      </c>
      <c r="O14" s="145">
        <f>IF(O$1=1,Ingresos!$P2*Ingresos!$A$23,'Flujo de caja mensual'!N14*((1+HLOOKUP('Flujo de caja mensual'!N$2,Ingresos!$S$8:$AC$10,3,0))^(1/12)))</f>
        <v>6904571.4641073691</v>
      </c>
      <c r="P14" s="145">
        <f>IF(P$1=1,Ingresos!$P2*Ingresos!$A$23,'Flujo de caja mensual'!O14*((1+HLOOKUP('Flujo de caja mensual'!O$2,Ingresos!$S$8:$AC$10,3,0))^(1/12)))</f>
        <v>6921600.0000000075</v>
      </c>
      <c r="Q14" s="145">
        <f>IF(Q$1=1,Ingresos!$P2*Ingresos!$A$23,'Flujo de caja mensual'!P14*((1+HLOOKUP('Flujo de caja mensual'!P$2,Ingresos!$S$8:$AC$10,3,0))^(1/12)))</f>
        <v>6938670.5328559848</v>
      </c>
      <c r="R14" s="145">
        <f>IF(R$1=1,Ingresos!$P2*Ingresos!$A$23,'Flujo de caja mensual'!Q14*((1+HLOOKUP('Flujo de caja mensual'!Q$2,Ingresos!$S$8:$AC$10,3,0))^(1/12)))</f>
        <v>6955783.1662511416</v>
      </c>
      <c r="S14" s="145">
        <f>IF(S$1=1,Ingresos!$P2*Ingresos!$A$23,'Flujo de caja mensual'!R14*((1+HLOOKUP('Flujo de caja mensual'!R$2,Ingresos!$S$8:$AC$10,3,0))^(1/12)))</f>
        <v>6972938.0040167654</v>
      </c>
      <c r="T14" s="145">
        <f>IF(T$1=1,Ingresos!$P2*Ingresos!$A$23,'Flujo de caja mensual'!S14*((1+HLOOKUP('Flujo de caja mensual'!S$2,Ingresos!$S$8:$AC$10,3,0))^(1/12)))</f>
        <v>6990135.1502402192</v>
      </c>
      <c r="U14" s="145">
        <f>IF(U$1=1,Ingresos!$P2*Ingresos!$A$23,'Flujo de caja mensual'!T14*((1+HLOOKUP('Flujo de caja mensual'!T$2,Ingresos!$S$8:$AC$10,3,0))^(1/12)))</f>
        <v>7007374.7092655739</v>
      </c>
      <c r="V14" s="145">
        <f>IF(V$1=1,Ingresos!$P2*Ingresos!$A$23,'Flujo de caja mensual'!U14*((1+HLOOKUP('Flujo de caja mensual'!U$2,Ingresos!$S$8:$AC$10,3,0))^(1/12)))</f>
        <v>7024656.7856942406</v>
      </c>
      <c r="W14" s="145">
        <f>IF(W$1=1,Ingresos!$P2*Ingresos!$A$23,'Flujo de caja mensual'!V14*((1+HLOOKUP('Flujo de caja mensual'!V$2,Ingresos!$S$8:$AC$10,3,0))^(1/12)))</f>
        <v>7041981.4843856059</v>
      </c>
      <c r="X14" s="145">
        <f>IF(X$1=1,Ingresos!$P2*Ingresos!$A$23,'Flujo de caja mensual'!W14*((1+HLOOKUP('Flujo de caja mensual'!W$2,Ingresos!$S$8:$AC$10,3,0))^(1/12)))</f>
        <v>7059348.9104576688</v>
      </c>
      <c r="Y14" s="145">
        <f>IF(Y$1=1,Ingresos!$P2*Ingresos!$A$23,'Flujo de caja mensual'!X14*((1+HLOOKUP('Flujo de caja mensual'!X$2,Ingresos!$S$8:$AC$10,3,0))^(1/12)))</f>
        <v>7076759.169287676</v>
      </c>
      <c r="Z14" s="145">
        <f>IF(Z$1=1,Ingresos!$P2*Ingresos!$A$23,'Flujo de caja mensual'!Y14*((1+HLOOKUP('Flujo de caja mensual'!Y$2,Ingresos!$S$8:$AC$10,3,0))^(1/12)))</f>
        <v>7094212.3665127633</v>
      </c>
      <c r="AA14" s="145">
        <f>IF(AA$1=1,Ingresos!$P2*Ingresos!$A$23,'Flujo de caja mensual'!Z14*((1+HLOOKUP('Flujo de caja mensual'!Z$2,Ingresos!$S$8:$AC$10,3,0))^(1/12)))</f>
        <v>7111708.6080305967</v>
      </c>
      <c r="AB14" s="145">
        <f>IF(AB$1=1,Ingresos!$P2*Ingresos!$A$23,'Flujo de caja mensual'!AA14*((1+HLOOKUP('Flujo de caja mensual'!AA$2,Ingresos!$S$8:$AC$10,3,0))^(1/12)))</f>
        <v>7129248.0000000149</v>
      </c>
      <c r="AC14" s="145">
        <f>IF(AC$1=1,Ingresos!$P2*Ingresos!$A$23,'Flujo de caja mensual'!AB14*((1+HLOOKUP('Flujo de caja mensual'!AB$2,Ingresos!$S$8:$AC$10,3,0))^(1/12)))</f>
        <v>7146830.6488416716</v>
      </c>
      <c r="AD14" s="145">
        <f>IF(AD$1=1,Ingresos!$P2*Ingresos!$A$23,'Flujo de caja mensual'!AC14*((1+HLOOKUP('Flujo de caja mensual'!AC$2,Ingresos!$S$8:$AC$10,3,0))^(1/12)))</f>
        <v>7164456.6612386834</v>
      </c>
      <c r="AE14" s="145">
        <f>IF(AE$1=1,Ingresos!$P2*Ingresos!$A$23,'Flujo de caja mensual'!AD14*((1+HLOOKUP('Flujo de caja mensual'!AD$2,Ingresos!$S$8:$AC$10,3,0))^(1/12)))</f>
        <v>7182126.1441372763</v>
      </c>
      <c r="AF14" s="145">
        <f>IF(AF$1=1,Ingresos!$P2*Ingresos!$A$23,'Flujo de caja mensual'!AE14*((1+HLOOKUP('Flujo de caja mensual'!AE$2,Ingresos!$S$8:$AC$10,3,0))^(1/12)))</f>
        <v>7199839.2047474338</v>
      </c>
      <c r="AG14" s="145">
        <f>IF(AG$1=1,Ingresos!$P2*Ingresos!$A$23,'Flujo de caja mensual'!AF14*((1+HLOOKUP('Flujo de caja mensual'!AF$2,Ingresos!$S$8:$AC$10,3,0))^(1/12)))</f>
        <v>7217595.9505435498</v>
      </c>
      <c r="AH14" s="145">
        <f>IF(AH$1=1,Ingresos!$P2*Ingresos!$A$23,'Flujo de caja mensual'!AG14*((1+HLOOKUP('Flujo de caja mensual'!AG$2,Ingresos!$S$8:$AC$10,3,0))^(1/12)))</f>
        <v>7235396.4892650768</v>
      </c>
      <c r="AI14" s="145">
        <f>IF(AI$1=1,Ingresos!$P2*Ingresos!$A$23,'Flujo de caja mensual'!AH14*((1+HLOOKUP('Flujo de caja mensual'!AH$2,Ingresos!$S$8:$AC$10,3,0))^(1/12)))</f>
        <v>7253240.9289171835</v>
      </c>
      <c r="AJ14" s="145">
        <f>IF(AJ$1=1,Ingresos!$P2*Ingresos!$A$23,'Flujo de caja mensual'!AI14*((1+HLOOKUP('Flujo de caja mensual'!AI$2,Ingresos!$S$8:$AC$10,3,0))^(1/12)))</f>
        <v>7271129.3777714083</v>
      </c>
      <c r="AK14" s="145">
        <f>IF(AK$1=1,Ingresos!$P2*Ingresos!$A$23,'Flujo de caja mensual'!AJ14*((1+HLOOKUP('Flujo de caja mensual'!AJ$2,Ingresos!$S$8:$AC$10,3,0))^(1/12)))</f>
        <v>7289061.9443663154</v>
      </c>
      <c r="AL14" s="145">
        <f>IF(AL$1=1,Ingresos!$P2*Ingresos!$A$23,'Flujo de caja mensual'!AK14*((1+HLOOKUP('Flujo de caja mensual'!AK$2,Ingresos!$S$8:$AC$10,3,0))^(1/12)))</f>
        <v>7307038.7375081554</v>
      </c>
      <c r="AM14" s="145">
        <f>IF(AM$1=1,Ingresos!$P2*Ingresos!$A$23,'Flujo de caja mensual'!AL14*((1+HLOOKUP('Flujo de caja mensual'!AL$2,Ingresos!$S$8:$AC$10,3,0))^(1/12)))</f>
        <v>7325059.8662715238</v>
      </c>
      <c r="AN14" s="145">
        <f>IF(AN$1=1,Ingresos!$P2*Ingresos!$A$23,'Flujo de caja mensual'!AM14*((1+HLOOKUP('Flujo de caja mensual'!AM$2,Ingresos!$S$8:$AC$10,3,0))^(1/12)))</f>
        <v>7343125.4400000237</v>
      </c>
      <c r="AO14" s="145">
        <f>IF(AO$1=1,Ingresos!$P2*Ingresos!$A$23,'Flujo de caja mensual'!AN14*((1+HLOOKUP('Flujo de caja mensual'!AN$2,Ingresos!$S$8:$AC$10,3,0))^(1/12)))</f>
        <v>7361235.5683069304</v>
      </c>
      <c r="AP14" s="145">
        <f>IF(AP$1=1,Ingresos!$P2*Ingresos!$A$23,'Flujo de caja mensual'!AO14*((1+HLOOKUP('Flujo de caja mensual'!AO$2,Ingresos!$S$8:$AC$10,3,0))^(1/12)))</f>
        <v>7379390.3610758521</v>
      </c>
      <c r="AQ14" s="145">
        <f>IF(AQ$1=1,Ingresos!$P2*Ingresos!$A$23,'Flujo de caja mensual'!AP14*((1+HLOOKUP('Flujo de caja mensual'!AP$2,Ingresos!$S$8:$AC$10,3,0))^(1/12)))</f>
        <v>7397589.9284614027</v>
      </c>
      <c r="AR14" s="145">
        <f>IF(AR$1=1,Ingresos!$P2*Ingresos!$A$23,'Flujo de caja mensual'!AQ14*((1+HLOOKUP('Flujo de caja mensual'!AQ$2,Ingresos!$S$8:$AC$10,3,0))^(1/12)))</f>
        <v>7415834.3808898656</v>
      </c>
      <c r="AS14" s="145">
        <f>IF(AS$1=1,Ingresos!$P2*Ingresos!$A$23,'Flujo de caja mensual'!AR14*((1+HLOOKUP('Flujo de caja mensual'!AR$2,Ingresos!$S$8:$AC$10,3,0))^(1/12)))</f>
        <v>7434123.8290598644</v>
      </c>
      <c r="AT14" s="145">
        <f>IF(AT$1=1,Ingresos!$P2*Ingresos!$A$23,'Flujo de caja mensual'!AS14*((1+HLOOKUP('Flujo de caja mensual'!AS$2,Ingresos!$S$8:$AC$10,3,0))^(1/12)))</f>
        <v>7452458.3839430371</v>
      </c>
      <c r="AU14" s="145">
        <f>IF(AU$1=1,Ingresos!$P2*Ingresos!$A$23,'Flujo de caja mensual'!AT14*((1+HLOOKUP('Flujo de caja mensual'!AT$2,Ingresos!$S$8:$AC$10,3,0))^(1/12)))</f>
        <v>7470838.1567847067</v>
      </c>
      <c r="AV14" s="145">
        <f>IF(AV$1=1,Ingresos!$P2*Ingresos!$A$23,'Flujo de caja mensual'!AU14*((1+HLOOKUP('Flujo de caja mensual'!AU$2,Ingresos!$S$8:$AC$10,3,0))^(1/12)))</f>
        <v>7489263.2591045583</v>
      </c>
      <c r="AW14" s="145">
        <f>IF(AW$1=1,Ingresos!$P2*Ingresos!$A$23,'Flujo de caja mensual'!AV14*((1+HLOOKUP('Flujo de caja mensual'!AV$2,Ingresos!$S$8:$AC$10,3,0))^(1/12)))</f>
        <v>7507733.8026973121</v>
      </c>
      <c r="AX14" s="145">
        <f>IF(AX$1=1,Ingresos!$P2*Ingresos!$A$23,'Flujo de caja mensual'!AW14*((1+HLOOKUP('Flujo de caja mensual'!AW$2,Ingresos!$S$8:$AC$10,3,0))^(1/12)))</f>
        <v>7526249.8996334067</v>
      </c>
      <c r="AY14" s="145">
        <f>IF(AY$1=1,Ingresos!$P2*Ingresos!$A$23,'Flujo de caja mensual'!AX14*((1+HLOOKUP('Flujo de caja mensual'!AX$2,Ingresos!$S$8:$AC$10,3,0))^(1/12)))</f>
        <v>7544811.6622596765</v>
      </c>
      <c r="AZ14" s="145">
        <f>IF(AZ$1=1,Ingresos!$P2*Ingresos!$A$23,'Flujo de caja mensual'!AY14*((1+HLOOKUP('Flujo de caja mensual'!AY$2,Ingresos!$S$8:$AC$10,3,0))^(1/12)))</f>
        <v>7563419.203200032</v>
      </c>
      <c r="BA14" s="145">
        <f>IF(BA$1=1,Ingresos!$P2*Ingresos!$A$23,'Flujo de caja mensual'!AZ14*((1+HLOOKUP('Flujo de caja mensual'!AZ$2,Ingresos!$S$8:$AC$10,3,0))^(1/12)))</f>
        <v>7582072.6353561459</v>
      </c>
      <c r="BB14" s="145">
        <f>IF(BB$1=1,Ingresos!$P2*Ingresos!$A$23,'Flujo de caja mensual'!BA14*((1+HLOOKUP('Flujo de caja mensual'!BA$2,Ingresos!$S$8:$AC$10,3,0))^(1/12)))</f>
        <v>7600772.0719081359</v>
      </c>
      <c r="BC14" s="145">
        <f>IF(BC$1=1,Ingresos!$P2*Ingresos!$A$23,'Flujo de caja mensual'!BB14*((1+HLOOKUP('Flujo de caja mensual'!BB$2,Ingresos!$S$8:$AC$10,3,0))^(1/12)))</f>
        <v>7619517.6263152529</v>
      </c>
      <c r="BD14" s="145">
        <f>IF(BD$1=1,Ingresos!$P2*Ingresos!$A$23,'Flujo de caja mensual'!BC14*((1+HLOOKUP('Flujo de caja mensual'!BC$2,Ingresos!$S$8:$AC$10,3,0))^(1/12)))</f>
        <v>7638309.4123165691</v>
      </c>
      <c r="BE14" s="145">
        <f>IF(BE$1=1,Ingresos!$P2*Ingresos!$A$23,'Flujo de caja mensual'!BD14*((1+HLOOKUP('Flujo de caja mensual'!BD$2,Ingresos!$S$8:$AC$10,3,0))^(1/12)))</f>
        <v>7657147.5439316686</v>
      </c>
      <c r="BF14" s="145">
        <f>IF(BF$1=1,Ingresos!$P2*Ingresos!$A$23,'Flujo de caja mensual'!BE14*((1+HLOOKUP('Flujo de caja mensual'!BE$2,Ingresos!$S$8:$AC$10,3,0))^(1/12)))</f>
        <v>7676032.1354613369</v>
      </c>
      <c r="BG14" s="145">
        <f>IF(BG$1=1,Ingresos!$P2*Ingresos!$A$23,'Flujo de caja mensual'!BF14*((1+HLOOKUP('Flujo de caja mensual'!BF$2,Ingresos!$S$8:$AC$10,3,0))^(1/12)))</f>
        <v>7694963.301488257</v>
      </c>
      <c r="BH14" s="145">
        <f>IF(BH$1=1,Ingresos!$P2*Ingresos!$A$23,'Flujo de caja mensual'!BG14*((1+HLOOKUP('Flujo de caja mensual'!BG$2,Ingresos!$S$8:$AC$10,3,0))^(1/12)))</f>
        <v>7713941.156877704</v>
      </c>
      <c r="BI14" s="145">
        <f>IF(BI$1=1,Ingresos!$P2*Ingresos!$A$23,'Flujo de caja mensual'!BH14*((1+HLOOKUP('Flujo de caja mensual'!BH$2,Ingresos!$S$8:$AC$10,3,0))^(1/12)))</f>
        <v>7732965.8167782407</v>
      </c>
      <c r="BJ14" s="145">
        <f>IF(BJ$1=1,Ingresos!$P2*Ingresos!$A$23,'Flujo de caja mensual'!BI14*((1+HLOOKUP('Flujo de caja mensual'!BI$2,Ingresos!$S$8:$AC$10,3,0))^(1/12)))</f>
        <v>7752037.3966224184</v>
      </c>
      <c r="BK14" s="145">
        <f>IF(BK$1=1,Ingresos!$P2*Ingresos!$A$23,'Flujo de caja mensual'!BJ14*((1+HLOOKUP('Flujo de caja mensual'!BJ$2,Ingresos!$S$8:$AC$10,3,0))^(1/12)))</f>
        <v>7771156.0121274758</v>
      </c>
      <c r="BL14" s="145">
        <f>IF(BL$1=1,Ingresos!$P2*Ingresos!$A$23,'Flujo de caja mensual'!BK14*((1+HLOOKUP('Flujo de caja mensual'!BK$2,Ingresos!$S$8:$AC$10,3,0))^(1/12)))</f>
        <v>7790321.7792960415</v>
      </c>
      <c r="BM14" s="145">
        <f>IF(BM$1=1,Ingresos!$P2*Ingresos!$A$23,'Flujo de caja mensual'!BL14*((1+HLOOKUP('Flujo de caja mensual'!BL$2,Ingresos!$S$8:$AC$10,3,0))^(1/12)))</f>
        <v>7809534.8144168388</v>
      </c>
      <c r="BN14" s="145">
        <f>IF(BN$1=1,Ingresos!$P2*Ingresos!$A$23,'Flujo de caja mensual'!BM14*((1+HLOOKUP('Flujo de caja mensual'!BM$2,Ingresos!$S$8:$AC$10,3,0))^(1/12)))</f>
        <v>7828795.2340653883</v>
      </c>
      <c r="BO14" s="145">
        <f>IF(BO$1=1,Ingresos!$P2*Ingresos!$A$23,'Flujo de caja mensual'!BN14*((1+HLOOKUP('Flujo de caja mensual'!BN$2,Ingresos!$S$8:$AC$10,3,0))^(1/12)))</f>
        <v>7848103.1551047191</v>
      </c>
      <c r="BP14" s="145">
        <f>IF(BP$1=1,Ingresos!$P2*Ingresos!$A$23,'Flujo de caja mensual'!BO14*((1+HLOOKUP('Flujo de caja mensual'!BO$2,Ingresos!$S$8:$AC$10,3,0))^(1/12)))</f>
        <v>7867458.6946860747</v>
      </c>
      <c r="BQ14" s="145">
        <f>IF(BQ$1=1,Ingresos!$P2*Ingresos!$A$23,'Flujo de caja mensual'!BP14*((1+HLOOKUP('Flujo de caja mensual'!BP$2,Ingresos!$S$8:$AC$10,3,0))^(1/12)))</f>
        <v>7886861.9702496268</v>
      </c>
      <c r="BR14" s="145">
        <f>IF(BR$1=1,Ingresos!$P2*Ingresos!$A$23,'Flujo de caja mensual'!BQ14*((1+HLOOKUP('Flujo de caja mensual'!BQ$2,Ingresos!$S$8:$AC$10,3,0))^(1/12)))</f>
        <v>7906313.0995251853</v>
      </c>
      <c r="BS14" s="145">
        <f>IF(BS$1=1,Ingresos!$P2*Ingresos!$A$23,'Flujo de caja mensual'!BR14*((1+HLOOKUP('Flujo de caja mensual'!BR$2,Ingresos!$S$8:$AC$10,3,0))^(1/12)))</f>
        <v>7925812.2005329132</v>
      </c>
      <c r="BT14" s="145">
        <f>IF(BT$1=1,Ingresos!$P2*Ingresos!$A$23,'Flujo de caja mensual'!BS14*((1+HLOOKUP('Flujo de caja mensual'!BS$2,Ingresos!$S$8:$AC$10,3,0))^(1/12)))</f>
        <v>7945359.3915840434</v>
      </c>
      <c r="BU14" s="145">
        <f>IF(BU$1=1,Ingresos!$P2*Ingresos!$A$23,'Flujo de caja mensual'!BT14*((1+HLOOKUP('Flujo de caja mensual'!BT$2,Ingresos!$S$8:$AC$10,3,0))^(1/12)))</f>
        <v>7964954.7912815968</v>
      </c>
      <c r="BV14" s="145">
        <f>IF(BV$1=1,Ingresos!$P2*Ingresos!$A$23,'Flujo de caja mensual'!BU14*((1+HLOOKUP('Flujo de caja mensual'!BU$2,Ingresos!$S$8:$AC$10,3,0))^(1/12)))</f>
        <v>7984598.5185211003</v>
      </c>
      <c r="BW14" s="145">
        <f>IF(BW$1=1,Ingresos!$P2*Ingresos!$A$23,'Flujo de caja mensual'!BV14*((1+HLOOKUP('Flujo de caja mensual'!BV$2,Ingresos!$S$8:$AC$10,3,0))^(1/12)))</f>
        <v>8004290.6924913097</v>
      </c>
      <c r="BX14" s="145">
        <f>IF(BX$1=1,Ingresos!$P2*Ingresos!$A$23,'Flujo de caja mensual'!BW14*((1+HLOOKUP('Flujo de caja mensual'!BW$2,Ingresos!$S$8:$AC$10,3,0))^(1/12)))</f>
        <v>8024031.4326749332</v>
      </c>
      <c r="BY14" s="145">
        <f>IF(BY$1=1,Ingresos!$P2*Ingresos!$A$23,'Flujo de caja mensual'!BX14*((1+HLOOKUP('Flujo de caja mensual'!BX$2,Ingresos!$S$8:$AC$10,3,0))^(1/12)))</f>
        <v>8043820.8588493541</v>
      </c>
      <c r="BZ14" s="145">
        <f>IF(BZ$1=1,Ingresos!$P2*Ingresos!$A$23,'Flujo de caja mensual'!BY14*((1+HLOOKUP('Flujo de caja mensual'!BY$2,Ingresos!$S$8:$AC$10,3,0))^(1/12)))</f>
        <v>8063659.0910873599</v>
      </c>
      <c r="CA14" s="145">
        <f>IF(CA$1=1,Ingresos!$P2*Ingresos!$A$23,'Flujo de caja mensual'!BZ14*((1+HLOOKUP('Flujo de caja mensual'!BZ$2,Ingresos!$S$8:$AC$10,3,0))^(1/12)))</f>
        <v>8083546.2497578701</v>
      </c>
      <c r="CB14" s="145">
        <f>IF(CB$1=1,Ingresos!$P2*Ingresos!$A$23,'Flujo de caja mensual'!CA14*((1+HLOOKUP('Flujo de caja mensual'!CA$2,Ingresos!$S$8:$AC$10,3,0))^(1/12)))</f>
        <v>8103482.4555266667</v>
      </c>
      <c r="CC14" s="145">
        <f>IF(CC$1=1,Ingresos!$P2*Ingresos!$A$23,'Flujo de caja mensual'!CB14*((1+HLOOKUP('Flujo de caja mensual'!CB$2,Ingresos!$S$8:$AC$10,3,0))^(1/12)))</f>
        <v>8123467.8293571258</v>
      </c>
      <c r="CD14" s="145">
        <f>IF(CD$1=1,Ingresos!$P2*Ingresos!$A$23,'Flujo de caja mensual'!CC14*((1+HLOOKUP('Flujo de caja mensual'!CC$2,Ingresos!$S$8:$AC$10,3,0))^(1/12)))</f>
        <v>8143502.4925109511</v>
      </c>
      <c r="CE14" s="145">
        <f>IF(CE$1=1,Ingresos!$P2*Ingresos!$A$23,'Flujo de caja mensual'!CD14*((1+HLOOKUP('Flujo de caja mensual'!CD$2,Ingresos!$S$8:$AC$10,3,0))^(1/12)))</f>
        <v>8163586.5665489109</v>
      </c>
      <c r="CF14" s="145">
        <f>IF(CF$1=1,Ingresos!$P2*Ingresos!$A$23,'Flujo de caja mensual'!CE14*((1+HLOOKUP('Flujo de caja mensual'!CE$2,Ingresos!$S$8:$AC$10,3,0))^(1/12)))</f>
        <v>8183720.1733315745</v>
      </c>
      <c r="CG14" s="145">
        <f>IF(CG$1=1,Ingresos!$P2*Ingresos!$A$23,'Flujo de caja mensual'!CF14*((1+HLOOKUP('Flujo de caja mensual'!CF$2,Ingresos!$S$8:$AC$10,3,0))^(1/12)))</f>
        <v>8203903.4350200538</v>
      </c>
      <c r="CH14" s="145">
        <f>IF(CH$1=1,Ingresos!$P2*Ingresos!$A$23,'Flujo de caja mensual'!CG14*((1+HLOOKUP('Flujo de caja mensual'!CG$2,Ingresos!$S$8:$AC$10,3,0))^(1/12)))</f>
        <v>8224136.4740767423</v>
      </c>
      <c r="CI14" s="145">
        <f>IF(CI$1=1,Ingresos!$P2*Ingresos!$A$23,'Flujo de caja mensual'!CH14*((1+HLOOKUP('Flujo de caja mensual'!CH$2,Ingresos!$S$8:$AC$10,3,0))^(1/12)))</f>
        <v>8244419.4132660581</v>
      </c>
      <c r="CJ14" s="145">
        <f>IF(CJ$1=1,Ingresos!$P2*Ingresos!$A$23,'Flujo de caja mensual'!CI14*((1+HLOOKUP('Flujo de caja mensual'!CI$2,Ingresos!$S$8:$AC$10,3,0))^(1/12)))</f>
        <v>8264752.3756551901</v>
      </c>
      <c r="CK14" s="145">
        <f>IF(CK$1=1,Ingresos!$P2*Ingresos!$A$23,'Flujo de caja mensual'!CJ14*((1+HLOOKUP('Flujo de caja mensual'!CJ$2,Ingresos!$S$8:$AC$10,3,0))^(1/12)))</f>
        <v>8285135.4846148435</v>
      </c>
      <c r="CL14" s="145">
        <f>IF(CL$1=1,Ingresos!$P2*Ingresos!$A$23,'Flujo de caja mensual'!CK14*((1+HLOOKUP('Flujo de caja mensual'!CK$2,Ingresos!$S$8:$AC$10,3,0))^(1/12)))</f>
        <v>8305568.8638199894</v>
      </c>
      <c r="CM14" s="145">
        <f>IF(CM$1=1,Ingresos!$P2*Ingresos!$A$23,'Flujo de caja mensual'!CL14*((1+HLOOKUP('Flujo de caja mensual'!CL$2,Ingresos!$S$8:$AC$10,3,0))^(1/12)))</f>
        <v>8326052.6372506153</v>
      </c>
      <c r="CN14" s="145">
        <f>IF(CN$1=1,Ingresos!$P2*Ingresos!$A$23,'Flujo de caja mensual'!CM14*((1+HLOOKUP('Flujo de caja mensual'!CM$2,Ingresos!$S$8:$AC$10,3,0))^(1/12)))</f>
        <v>8346586.929192476</v>
      </c>
      <c r="CO14" s="145">
        <f>IF(CO$1=1,Ingresos!$P2*Ingresos!$A$23,'Flujo de caja mensual'!CN14*((1+HLOOKUP('Flujo de caja mensual'!CN$2,Ingresos!$S$8:$AC$10,3,0))^(1/12)))</f>
        <v>8367171.8642378487</v>
      </c>
      <c r="CP14" s="145">
        <f>IF(CP$1=1,Ingresos!$P2*Ingresos!$A$23,'Flujo de caja mensual'!CO14*((1+HLOOKUP('Flujo de caja mensual'!CO$2,Ingresos!$S$8:$AC$10,3,0))^(1/12)))</f>
        <v>8387807.5672862884</v>
      </c>
      <c r="CQ14" s="145">
        <f>IF(CQ$1=1,Ingresos!$P2*Ingresos!$A$23,'Flujo de caja mensual'!CP14*((1+HLOOKUP('Flujo de caja mensual'!CP$2,Ingresos!$S$8:$AC$10,3,0))^(1/12)))</f>
        <v>8408494.1635453869</v>
      </c>
      <c r="CR14" s="145">
        <f>IF(CR$1=1,Ingresos!$P2*Ingresos!$A$23,'Flujo de caja mensual'!CQ14*((1+HLOOKUP('Flujo de caja mensual'!CQ$2,Ingresos!$S$8:$AC$10,3,0))^(1/12)))</f>
        <v>8429231.7785315309</v>
      </c>
      <c r="CS14" s="145">
        <f>IF(CS$1=1,Ingresos!$P2*Ingresos!$A$23,'Flujo de caja mensual'!CR14*((1+HLOOKUP('Flujo de caja mensual'!CR$2,Ingresos!$S$8:$AC$10,3,0))^(1/12)))</f>
        <v>8450020.5380706657</v>
      </c>
      <c r="CT14" s="145">
        <f>IF(CT$1=1,Ingresos!$P2*Ingresos!$A$23,'Flujo de caja mensual'!CS14*((1+HLOOKUP('Flujo de caja mensual'!CS$2,Ingresos!$S$8:$AC$10,3,0))^(1/12)))</f>
        <v>8470860.5682990551</v>
      </c>
      <c r="CU14" s="145">
        <f>IF(CU$1=1,Ingresos!$P2*Ingresos!$A$23,'Flujo de caja mensual'!CT14*((1+HLOOKUP('Flujo de caja mensual'!CT$2,Ingresos!$S$8:$AC$10,3,0))^(1/12)))</f>
        <v>8491751.9956640508</v>
      </c>
      <c r="CV14" s="145">
        <f>IF(CV$1=1,Ingresos!$P2*Ingresos!$A$23,'Flujo de caja mensual'!CU14*((1+HLOOKUP('Flujo de caja mensual'!CU$2,Ingresos!$S$8:$AC$10,3,0))^(1/12)))</f>
        <v>8512694.9469248559</v>
      </c>
      <c r="CW14" s="145">
        <f>IF(CW$1=1,Ingresos!$P2*Ingresos!$A$23,'Flujo de caja mensual'!CV14*((1+HLOOKUP('Flujo de caja mensual'!CV$2,Ingresos!$S$8:$AC$10,3,0))^(1/12)))</f>
        <v>8533689.5491532981</v>
      </c>
      <c r="CX14" s="145">
        <f>IF(CX$1=1,Ingresos!$P2*Ingresos!$A$23,'Flujo de caja mensual'!CW14*((1+HLOOKUP('Flujo de caja mensual'!CW$2,Ingresos!$S$8:$AC$10,3,0))^(1/12)))</f>
        <v>8554735.9297345988</v>
      </c>
      <c r="CY14" s="145">
        <f>IF(CY$1=1,Ingresos!$P2*Ingresos!$A$23,'Flujo de caja mensual'!CX14*((1+HLOOKUP('Flujo de caja mensual'!CX$2,Ingresos!$S$8:$AC$10,3,0))^(1/12)))</f>
        <v>8575834.2163681444</v>
      </c>
      <c r="CZ14" s="145">
        <f>IF(CZ$1=1,Ingresos!$P2*Ingresos!$A$23,'Flujo de caja mensual'!CY14*((1+HLOOKUP('Flujo de caja mensual'!CY$2,Ingresos!$S$8:$AC$10,3,0))^(1/12)))</f>
        <v>8596984.5370682608</v>
      </c>
      <c r="DA14" s="145">
        <f>IF(DA$1=1,Ingresos!$P2*Ingresos!$A$23,'Flujo de caja mensual'!CZ14*((1+HLOOKUP('Flujo de caja mensual'!CZ$2,Ingresos!$S$8:$AC$10,3,0))^(1/12)))</f>
        <v>8618187.0201649945</v>
      </c>
      <c r="DB14" s="145">
        <f>IF(DB$1=1,Ingresos!$P2*Ingresos!$A$23,'Flujo de caja mensual'!DA14*((1+HLOOKUP('Flujo de caja mensual'!DA$2,Ingresos!$S$8:$AC$10,3,0))^(1/12)))</f>
        <v>8639441.7943048868</v>
      </c>
      <c r="DC14" s="145">
        <f>IF(DC$1=1,Ingresos!$P2*Ingresos!$A$23,'Flujo de caja mensual'!DB14*((1+HLOOKUP('Flujo de caja mensual'!DB$2,Ingresos!$S$8:$AC$10,3,0))^(1/12)))</f>
        <v>8660748.9884517584</v>
      </c>
      <c r="DD14" s="145">
        <f>IF(DD$1=1,Ingresos!$P2*Ingresos!$A$23,'Flujo de caja mensual'!DC14*((1+HLOOKUP('Flujo de caja mensual'!DC$2,Ingresos!$S$8:$AC$10,3,0))^(1/12)))</f>
        <v>8682108.7318874858</v>
      </c>
      <c r="DE14" s="145">
        <f>IF(DE$1=1,Ingresos!$P2*Ingresos!$A$23,'Flujo de caja mensual'!DD14*((1+HLOOKUP('Flujo de caja mensual'!DD$2,Ingresos!$S$8:$AC$10,3,0))^(1/12)))</f>
        <v>8703521.1542127933</v>
      </c>
      <c r="DF14" s="145">
        <f>IF(DF$1=1,Ingresos!$P2*Ingresos!$A$23,'Flujo de caja mensual'!DE14*((1+HLOOKUP('Flujo de caja mensual'!DE$2,Ingresos!$S$8:$AC$10,3,0))^(1/12)))</f>
        <v>8724986.3853480332</v>
      </c>
      <c r="DG14" s="145">
        <f>IF(DG$1=1,Ingresos!$P2*Ingresos!$A$23,'Flujo de caja mensual'!DF14*((1+HLOOKUP('Flujo de caja mensual'!DF$2,Ingresos!$S$8:$AC$10,3,0))^(1/12)))</f>
        <v>8746504.5555339791</v>
      </c>
      <c r="DH14" s="145">
        <f>IF(DH$1=1,Ingresos!$P2*Ingresos!$A$23,'Flujo de caja mensual'!DG14*((1+HLOOKUP('Flujo de caja mensual'!DG$2,Ingresos!$S$8:$AC$10,3,0))^(1/12)))</f>
        <v>8768075.7953326087</v>
      </c>
      <c r="DI14" s="145">
        <f>IF(DI$1=1,Ingresos!$P2*Ingresos!$A$23,'Flujo de caja mensual'!DH14*((1+HLOOKUP('Flujo de caja mensual'!DH$2,Ingresos!$S$8:$AC$10,3,0))^(1/12)))</f>
        <v>8789700.2356279045</v>
      </c>
      <c r="DJ14" s="145">
        <f>IF(DJ$1=1,Ingresos!$P2*Ingresos!$A$23,'Flujo de caja mensual'!DI14*((1+HLOOKUP('Flujo de caja mensual'!DI$2,Ingresos!$S$8:$AC$10,3,0))^(1/12)))</f>
        <v>8811378.0076266434</v>
      </c>
      <c r="DK14" s="145">
        <f>IF(DK$1=1,Ingresos!$P2*Ingresos!$A$23,'Flujo de caja mensual'!DJ14*((1+HLOOKUP('Flujo de caja mensual'!DJ$2,Ingresos!$S$8:$AC$10,3,0))^(1/12)))</f>
        <v>8833109.2428591941</v>
      </c>
      <c r="DL14" s="145">
        <f>IF(DL$1=1,Ingresos!$P2*Ingresos!$A$23,'Flujo de caja mensual'!DK14*((1+HLOOKUP('Flujo de caja mensual'!DK$2,Ingresos!$S$8:$AC$10,3,0))^(1/12)))</f>
        <v>8854894.0731803142</v>
      </c>
      <c r="DM14" s="145">
        <f>IF(DM$1=1,Ingresos!$P2*Ingresos!$A$23,'Flujo de caja mensual'!DL14*((1+HLOOKUP('Flujo de caja mensual'!DL$2,Ingresos!$S$8:$AC$10,3,0))^(1/12)))</f>
        <v>8876732.6307699494</v>
      </c>
      <c r="DN14" s="145">
        <f>IF(DN$1=1,Ingresos!$P2*Ingresos!$A$23,'Flujo de caja mensual'!DM14*((1+HLOOKUP('Flujo de caja mensual'!DM$2,Ingresos!$S$8:$AC$10,3,0))^(1/12)))</f>
        <v>8898625.0481340382</v>
      </c>
      <c r="DO14" s="145">
        <f>IF(DO$1=1,Ingresos!$P2*Ingresos!$A$23,'Flujo de caja mensual'!DN14*((1+HLOOKUP('Flujo de caja mensual'!DN$2,Ingresos!$S$8:$AC$10,3,0))^(1/12)))</f>
        <v>8920571.4581053164</v>
      </c>
      <c r="DP14" s="145">
        <f>IF(DP$1=1,Ingresos!$P2*Ingresos!$A$23,'Flujo de caja mensual'!DO14*((1+HLOOKUP('Flujo de caja mensual'!DO$2,Ingresos!$S$8:$AC$10,3,0))^(1/12)))</f>
        <v>8942571.9938441161</v>
      </c>
      <c r="DQ14" s="145">
        <f>IF(DQ$1=1,Ingresos!$P2*Ingresos!$A$23,'Flujo de caja mensual'!DP14*((1+HLOOKUP('Flujo de caja mensual'!DP$2,Ingresos!$S$8:$AC$10,3,0))^(1/12)))</f>
        <v>8964626.7888391837</v>
      </c>
      <c r="DR14" s="145">
        <f>IF(DR$1=1,Ingresos!$P2*Ingresos!$A$23,'Flujo de caja mensual'!DQ14*((1+HLOOKUP('Flujo de caja mensual'!DQ$2,Ingresos!$S$8:$AC$10,3,0))^(1/12)))</f>
        <v>8986735.9769084826</v>
      </c>
      <c r="DS14" s="145">
        <f>IF(DS$1=1,Ingresos!$P2*Ingresos!$A$23,'Flujo de caja mensual'!DR14*((1+HLOOKUP('Flujo de caja mensual'!DR$2,Ingresos!$S$8:$AC$10,3,0))^(1/12)))</f>
        <v>9008899.6922000069</v>
      </c>
      <c r="DT14" s="145">
        <f>IF(DT$1=1,Ingresos!$P2*Ingresos!$A$23,'Flujo de caja mensual'!DS14*((1+HLOOKUP('Flujo de caja mensual'!DS$2,Ingresos!$S$8:$AC$10,3,0))^(1/12)))</f>
        <v>9031118.0691925958</v>
      </c>
      <c r="DU14" s="145">
        <f>IF(DU$1=1,Ingresos!$P2*Ingresos!$A$23,'Flujo de caja mensual'!DT14*((1+HLOOKUP('Flujo de caja mensual'!DT$2,Ingresos!$S$8:$AC$10,3,0))^(1/12)))</f>
        <v>9053391.2426967509</v>
      </c>
      <c r="DV14" s="145">
        <f>IF(DV$1=1,Ingresos!$P2*Ingresos!$A$23,'Flujo de caja mensual'!DU14*((1+HLOOKUP('Flujo de caja mensual'!DU$2,Ingresos!$S$8:$AC$10,3,0))^(1/12)))</f>
        <v>9075719.3478554524</v>
      </c>
      <c r="DW14" s="145">
        <f>IF(DW$1=1,Ingresos!$P2*Ingresos!$A$23,'Flujo de caja mensual'!DV14*((1+HLOOKUP('Flujo de caja mensual'!DV$2,Ingresos!$S$8:$AC$10,3,0))^(1/12)))</f>
        <v>9098102.5201449804</v>
      </c>
      <c r="DX14" s="145">
        <f>IF(DX$1=1,Ingresos!$P2*Ingresos!$A$23,'Flujo de caja mensual'!DW14*((1+HLOOKUP('Flujo de caja mensual'!DW$2,Ingresos!$S$8:$AC$10,3,0))^(1/12)))</f>
        <v>9120540.8953757342</v>
      </c>
      <c r="DY14" s="145">
        <f>IF(DY$1=1,Ingresos!$P2*Ingresos!$A$23,'Flujo de caja mensual'!DX14*((1+HLOOKUP('Flujo de caja mensual'!DX$2,Ingresos!$S$8:$AC$10,3,0))^(1/12)))</f>
        <v>9143034.6096930597</v>
      </c>
      <c r="DZ14" s="145">
        <f>IF(DZ$1=1,Ingresos!$P2*Ingresos!$A$23,'Flujo de caja mensual'!DY14*((1+HLOOKUP('Flujo de caja mensual'!DY$2,Ingresos!$S$8:$AC$10,3,0))^(1/12)))</f>
        <v>9165583.7995780725</v>
      </c>
      <c r="EA14" s="145">
        <f>IF(EA$1=1,Ingresos!$P2*Ingresos!$A$23,'Flujo de caja mensual'!DZ14*((1+HLOOKUP('Flujo de caja mensual'!DZ$2,Ingresos!$S$8:$AC$10,3,0))^(1/12)))</f>
        <v>9188188.6018484887</v>
      </c>
      <c r="EB14" s="145">
        <f>IF(EB$1=1,Ingresos!$P2*Ingresos!$A$23,'Flujo de caja mensual'!EA14*((1+HLOOKUP('Flujo de caja mensual'!EA$2,Ingresos!$S$8:$AC$10,3,0))^(1/12)))</f>
        <v>9210849.1536594536</v>
      </c>
      <c r="EC14" s="145">
        <f>IF(EC$1=1,Ingresos!$P2*Ingresos!$A$23,'Flujo de caja mensual'!EB14*((1+HLOOKUP('Flujo de caja mensual'!EB$2,Ingresos!$S$8:$AC$10,3,0))^(1/12)))</f>
        <v>9233565.5925043728</v>
      </c>
      <c r="ED14" s="145">
        <f>IF(ED$1=1,Ingresos!$P2*Ingresos!$A$23,'Flujo de caja mensual'!EC14*((1+HLOOKUP('Flujo de caja mensual'!EC$2,Ingresos!$S$8:$AC$10,3,0))^(1/12)))</f>
        <v>9256338.0562157501</v>
      </c>
      <c r="EE14" s="146">
        <f>IF(EE$1=1,Ingresos!$P2*Ingresos!$A$23,'Flujo de caja mensual'!ED14*((1+HLOOKUP('Flujo de caja mensual'!ED$2,Ingresos!$S$8:$AC$10,3,0))^(1/12)))</f>
        <v>9279166.68296602</v>
      </c>
    </row>
    <row r="15" spans="1:135" x14ac:dyDescent="0.25">
      <c r="A15" s="152">
        <f>SUMIF($C$1:$EE$1,"&lt;="&amp;Resumen!$K$19,'Flujo de caja mensual'!C15:EE15)</f>
        <v>2066050364.9172318</v>
      </c>
      <c r="B15" s="5" t="str">
        <f>Ingresos!O3</f>
        <v>Intereses de mora</v>
      </c>
      <c r="C15" s="144"/>
      <c r="D15" s="145">
        <f>IF(D$1=1,Ingresos!$P3*Ingresos!$A$23,'Flujo de caja mensual'!C15*((1+HLOOKUP('Flujo de caja mensual'!C$2,Ingresos!$S$8:$AC$10,3,0))^(1/12)))</f>
        <v>14815919.999999998</v>
      </c>
      <c r="E15" s="145">
        <f>IF(E$1=1,Ingresos!$P3*Ingresos!$A$23,'Flujo de caja mensual'!D15*((1+HLOOKUP('Flujo de caja mensual'!D$2,Ingresos!$S$8:$AC$10,3,0))^(1/12)))</f>
        <v>14852460.055644868</v>
      </c>
      <c r="F15" s="145">
        <f>IF(F$1=1,Ingresos!$P3*Ingresos!$A$23,'Flujo de caja mensual'!E15*((1+HLOOKUP('Flujo de caja mensual'!E$2,Ingresos!$S$8:$AC$10,3,0))^(1/12)))</f>
        <v>14889090.228924453</v>
      </c>
      <c r="G15" s="145">
        <f>IF(G$1=1,Ingresos!$P3*Ingresos!$A$23,'Flujo de caja mensual'!F15*((1+HLOOKUP('Flujo de caja mensual'!F$2,Ingresos!$S$8:$AC$10,3,0))^(1/12)))</f>
        <v>14925810.742093151</v>
      </c>
      <c r="H15" s="145">
        <f>IF(H$1=1,Ingresos!$P3*Ingresos!$A$23,'Flujo de caja mensual'!G15*((1+HLOOKUP('Flujo de caja mensual'!G$2,Ingresos!$S$8:$AC$10,3,0))^(1/12)))</f>
        <v>14962621.817953501</v>
      </c>
      <c r="I15" s="145">
        <f>IF(I$1=1,Ingresos!$P3*Ingresos!$A$23,'Flujo de caja mensual'!H15*((1+HLOOKUP('Flujo de caja mensual'!H$2,Ingresos!$S$8:$AC$10,3,0))^(1/12)))</f>
        <v>14999523.679857532</v>
      </c>
      <c r="J15" s="145">
        <f>IF(J$1=1,Ingresos!$P3*Ingresos!$A$23,'Flujo de caja mensual'!I15*((1+HLOOKUP('Flujo de caja mensual'!I$2,Ingresos!$S$8:$AC$10,3,0))^(1/12)))</f>
        <v>15036516.551708117</v>
      </c>
      <c r="K15" s="145">
        <f>IF(K$1=1,Ingresos!$P3*Ingresos!$A$23,'Flujo de caja mensual'!J15*((1+HLOOKUP('Flujo de caja mensual'!J$2,Ingresos!$S$8:$AC$10,3,0))^(1/12)))</f>
        <v>15073600.657960339</v>
      </c>
      <c r="L15" s="145">
        <f>IF(L$1=1,Ingresos!$P3*Ingresos!$A$23,'Flujo de caja mensual'!K15*((1+HLOOKUP('Flujo de caja mensual'!K$2,Ingresos!$S$8:$AC$10,3,0))^(1/12)))</f>
        <v>15110776.223622844</v>
      </c>
      <c r="M15" s="145">
        <f>IF(M$1=1,Ingresos!$P3*Ingresos!$A$23,'Flujo de caja mensual'!L15*((1+HLOOKUP('Flujo de caja mensual'!L$2,Ingresos!$S$8:$AC$10,3,0))^(1/12)))</f>
        <v>15148043.474259211</v>
      </c>
      <c r="N15" s="145">
        <f>IF(N$1=1,Ingresos!$P3*Ingresos!$A$23,'Flujo de caja mensual'!M15*((1+HLOOKUP('Flujo de caja mensual'!M$2,Ingresos!$S$8:$AC$10,3,0))^(1/12)))</f>
        <v>15185402.635989318</v>
      </c>
      <c r="O15" s="145">
        <f>IF(O$1=1,Ingresos!$P3*Ingresos!$A$23,'Flujo de caja mensual'!N15*((1+HLOOKUP('Flujo de caja mensual'!N$2,Ingresos!$S$8:$AC$10,3,0))^(1/12)))</f>
        <v>15222853.935490718</v>
      </c>
      <c r="P15" s="145">
        <f>IF(P$1=1,Ingresos!$P3*Ingresos!$A$23,'Flujo de caja mensual'!O15*((1+HLOOKUP('Flujo de caja mensual'!O$2,Ingresos!$S$8:$AC$10,3,0))^(1/12)))</f>
        <v>15260397.600000013</v>
      </c>
      <c r="Q15" s="145">
        <f>IF(Q$1=1,Ingresos!$P3*Ingresos!$A$23,'Flujo de caja mensual'!P15*((1+HLOOKUP('Flujo de caja mensual'!P$2,Ingresos!$S$8:$AC$10,3,0))^(1/12)))</f>
        <v>15298033.857314229</v>
      </c>
      <c r="R15" s="145">
        <f>IF(R$1=1,Ingresos!$P3*Ingresos!$A$23,'Flujo de caja mensual'!Q15*((1+HLOOKUP('Flujo de caja mensual'!Q$2,Ingresos!$S$8:$AC$10,3,0))^(1/12)))</f>
        <v>15335762.935792202</v>
      </c>
      <c r="S15" s="145">
        <f>IF(S$1=1,Ingresos!$P3*Ingresos!$A$23,'Flujo de caja mensual'!R15*((1+HLOOKUP('Flujo de caja mensual'!R$2,Ingresos!$S$8:$AC$10,3,0))^(1/12)))</f>
        <v>15373585.064355962</v>
      </c>
      <c r="T15" s="145">
        <f>IF(T$1=1,Ingresos!$P3*Ingresos!$A$23,'Flujo de caja mensual'!S15*((1+HLOOKUP('Flujo de caja mensual'!S$2,Ingresos!$S$8:$AC$10,3,0))^(1/12)))</f>
        <v>15411500.472492123</v>
      </c>
      <c r="U15" s="145">
        <f>IF(U$1=1,Ingresos!$P3*Ingresos!$A$23,'Flujo de caja mensual'!T15*((1+HLOOKUP('Flujo de caja mensual'!T$2,Ingresos!$S$8:$AC$10,3,0))^(1/12)))</f>
        <v>15449509.390253274</v>
      </c>
      <c r="V15" s="145">
        <f>IF(V$1=1,Ingresos!$P3*Ingresos!$A$23,'Flujo de caja mensual'!U15*((1+HLOOKUP('Flujo de caja mensual'!U$2,Ingresos!$S$8:$AC$10,3,0))^(1/12)))</f>
        <v>15487612.048259377</v>
      </c>
      <c r="W15" s="145">
        <f>IF(W$1=1,Ingresos!$P3*Ingresos!$A$23,'Flujo de caja mensual'!V15*((1+HLOOKUP('Flujo de caja mensual'!V$2,Ingresos!$S$8:$AC$10,3,0))^(1/12)))</f>
        <v>15525808.677699165</v>
      </c>
      <c r="X15" s="145">
        <f>IF(X$1=1,Ingresos!$P3*Ingresos!$A$23,'Flujo de caja mensual'!W15*((1+HLOOKUP('Flujo de caja mensual'!W$2,Ingresos!$S$8:$AC$10,3,0))^(1/12)))</f>
        <v>15564099.510331545</v>
      </c>
      <c r="Y15" s="145">
        <f>IF(Y$1=1,Ingresos!$P3*Ingresos!$A$23,'Flujo de caja mensual'!X15*((1+HLOOKUP('Flujo de caja mensual'!X$2,Ingresos!$S$8:$AC$10,3,0))^(1/12)))</f>
        <v>15602484.778487002</v>
      </c>
      <c r="Z15" s="145">
        <f>IF(Z$1=1,Ingresos!$P3*Ingresos!$A$23,'Flujo de caja mensual'!Y15*((1+HLOOKUP('Flujo de caja mensual'!Y$2,Ingresos!$S$8:$AC$10,3,0))^(1/12)))</f>
        <v>15640964.715069013</v>
      </c>
      <c r="AA15" s="145">
        <f>IF(AA$1=1,Ingresos!$P3*Ingresos!$A$23,'Flujo de caja mensual'!Z15*((1+HLOOKUP('Flujo de caja mensual'!Z$2,Ingresos!$S$8:$AC$10,3,0))^(1/12)))</f>
        <v>15679539.553555455</v>
      </c>
      <c r="AB15" s="145">
        <f>IF(AB$1=1,Ingresos!$P3*Ingresos!$A$23,'Flujo de caja mensual'!AA15*((1+HLOOKUP('Flujo de caja mensual'!AA$2,Ingresos!$S$8:$AC$10,3,0))^(1/12)))</f>
        <v>15718209.528000029</v>
      </c>
      <c r="AC15" s="145">
        <f>IF(AC$1=1,Ingresos!$P3*Ingresos!$A$23,'Flujo de caja mensual'!AB15*((1+HLOOKUP('Flujo de caja mensual'!AB$2,Ingresos!$S$8:$AC$10,3,0))^(1/12)))</f>
        <v>15756974.873033671</v>
      </c>
      <c r="AD15" s="145">
        <f>IF(AD$1=1,Ingresos!$P3*Ingresos!$A$23,'Flujo de caja mensual'!AC15*((1+HLOOKUP('Flujo de caja mensual'!AC$2,Ingresos!$S$8:$AC$10,3,0))^(1/12)))</f>
        <v>15795835.823865982</v>
      </c>
      <c r="AE15" s="145">
        <f>IF(AE$1=1,Ingresos!$P3*Ingresos!$A$23,'Flujo de caja mensual'!AD15*((1+HLOOKUP('Flujo de caja mensual'!AD$2,Ingresos!$S$8:$AC$10,3,0))^(1/12)))</f>
        <v>15834792.616286654</v>
      </c>
      <c r="AF15" s="145">
        <f>IF(AF$1=1,Ingresos!$P3*Ingresos!$A$23,'Flujo de caja mensual'!AE15*((1+HLOOKUP('Flujo de caja mensual'!AE$2,Ingresos!$S$8:$AC$10,3,0))^(1/12)))</f>
        <v>15873845.486666899</v>
      </c>
      <c r="AG15" s="145">
        <f>IF(AG$1=1,Ingresos!$P3*Ingresos!$A$23,'Flujo de caja mensual'!AF15*((1+HLOOKUP('Flujo de caja mensual'!AF$2,Ingresos!$S$8:$AC$10,3,0))^(1/12)))</f>
        <v>15912994.671960885</v>
      </c>
      <c r="AH15" s="145">
        <f>IF(AH$1=1,Ingresos!$P3*Ingresos!$A$23,'Flujo de caja mensual'!AG15*((1+HLOOKUP('Flujo de caja mensual'!AG$2,Ingresos!$S$8:$AC$10,3,0))^(1/12)))</f>
        <v>15952240.409707172</v>
      </c>
      <c r="AI15" s="145">
        <f>IF(AI$1=1,Ingresos!$P3*Ingresos!$A$23,'Flujo de caja mensual'!AH15*((1+HLOOKUP('Flujo de caja mensual'!AH$2,Ingresos!$S$8:$AC$10,3,0))^(1/12)))</f>
        <v>15991582.938030154</v>
      </c>
      <c r="AJ15" s="145">
        <f>IF(AJ$1=1,Ingresos!$P3*Ingresos!$A$23,'Flujo de caja mensual'!AI15*((1+HLOOKUP('Flujo de caja mensual'!AI$2,Ingresos!$S$8:$AC$10,3,0))^(1/12)))</f>
        <v>16031022.495641505</v>
      </c>
      <c r="AK15" s="145">
        <f>IF(AK$1=1,Ingresos!$P3*Ingresos!$A$23,'Flujo de caja mensual'!AJ15*((1+HLOOKUP('Flujo de caja mensual'!AJ$2,Ingresos!$S$8:$AC$10,3,0))^(1/12)))</f>
        <v>16070559.321841625</v>
      </c>
      <c r="AL15" s="145">
        <f>IF(AL$1=1,Ingresos!$P3*Ingresos!$A$23,'Flujo de caja mensual'!AK15*((1+HLOOKUP('Flujo de caja mensual'!AK$2,Ingresos!$S$8:$AC$10,3,0))^(1/12)))</f>
        <v>16110193.656521097</v>
      </c>
      <c r="AM15" s="145">
        <f>IF(AM$1=1,Ingresos!$P3*Ingresos!$A$23,'Flujo de caja mensual'!AL15*((1+HLOOKUP('Flujo de caja mensual'!AL$2,Ingresos!$S$8:$AC$10,3,0))^(1/12)))</f>
        <v>16149925.740162134</v>
      </c>
      <c r="AN15" s="145">
        <f>IF(AN$1=1,Ingresos!$P3*Ingresos!$A$23,'Flujo de caja mensual'!AM15*((1+HLOOKUP('Flujo de caja mensual'!AM$2,Ingresos!$S$8:$AC$10,3,0))^(1/12)))</f>
        <v>16189755.813840045</v>
      </c>
      <c r="AO15" s="145">
        <f>IF(AO$1=1,Ingresos!$P3*Ingresos!$A$23,'Flujo de caja mensual'!AN15*((1+HLOOKUP('Flujo de caja mensual'!AN$2,Ingresos!$S$8:$AC$10,3,0))^(1/12)))</f>
        <v>16229684.119224695</v>
      </c>
      <c r="AP15" s="145">
        <f>IF(AP$1=1,Ingresos!$P3*Ingresos!$A$23,'Flujo de caja mensual'!AO15*((1+HLOOKUP('Flujo de caja mensual'!AO$2,Ingresos!$S$8:$AC$10,3,0))^(1/12)))</f>
        <v>16269710.898581976</v>
      </c>
      <c r="AQ15" s="145">
        <f>IF(AQ$1=1,Ingresos!$P3*Ingresos!$A$23,'Flujo de caja mensual'!AP15*((1+HLOOKUP('Flujo de caja mensual'!AP$2,Ingresos!$S$8:$AC$10,3,0))^(1/12)))</f>
        <v>16309836.39477527</v>
      </c>
      <c r="AR15" s="145">
        <f>IF(AR$1=1,Ingresos!$P3*Ingresos!$A$23,'Flujo de caja mensual'!AQ15*((1+HLOOKUP('Flujo de caja mensual'!AQ$2,Ingresos!$S$8:$AC$10,3,0))^(1/12)))</f>
        <v>16350060.851266922</v>
      </c>
      <c r="AS15" s="145">
        <f>IF(AS$1=1,Ingresos!$P3*Ingresos!$A$23,'Flujo de caja mensual'!AR15*((1+HLOOKUP('Flujo de caja mensual'!AR$2,Ingresos!$S$8:$AC$10,3,0))^(1/12)))</f>
        <v>16390384.512119727</v>
      </c>
      <c r="AT15" s="145">
        <f>IF(AT$1=1,Ingresos!$P3*Ingresos!$A$23,'Flujo de caja mensual'!AS15*((1+HLOOKUP('Flujo de caja mensual'!AS$2,Ingresos!$S$8:$AC$10,3,0))^(1/12)))</f>
        <v>16430807.621998403</v>
      </c>
      <c r="AU15" s="145">
        <f>IF(AU$1=1,Ingresos!$P3*Ingresos!$A$23,'Flujo de caja mensual'!AT15*((1+HLOOKUP('Flujo de caja mensual'!AT$2,Ingresos!$S$8:$AC$10,3,0))^(1/12)))</f>
        <v>16471330.426171076</v>
      </c>
      <c r="AV15" s="145">
        <f>IF(AV$1=1,Ingresos!$P3*Ingresos!$A$23,'Flujo de caja mensual'!AU15*((1+HLOOKUP('Flujo de caja mensual'!AU$2,Ingresos!$S$8:$AC$10,3,0))^(1/12)))</f>
        <v>16511953.170510767</v>
      </c>
      <c r="AW15" s="145">
        <f>IF(AW$1=1,Ingresos!$P3*Ingresos!$A$23,'Flujo de caja mensual'!AV15*((1+HLOOKUP('Flujo de caja mensual'!AV$2,Ingresos!$S$8:$AC$10,3,0))^(1/12)))</f>
        <v>16552676.101496892</v>
      </c>
      <c r="AX15" s="145">
        <f>IF(AX$1=1,Ingresos!$P3*Ingresos!$A$23,'Flujo de caja mensual'!AW15*((1+HLOOKUP('Flujo de caja mensual'!AW$2,Ingresos!$S$8:$AC$10,3,0))^(1/12)))</f>
        <v>16593499.466216747</v>
      </c>
      <c r="AY15" s="145">
        <f>IF(AY$1=1,Ingresos!$P3*Ingresos!$A$23,'Flujo de caja mensual'!AX15*((1+HLOOKUP('Flujo de caja mensual'!AX$2,Ingresos!$S$8:$AC$10,3,0))^(1/12)))</f>
        <v>16634423.512367014</v>
      </c>
      <c r="AZ15" s="145">
        <f>IF(AZ$1=1,Ingresos!$P3*Ingresos!$A$23,'Flujo de caja mensual'!AY15*((1+HLOOKUP('Flujo de caja mensual'!AY$2,Ingresos!$S$8:$AC$10,3,0))^(1/12)))</f>
        <v>16675448.488255262</v>
      </c>
      <c r="BA15" s="145">
        <f>IF(BA$1=1,Ingresos!$P3*Ingresos!$A$23,'Flujo de caja mensual'!AZ15*((1+HLOOKUP('Flujo de caja mensual'!AZ$2,Ingresos!$S$8:$AC$10,3,0))^(1/12)))</f>
        <v>16716574.642801454</v>
      </c>
      <c r="BB15" s="145">
        <f>IF(BB$1=1,Ingresos!$P3*Ingresos!$A$23,'Flujo de caja mensual'!BA15*((1+HLOOKUP('Flujo de caja mensual'!BA$2,Ingresos!$S$8:$AC$10,3,0))^(1/12)))</f>
        <v>16757802.225539453</v>
      </c>
      <c r="BC15" s="145">
        <f>IF(BC$1=1,Ingresos!$P3*Ingresos!$A$23,'Flujo de caja mensual'!BB15*((1+HLOOKUP('Flujo de caja mensual'!BB$2,Ingresos!$S$8:$AC$10,3,0))^(1/12)))</f>
        <v>16799131.486618545</v>
      </c>
      <c r="BD15" s="145">
        <f>IF(BD$1=1,Ingresos!$P3*Ingresos!$A$23,'Flujo de caja mensual'!BC15*((1+HLOOKUP('Flujo de caja mensual'!BC$2,Ingresos!$S$8:$AC$10,3,0))^(1/12)))</f>
        <v>16840562.676804949</v>
      </c>
      <c r="BE15" s="145">
        <f>IF(BE$1=1,Ingresos!$P3*Ingresos!$A$23,'Flujo de caja mensual'!BD15*((1+HLOOKUP('Flujo de caja mensual'!BD$2,Ingresos!$S$8:$AC$10,3,0))^(1/12)))</f>
        <v>16882096.04748334</v>
      </c>
      <c r="BF15" s="145">
        <f>IF(BF$1=1,Ingresos!$P3*Ingresos!$A$23,'Flujo de caja mensual'!BE15*((1+HLOOKUP('Flujo de caja mensual'!BE$2,Ingresos!$S$8:$AC$10,3,0))^(1/12)))</f>
        <v>16923731.850658376</v>
      </c>
      <c r="BG15" s="145">
        <f>IF(BG$1=1,Ingresos!$P3*Ingresos!$A$23,'Flujo de caja mensual'!BF15*((1+HLOOKUP('Flujo de caja mensual'!BF$2,Ingresos!$S$8:$AC$10,3,0))^(1/12)))</f>
        <v>16965470.338956229</v>
      </c>
      <c r="BH15" s="145">
        <f>IF(BH$1=1,Ingresos!$P3*Ingresos!$A$23,'Flujo de caja mensual'!BG15*((1+HLOOKUP('Flujo de caja mensual'!BG$2,Ingresos!$S$8:$AC$10,3,0))^(1/12)))</f>
        <v>17007311.76562611</v>
      </c>
      <c r="BI15" s="145">
        <f>IF(BI$1=1,Ingresos!$P3*Ingresos!$A$23,'Flujo de caja mensual'!BH15*((1+HLOOKUP('Flujo de caja mensual'!BH$2,Ingresos!$S$8:$AC$10,3,0))^(1/12)))</f>
        <v>17049256.384541817</v>
      </c>
      <c r="BJ15" s="145">
        <f>IF(BJ$1=1,Ingresos!$P3*Ingresos!$A$23,'Flujo de caja mensual'!BI15*((1+HLOOKUP('Flujo de caja mensual'!BI$2,Ingresos!$S$8:$AC$10,3,0))^(1/12)))</f>
        <v>17091304.45020327</v>
      </c>
      <c r="BK15" s="145">
        <f>IF(BK$1=1,Ingresos!$P3*Ingresos!$A$23,'Flujo de caja mensual'!BJ15*((1+HLOOKUP('Flujo de caja mensual'!BJ$2,Ingresos!$S$8:$AC$10,3,0))^(1/12)))</f>
        <v>17133456.217738047</v>
      </c>
      <c r="BL15" s="145">
        <f>IF(BL$1=1,Ingresos!$P3*Ingresos!$A$23,'Flujo de caja mensual'!BK15*((1+HLOOKUP('Flujo de caja mensual'!BK$2,Ingresos!$S$8:$AC$10,3,0))^(1/12)))</f>
        <v>17175711.942902945</v>
      </c>
      <c r="BM15" s="145">
        <f>IF(BM$1=1,Ingresos!$P3*Ingresos!$A$23,'Flujo de caja mensual'!BL15*((1+HLOOKUP('Flujo de caja mensual'!BL$2,Ingresos!$S$8:$AC$10,3,0))^(1/12)))</f>
        <v>17218071.882085521</v>
      </c>
      <c r="BN15" s="145">
        <f>IF(BN$1=1,Ingresos!$P3*Ingresos!$A$23,'Flujo de caja mensual'!BM15*((1+HLOOKUP('Flujo de caja mensual'!BM$2,Ingresos!$S$8:$AC$10,3,0))^(1/12)))</f>
        <v>17260536.29230566</v>
      </c>
      <c r="BO15" s="145">
        <f>IF(BO$1=1,Ingresos!$P3*Ingresos!$A$23,'Flujo de caja mensual'!BN15*((1+HLOOKUP('Flujo de caja mensual'!BN$2,Ingresos!$S$8:$AC$10,3,0))^(1/12)))</f>
        <v>17303105.431217123</v>
      </c>
      <c r="BP15" s="145">
        <f>IF(BP$1=1,Ingresos!$P3*Ingresos!$A$23,'Flujo de caja mensual'!BO15*((1+HLOOKUP('Flujo de caja mensual'!BO$2,Ingresos!$S$8:$AC$10,3,0))^(1/12)))</f>
        <v>17345779.557109118</v>
      </c>
      <c r="BQ15" s="145">
        <f>IF(BQ$1=1,Ingresos!$P3*Ingresos!$A$23,'Flujo de caja mensual'!BP15*((1+HLOOKUP('Flujo de caja mensual'!BP$2,Ingresos!$S$8:$AC$10,3,0))^(1/12)))</f>
        <v>17388558.92890786</v>
      </c>
      <c r="BR15" s="145">
        <f>IF(BR$1=1,Ingresos!$P3*Ingresos!$A$23,'Flujo de caja mensual'!BQ15*((1+HLOOKUP('Flujo de caja mensual'!BQ$2,Ingresos!$S$8:$AC$10,3,0))^(1/12)))</f>
        <v>17431443.806178145</v>
      </c>
      <c r="BS15" s="145">
        <f>IF(BS$1=1,Ingresos!$P3*Ingresos!$A$23,'Flujo de caja mensual'!BR15*((1+HLOOKUP('Flujo de caja mensual'!BR$2,Ingresos!$S$8:$AC$10,3,0))^(1/12)))</f>
        <v>17474434.449124932</v>
      </c>
      <c r="BT15" s="145">
        <f>IF(BT$1=1,Ingresos!$P3*Ingresos!$A$23,'Flujo de caja mensual'!BS15*((1+HLOOKUP('Flujo de caja mensual'!BS$2,Ingresos!$S$8:$AC$10,3,0))^(1/12)))</f>
        <v>17517531.118594911</v>
      </c>
      <c r="BU15" s="145">
        <f>IF(BU$1=1,Ingresos!$P3*Ingresos!$A$23,'Flujo de caja mensual'!BT15*((1+HLOOKUP('Flujo de caja mensual'!BT$2,Ingresos!$S$8:$AC$10,3,0))^(1/12)))</f>
        <v>17560734.076078091</v>
      </c>
      <c r="BV15" s="145">
        <f>IF(BV$1=1,Ingresos!$P3*Ingresos!$A$23,'Flujo de caja mensual'!BU15*((1+HLOOKUP('Flujo de caja mensual'!BU$2,Ingresos!$S$8:$AC$10,3,0))^(1/12)))</f>
        <v>17604043.583709385</v>
      </c>
      <c r="BW15" s="145">
        <f>IF(BW$1=1,Ingresos!$P3*Ingresos!$A$23,'Flujo de caja mensual'!BV15*((1+HLOOKUP('Flujo de caja mensual'!BV$2,Ingresos!$S$8:$AC$10,3,0))^(1/12)))</f>
        <v>17647459.904270206</v>
      </c>
      <c r="BX15" s="145">
        <f>IF(BX$1=1,Ingresos!$P3*Ingresos!$A$23,'Flujo de caja mensual'!BW15*((1+HLOOKUP('Flujo de caja mensual'!BW$2,Ingresos!$S$8:$AC$10,3,0))^(1/12)))</f>
        <v>17690983.301190048</v>
      </c>
      <c r="BY15" s="145">
        <f>IF(BY$1=1,Ingresos!$P3*Ingresos!$A$23,'Flujo de caja mensual'!BX15*((1+HLOOKUP('Flujo de caja mensual'!BX$2,Ingresos!$S$8:$AC$10,3,0))^(1/12)))</f>
        <v>17734614.038548104</v>
      </c>
      <c r="BZ15" s="145">
        <f>IF(BZ$1=1,Ingresos!$P3*Ingresos!$A$23,'Flujo de caja mensual'!BY15*((1+HLOOKUP('Flujo de caja mensual'!BY$2,Ingresos!$S$8:$AC$10,3,0))^(1/12)))</f>
        <v>17778352.38107485</v>
      </c>
      <c r="CA15" s="145">
        <f>IF(CA$1=1,Ingresos!$P3*Ingresos!$A$23,'Flujo de caja mensual'!BZ15*((1+HLOOKUP('Flujo de caja mensual'!BZ$2,Ingresos!$S$8:$AC$10,3,0))^(1/12)))</f>
        <v>17822198.594153658</v>
      </c>
      <c r="CB15" s="145">
        <f>IF(CB$1=1,Ingresos!$P3*Ingresos!$A$23,'Flujo de caja mensual'!CA15*((1+HLOOKUP('Flujo de caja mensual'!CA$2,Ingresos!$S$8:$AC$10,3,0))^(1/12)))</f>
        <v>17866152.943822414</v>
      </c>
      <c r="CC15" s="145">
        <f>IF(CC$1=1,Ingresos!$P3*Ingresos!$A$23,'Flujo de caja mensual'!CB15*((1+HLOOKUP('Flujo de caja mensual'!CB$2,Ingresos!$S$8:$AC$10,3,0))^(1/12)))</f>
        <v>17910215.696775116</v>
      </c>
      <c r="CD15" s="145">
        <f>IF(CD$1=1,Ingresos!$P3*Ingresos!$A$23,'Flujo de caja mensual'!CC15*((1+HLOOKUP('Flujo de caja mensual'!CC$2,Ingresos!$S$8:$AC$10,3,0))^(1/12)))</f>
        <v>17954387.120363511</v>
      </c>
      <c r="CE15" s="145">
        <f>IF(CE$1=1,Ingresos!$P3*Ingresos!$A$23,'Flujo de caja mensual'!CD15*((1+HLOOKUP('Flujo de caja mensual'!CD$2,Ingresos!$S$8:$AC$10,3,0))^(1/12)))</f>
        <v>17998667.482598703</v>
      </c>
      <c r="CF15" s="145">
        <f>IF(CF$1=1,Ingresos!$P3*Ingresos!$A$23,'Flujo de caja mensual'!CE15*((1+HLOOKUP('Flujo de caja mensual'!CE$2,Ingresos!$S$8:$AC$10,3,0))^(1/12)))</f>
        <v>18043057.052152783</v>
      </c>
      <c r="CG15" s="145">
        <f>IF(CG$1=1,Ingresos!$P3*Ingresos!$A$23,'Flujo de caja mensual'!CF15*((1+HLOOKUP('Flujo de caja mensual'!CF$2,Ingresos!$S$8:$AC$10,3,0))^(1/12)))</f>
        <v>18087556.098360457</v>
      </c>
      <c r="CH15" s="145">
        <f>IF(CH$1=1,Ingresos!$P3*Ingresos!$A$23,'Flujo de caja mensual'!CG15*((1+HLOOKUP('Flujo de caja mensual'!CG$2,Ingresos!$S$8:$AC$10,3,0))^(1/12)))</f>
        <v>18132164.891220689</v>
      </c>
      <c r="CI15" s="145">
        <f>IF(CI$1=1,Ingresos!$P3*Ingresos!$A$23,'Flujo de caja mensual'!CH15*((1+HLOOKUP('Flujo de caja mensual'!CH$2,Ingresos!$S$8:$AC$10,3,0))^(1/12)))</f>
        <v>18176883.701398332</v>
      </c>
      <c r="CJ15" s="145">
        <f>IF(CJ$1=1,Ingresos!$P3*Ingresos!$A$23,'Flujo de caja mensual'!CI15*((1+HLOOKUP('Flujo de caja mensual'!CI$2,Ingresos!$S$8:$AC$10,3,0))^(1/12)))</f>
        <v>18221712.800225768</v>
      </c>
      <c r="CK15" s="145">
        <f>IF(CK$1=1,Ingresos!$P3*Ingresos!$A$23,'Flujo de caja mensual'!CJ15*((1+HLOOKUP('Flujo de caja mensual'!CJ$2,Ingresos!$S$8:$AC$10,3,0))^(1/12)))</f>
        <v>18266652.459704563</v>
      </c>
      <c r="CL15" s="145">
        <f>IF(CL$1=1,Ingresos!$P3*Ingresos!$A$23,'Flujo de caja mensual'!CK15*((1+HLOOKUP('Flujo de caja mensual'!CK$2,Ingresos!$S$8:$AC$10,3,0))^(1/12)))</f>
        <v>18311702.952507108</v>
      </c>
      <c r="CM15" s="145">
        <f>IF(CM$1=1,Ingresos!$P3*Ingresos!$A$23,'Flujo de caja mensual'!CL15*((1+HLOOKUP('Flujo de caja mensual'!CL$2,Ingresos!$S$8:$AC$10,3,0))^(1/12)))</f>
        <v>18356864.551978283</v>
      </c>
      <c r="CN15" s="145">
        <f>IF(CN$1=1,Ingresos!$P3*Ingresos!$A$23,'Flujo de caja mensual'!CM15*((1+HLOOKUP('Flujo de caja mensual'!CM$2,Ingresos!$S$8:$AC$10,3,0))^(1/12)))</f>
        <v>18402137.5321371</v>
      </c>
      <c r="CO15" s="145">
        <f>IF(CO$1=1,Ingresos!$P3*Ingresos!$A$23,'Flujo de caja mensual'!CN15*((1+HLOOKUP('Flujo de caja mensual'!CN$2,Ingresos!$S$8:$AC$10,3,0))^(1/12)))</f>
        <v>18447522.167678386</v>
      </c>
      <c r="CP15" s="145">
        <f>IF(CP$1=1,Ingresos!$P3*Ingresos!$A$23,'Flujo de caja mensual'!CO15*((1+HLOOKUP('Flujo de caja mensual'!CO$2,Ingresos!$S$8:$AC$10,3,0))^(1/12)))</f>
        <v>18493018.733974434</v>
      </c>
      <c r="CQ15" s="145">
        <f>IF(CQ$1=1,Ingresos!$P3*Ingresos!$A$23,'Flujo de caja mensual'!CP15*((1+HLOOKUP('Flujo de caja mensual'!CP$2,Ingresos!$S$8:$AC$10,3,0))^(1/12)))</f>
        <v>18538627.507076681</v>
      </c>
      <c r="CR15" s="145">
        <f>IF(CR$1=1,Ingresos!$P3*Ingresos!$A$23,'Flujo de caja mensual'!CQ15*((1+HLOOKUP('Flujo de caja mensual'!CQ$2,Ingresos!$S$8:$AC$10,3,0))^(1/12)))</f>
        <v>18584348.763717383</v>
      </c>
      <c r="CS15" s="145">
        <f>IF(CS$1=1,Ingresos!$P3*Ingresos!$A$23,'Flujo de caja mensual'!CR15*((1+HLOOKUP('Flujo de caja mensual'!CR$2,Ingresos!$S$8:$AC$10,3,0))^(1/12)))</f>
        <v>18630182.781311288</v>
      </c>
      <c r="CT15" s="145">
        <f>IF(CT$1=1,Ingresos!$P3*Ingresos!$A$23,'Flujo de caja mensual'!CS15*((1+HLOOKUP('Flujo de caja mensual'!CS$2,Ingresos!$S$8:$AC$10,3,0))^(1/12)))</f>
        <v>18676129.83795733</v>
      </c>
      <c r="CU15" s="145">
        <f>IF(CU$1=1,Ingresos!$P3*Ingresos!$A$23,'Flujo de caja mensual'!CT15*((1+HLOOKUP('Flujo de caja mensual'!CT$2,Ingresos!$S$8:$AC$10,3,0))^(1/12)))</f>
        <v>18722190.212440304</v>
      </c>
      <c r="CV15" s="145">
        <f>IF(CV$1=1,Ingresos!$P3*Ingresos!$A$23,'Flujo de caja mensual'!CU15*((1+HLOOKUP('Flujo de caja mensual'!CU$2,Ingresos!$S$8:$AC$10,3,0))^(1/12)))</f>
        <v>18768364.184232567</v>
      </c>
      <c r="CW15" s="145">
        <f>IF(CW$1=1,Ingresos!$P3*Ingresos!$A$23,'Flujo de caja mensual'!CV15*((1+HLOOKUP('Flujo de caja mensual'!CV$2,Ingresos!$S$8:$AC$10,3,0))^(1/12)))</f>
        <v>18814652.033495728</v>
      </c>
      <c r="CX15" s="145">
        <f>IF(CX$1=1,Ingresos!$P3*Ingresos!$A$23,'Flujo de caja mensual'!CW15*((1+HLOOKUP('Flujo de caja mensual'!CW$2,Ingresos!$S$8:$AC$10,3,0))^(1/12)))</f>
        <v>18861054.041082349</v>
      </c>
      <c r="CY15" s="145">
        <f>IF(CY$1=1,Ingresos!$P3*Ingresos!$A$23,'Flujo de caja mensual'!CX15*((1+HLOOKUP('Flujo de caja mensual'!CX$2,Ingresos!$S$8:$AC$10,3,0))^(1/12)))</f>
        <v>18907570.488537658</v>
      </c>
      <c r="CZ15" s="145">
        <f>IF(CZ$1=1,Ingresos!$P3*Ingresos!$A$23,'Flujo de caja mensual'!CY15*((1+HLOOKUP('Flujo de caja mensual'!CY$2,Ingresos!$S$8:$AC$10,3,0))^(1/12)))</f>
        <v>18954201.658101238</v>
      </c>
      <c r="DA15" s="145">
        <f>IF(DA$1=1,Ingresos!$P3*Ingresos!$A$23,'Flujo de caja mensual'!CZ15*((1+HLOOKUP('Flujo de caja mensual'!CZ$2,Ingresos!$S$8:$AC$10,3,0))^(1/12)))</f>
        <v>19000947.832708761</v>
      </c>
      <c r="DB15" s="145">
        <f>IF(DB$1=1,Ingresos!$P3*Ingresos!$A$23,'Flujo de caja mensual'!DA15*((1+HLOOKUP('Flujo de caja mensual'!DA$2,Ingresos!$S$8:$AC$10,3,0))^(1/12)))</f>
        <v>19047809.295993689</v>
      </c>
      <c r="DC15" s="145">
        <f>IF(DC$1=1,Ingresos!$P3*Ingresos!$A$23,'Flujo de caja mensual'!DB15*((1+HLOOKUP('Flujo de caja mensual'!DB$2,Ingresos!$S$8:$AC$10,3,0))^(1/12)))</f>
        <v>19094786.332289003</v>
      </c>
      <c r="DD15" s="145">
        <f>IF(DD$1=1,Ingresos!$P3*Ingresos!$A$23,'Flujo de caja mensual'!DC15*((1+HLOOKUP('Flujo de caja mensual'!DC$2,Ingresos!$S$8:$AC$10,3,0))^(1/12)))</f>
        <v>19141879.226628926</v>
      </c>
      <c r="DE15" s="145">
        <f>IF(DE$1=1,Ingresos!$P3*Ingresos!$A$23,'Flujo de caja mensual'!DD15*((1+HLOOKUP('Flujo de caja mensual'!DD$2,Ingresos!$S$8:$AC$10,3,0))^(1/12)))</f>
        <v>19189088.264750648</v>
      </c>
      <c r="DF15" s="145">
        <f>IF(DF$1=1,Ingresos!$P3*Ingresos!$A$23,'Flujo de caja mensual'!DE15*((1+HLOOKUP('Flujo de caja mensual'!DE$2,Ingresos!$S$8:$AC$10,3,0))^(1/12)))</f>
        <v>19236413.733096071</v>
      </c>
      <c r="DG15" s="145">
        <f>IF(DG$1=1,Ingresos!$P3*Ingresos!$A$23,'Flujo de caja mensual'!DF15*((1+HLOOKUP('Flujo de caja mensual'!DF$2,Ingresos!$S$8:$AC$10,3,0))^(1/12)))</f>
        <v>19283855.918813534</v>
      </c>
      <c r="DH15" s="145">
        <f>IF(DH$1=1,Ingresos!$P3*Ingresos!$A$23,'Flujo de caja mensual'!DG15*((1+HLOOKUP('Flujo de caja mensual'!DG$2,Ingresos!$S$8:$AC$10,3,0))^(1/12)))</f>
        <v>19331415.109759562</v>
      </c>
      <c r="DI15" s="145">
        <f>IF(DI$1=1,Ingresos!$P3*Ingresos!$A$23,'Flujo de caja mensual'!DH15*((1+HLOOKUP('Flujo de caja mensual'!DH$2,Ingresos!$S$8:$AC$10,3,0))^(1/12)))</f>
        <v>19379091.594500616</v>
      </c>
      <c r="DJ15" s="145">
        <f>IF(DJ$1=1,Ingresos!$P3*Ingresos!$A$23,'Flujo de caja mensual'!DI15*((1+HLOOKUP('Flujo de caja mensual'!DI$2,Ingresos!$S$8:$AC$10,3,0))^(1/12)))</f>
        <v>19426885.662314836</v>
      </c>
      <c r="DK15" s="145">
        <f>IF(DK$1=1,Ingresos!$P3*Ingresos!$A$23,'Flujo de caja mensual'!DJ15*((1+HLOOKUP('Flujo de caja mensual'!DJ$2,Ingresos!$S$8:$AC$10,3,0))^(1/12)))</f>
        <v>19474797.603193805</v>
      </c>
      <c r="DL15" s="145">
        <f>IF(DL$1=1,Ingresos!$P3*Ingresos!$A$23,'Flujo de caja mensual'!DK15*((1+HLOOKUP('Flujo de caja mensual'!DK$2,Ingresos!$S$8:$AC$10,3,0))^(1/12)))</f>
        <v>19522827.707844295</v>
      </c>
      <c r="DM15" s="145">
        <f>IF(DM$1=1,Ingresos!$P3*Ingresos!$A$23,'Flujo de caja mensual'!DL15*((1+HLOOKUP('Flujo de caja mensual'!DL$2,Ingresos!$S$8:$AC$10,3,0))^(1/12)))</f>
        <v>19570976.267690044</v>
      </c>
      <c r="DN15" s="145">
        <f>IF(DN$1=1,Ingresos!$P3*Ingresos!$A$23,'Flujo de caja mensual'!DM15*((1+HLOOKUP('Flujo de caja mensual'!DM$2,Ingresos!$S$8:$AC$10,3,0))^(1/12)))</f>
        <v>19619243.574873522</v>
      </c>
      <c r="DO15" s="145">
        <f>IF(DO$1=1,Ingresos!$P3*Ingresos!$A$23,'Flujo de caja mensual'!DN15*((1+HLOOKUP('Flujo de caja mensual'!DN$2,Ingresos!$S$8:$AC$10,3,0))^(1/12)))</f>
        <v>19667629.922257695</v>
      </c>
      <c r="DP15" s="145">
        <f>IF(DP$1=1,Ingresos!$P3*Ingresos!$A$23,'Flujo de caja mensual'!DO15*((1+HLOOKUP('Flujo de caja mensual'!DO$2,Ingresos!$S$8:$AC$10,3,0))^(1/12)))</f>
        <v>19716135.603427816</v>
      </c>
      <c r="DQ15" s="145">
        <f>IF(DQ$1=1,Ingresos!$P3*Ingresos!$A$23,'Flujo de caja mensual'!DP15*((1+HLOOKUP('Flujo de caja mensual'!DP$2,Ingresos!$S$8:$AC$10,3,0))^(1/12)))</f>
        <v>19764760.912693191</v>
      </c>
      <c r="DR15" s="145">
        <f>IF(DR$1=1,Ingresos!$P3*Ingresos!$A$23,'Flujo de caja mensual'!DQ15*((1+HLOOKUP('Flujo de caja mensual'!DQ$2,Ingresos!$S$8:$AC$10,3,0))^(1/12)))</f>
        <v>19813506.145088974</v>
      </c>
      <c r="DS15" s="145">
        <f>IF(DS$1=1,Ingresos!$P3*Ingresos!$A$23,'Flujo de caja mensual'!DR15*((1+HLOOKUP('Flujo de caja mensual'!DR$2,Ingresos!$S$8:$AC$10,3,0))^(1/12)))</f>
        <v>19862371.596377961</v>
      </c>
      <c r="DT15" s="145">
        <f>IF(DT$1=1,Ingresos!$P3*Ingresos!$A$23,'Flujo de caja mensual'!DS15*((1+HLOOKUP('Flujo de caja mensual'!DS$2,Ingresos!$S$8:$AC$10,3,0))^(1/12)))</f>
        <v>19911357.563052371</v>
      </c>
      <c r="DU15" s="145">
        <f>IF(DU$1=1,Ingresos!$P3*Ingresos!$A$23,'Flujo de caja mensual'!DT15*((1+HLOOKUP('Flujo de caja mensual'!DT$2,Ingresos!$S$8:$AC$10,3,0))^(1/12)))</f>
        <v>19960464.342335656</v>
      </c>
      <c r="DV15" s="145">
        <f>IF(DV$1=1,Ingresos!$P3*Ingresos!$A$23,'Flujo de caja mensual'!DU15*((1+HLOOKUP('Flujo de caja mensual'!DU$2,Ingresos!$S$8:$AC$10,3,0))^(1/12)))</f>
        <v>20009692.232184306</v>
      </c>
      <c r="DW15" s="145">
        <f>IF(DW$1=1,Ingresos!$P3*Ingresos!$A$23,'Flujo de caja mensual'!DV15*((1+HLOOKUP('Flujo de caja mensual'!DV$2,Ingresos!$S$8:$AC$10,3,0))^(1/12)))</f>
        <v>20059041.531289641</v>
      </c>
      <c r="DX15" s="145">
        <f>IF(DX$1=1,Ingresos!$P3*Ingresos!$A$23,'Flujo de caja mensual'!DW15*((1+HLOOKUP('Flujo de caja mensual'!DW$2,Ingresos!$S$8:$AC$10,3,0))^(1/12)))</f>
        <v>20108512.539079644</v>
      </c>
      <c r="DY15" s="145">
        <f>IF(DY$1=1,Ingresos!$P3*Ingresos!$A$23,'Flujo de caja mensual'!DX15*((1+HLOOKUP('Flujo de caja mensual'!DX$2,Ingresos!$S$8:$AC$10,3,0))^(1/12)))</f>
        <v>20158105.555720765</v>
      </c>
      <c r="DZ15" s="145">
        <f>IF(DZ$1=1,Ingresos!$P3*Ingresos!$A$23,'Flujo de caja mensual'!DY15*((1+HLOOKUP('Flujo de caja mensual'!DY$2,Ingresos!$S$8:$AC$10,3,0))^(1/12)))</f>
        <v>20207820.882119745</v>
      </c>
      <c r="EA15" s="145">
        <f>IF(EA$1=1,Ingresos!$P3*Ingresos!$A$23,'Flujo de caja mensual'!DZ15*((1+HLOOKUP('Flujo de caja mensual'!DZ$2,Ingresos!$S$8:$AC$10,3,0))^(1/12)))</f>
        <v>20257658.819925442</v>
      </c>
      <c r="EB15" s="145">
        <f>IF(EB$1=1,Ingresos!$P3*Ingresos!$A$23,'Flujo de caja mensual'!EA15*((1+HLOOKUP('Flujo de caja mensual'!EA$2,Ingresos!$S$8:$AC$10,3,0))^(1/12)))</f>
        <v>20307619.671530664</v>
      </c>
      <c r="EC15" s="145">
        <f>IF(EC$1=1,Ingresos!$P3*Ingresos!$A$23,'Flujo de caja mensual'!EB15*((1+HLOOKUP('Flujo de caja mensual'!EB$2,Ingresos!$S$8:$AC$10,3,0))^(1/12)))</f>
        <v>20357703.740074001</v>
      </c>
      <c r="ED15" s="145">
        <f>IF(ED$1=1,Ingresos!$P3*Ingresos!$A$23,'Flujo de caja mensual'!EC15*((1+HLOOKUP('Flujo de caja mensual'!EC$2,Ingresos!$S$8:$AC$10,3,0))^(1/12)))</f>
        <v>20407911.329441659</v>
      </c>
      <c r="EE15" s="146">
        <f>IF(EE$1=1,Ingresos!$P3*Ingresos!$A$23,'Flujo de caja mensual'!ED15*((1+HLOOKUP('Flujo de caja mensual'!ED$2,Ingresos!$S$8:$AC$10,3,0))^(1/12)))</f>
        <v>20458242.744269315</v>
      </c>
    </row>
    <row r="16" spans="1:135" x14ac:dyDescent="0.25">
      <c r="A16" s="152">
        <f>SUMIF($C$1:$EE$1,"&lt;="&amp;Resumen!$K$19,'Flujo de caja mensual'!C16:EE16)</f>
        <v>0</v>
      </c>
      <c r="B16" s="5"/>
      <c r="C16" s="144"/>
      <c r="D16" s="145">
        <f>IF(D$1=1,Ingresos!$P4*Ingresos!$A$23,'Flujo de caja mensual'!C16*((1+HLOOKUP('Flujo de caja mensual'!C$2,Ingresos!$S$8:$AC$10,3,0))^(1/12)))</f>
        <v>0</v>
      </c>
      <c r="E16" s="145">
        <f>IF(E$1=1,Ingresos!$P4*Ingresos!$A$23,'Flujo de caja mensual'!D16*((1+HLOOKUP('Flujo de caja mensual'!D$2,Ingresos!$S$8:$AC$10,3,0))^(1/12)))</f>
        <v>0</v>
      </c>
      <c r="F16" s="145">
        <f>IF(F$1=1,Ingresos!$P4*Ingresos!$A$23,'Flujo de caja mensual'!E16*((1+HLOOKUP('Flujo de caja mensual'!E$2,Ingresos!$S$8:$AC$10,3,0))^(1/12)))</f>
        <v>0</v>
      </c>
      <c r="G16" s="145">
        <f>IF(G$1=1,Ingresos!$P4*Ingresos!$A$23,'Flujo de caja mensual'!F16*((1+HLOOKUP('Flujo de caja mensual'!F$2,Ingresos!$S$8:$AC$10,3,0))^(1/12)))</f>
        <v>0</v>
      </c>
      <c r="H16" s="145">
        <f>IF(H$1=1,Ingresos!$P4*Ingresos!$A$23,'Flujo de caja mensual'!G16*((1+HLOOKUP('Flujo de caja mensual'!G$2,Ingresos!$S$8:$AC$10,3,0))^(1/12)))</f>
        <v>0</v>
      </c>
      <c r="I16" s="145">
        <f>IF(I$1=1,Ingresos!$P4*Ingresos!$A$23,'Flujo de caja mensual'!H16*((1+HLOOKUP('Flujo de caja mensual'!H$2,Ingresos!$S$8:$AC$10,3,0))^(1/12)))</f>
        <v>0</v>
      </c>
      <c r="J16" s="145">
        <f>IF(J$1=1,Ingresos!$P4*Ingresos!$A$23,'Flujo de caja mensual'!I16*((1+HLOOKUP('Flujo de caja mensual'!I$2,Ingresos!$S$8:$AC$10,3,0))^(1/12)))</f>
        <v>0</v>
      </c>
      <c r="K16" s="145">
        <f>IF(K$1=1,Ingresos!$P4*Ingresos!$A$23,'Flujo de caja mensual'!J16*((1+HLOOKUP('Flujo de caja mensual'!J$2,Ingresos!$S$8:$AC$10,3,0))^(1/12)))</f>
        <v>0</v>
      </c>
      <c r="L16" s="145">
        <f>IF(L$1=1,Ingresos!$P4*Ingresos!$A$23,'Flujo de caja mensual'!K16*((1+HLOOKUP('Flujo de caja mensual'!K$2,Ingresos!$S$8:$AC$10,3,0))^(1/12)))</f>
        <v>0</v>
      </c>
      <c r="M16" s="145">
        <f>IF(M$1=1,Ingresos!$P4*Ingresos!$A$23,'Flujo de caja mensual'!L16*((1+HLOOKUP('Flujo de caja mensual'!L$2,Ingresos!$S$8:$AC$10,3,0))^(1/12)))</f>
        <v>0</v>
      </c>
      <c r="N16" s="145">
        <f>IF(N$1=1,Ingresos!$P4*Ingresos!$A$23,'Flujo de caja mensual'!M16*((1+HLOOKUP('Flujo de caja mensual'!M$2,Ingresos!$S$8:$AC$10,3,0))^(1/12)))</f>
        <v>0</v>
      </c>
      <c r="O16" s="145">
        <f>IF(O$1=1,Ingresos!$P4*Ingresos!$A$23,'Flujo de caja mensual'!N16*((1+HLOOKUP('Flujo de caja mensual'!N$2,Ingresos!$S$8:$AC$10,3,0))^(1/12)))</f>
        <v>0</v>
      </c>
      <c r="P16" s="145">
        <f>IF(P$1=1,Ingresos!$P4*Ingresos!$A$23,'Flujo de caja mensual'!O16*((1+HLOOKUP('Flujo de caja mensual'!O$2,Ingresos!$S$8:$AC$10,3,0))^(1/12)))</f>
        <v>0</v>
      </c>
      <c r="Q16" s="145">
        <f>IF(Q$1=1,Ingresos!$P4*Ingresos!$A$23,'Flujo de caja mensual'!P16*((1+HLOOKUP('Flujo de caja mensual'!P$2,Ingresos!$S$8:$AC$10,3,0))^(1/12)))</f>
        <v>0</v>
      </c>
      <c r="R16" s="145">
        <f>IF(R$1=1,Ingresos!$P4*Ingresos!$A$23,'Flujo de caja mensual'!Q16*((1+HLOOKUP('Flujo de caja mensual'!Q$2,Ingresos!$S$8:$AC$10,3,0))^(1/12)))</f>
        <v>0</v>
      </c>
      <c r="S16" s="145">
        <f>IF(S$1=1,Ingresos!$P4*Ingresos!$A$23,'Flujo de caja mensual'!R16*((1+HLOOKUP('Flujo de caja mensual'!R$2,Ingresos!$S$8:$AC$10,3,0))^(1/12)))</f>
        <v>0</v>
      </c>
      <c r="T16" s="145">
        <f>IF(T$1=1,Ingresos!$P4*Ingresos!$A$23,'Flujo de caja mensual'!S16*((1+HLOOKUP('Flujo de caja mensual'!S$2,Ingresos!$S$8:$AC$10,3,0))^(1/12)))</f>
        <v>0</v>
      </c>
      <c r="U16" s="145">
        <f>IF(U$1=1,Ingresos!$P4*Ingresos!$A$23,'Flujo de caja mensual'!T16*((1+HLOOKUP('Flujo de caja mensual'!T$2,Ingresos!$S$8:$AC$10,3,0))^(1/12)))</f>
        <v>0</v>
      </c>
      <c r="V16" s="145">
        <f>IF(V$1=1,Ingresos!$P4*Ingresos!$A$23,'Flujo de caja mensual'!U16*((1+HLOOKUP('Flujo de caja mensual'!U$2,Ingresos!$S$8:$AC$10,3,0))^(1/12)))</f>
        <v>0</v>
      </c>
      <c r="W16" s="145">
        <f>IF(W$1=1,Ingresos!$P4*Ingresos!$A$23,'Flujo de caja mensual'!V16*((1+HLOOKUP('Flujo de caja mensual'!V$2,Ingresos!$S$8:$AC$10,3,0))^(1/12)))</f>
        <v>0</v>
      </c>
      <c r="X16" s="145">
        <f>IF(X$1=1,Ingresos!$P4*Ingresos!$A$23,'Flujo de caja mensual'!W16*((1+HLOOKUP('Flujo de caja mensual'!W$2,Ingresos!$S$8:$AC$10,3,0))^(1/12)))</f>
        <v>0</v>
      </c>
      <c r="Y16" s="145">
        <f>IF(Y$1=1,Ingresos!$P4*Ingresos!$A$23,'Flujo de caja mensual'!X16*((1+HLOOKUP('Flujo de caja mensual'!X$2,Ingresos!$S$8:$AC$10,3,0))^(1/12)))</f>
        <v>0</v>
      </c>
      <c r="Z16" s="145">
        <f>IF(Z$1=1,Ingresos!$P4*Ingresos!$A$23,'Flujo de caja mensual'!Y16*((1+HLOOKUP('Flujo de caja mensual'!Y$2,Ingresos!$S$8:$AC$10,3,0))^(1/12)))</f>
        <v>0</v>
      </c>
      <c r="AA16" s="145">
        <f>IF(AA$1=1,Ingresos!$P4*Ingresos!$A$23,'Flujo de caja mensual'!Z16*((1+HLOOKUP('Flujo de caja mensual'!Z$2,Ingresos!$S$8:$AC$10,3,0))^(1/12)))</f>
        <v>0</v>
      </c>
      <c r="AB16" s="145">
        <f>IF(AB$1=1,Ingresos!$P4*Ingresos!$A$23,'Flujo de caja mensual'!AA16*((1+HLOOKUP('Flujo de caja mensual'!AA$2,Ingresos!$S$8:$AC$10,3,0))^(1/12)))</f>
        <v>0</v>
      </c>
      <c r="AC16" s="145">
        <f>IF(AC$1=1,Ingresos!$P4*Ingresos!$A$23,'Flujo de caja mensual'!AB16*((1+HLOOKUP('Flujo de caja mensual'!AB$2,Ingresos!$S$8:$AC$10,3,0))^(1/12)))</f>
        <v>0</v>
      </c>
      <c r="AD16" s="145">
        <f>IF(AD$1=1,Ingresos!$P4*Ingresos!$A$23,'Flujo de caja mensual'!AC16*((1+HLOOKUP('Flujo de caja mensual'!AC$2,Ingresos!$S$8:$AC$10,3,0))^(1/12)))</f>
        <v>0</v>
      </c>
      <c r="AE16" s="145">
        <f>IF(AE$1=1,Ingresos!$P4*Ingresos!$A$23,'Flujo de caja mensual'!AD16*((1+HLOOKUP('Flujo de caja mensual'!AD$2,Ingresos!$S$8:$AC$10,3,0))^(1/12)))</f>
        <v>0</v>
      </c>
      <c r="AF16" s="145">
        <f>IF(AF$1=1,Ingresos!$P4*Ingresos!$A$23,'Flujo de caja mensual'!AE16*((1+HLOOKUP('Flujo de caja mensual'!AE$2,Ingresos!$S$8:$AC$10,3,0))^(1/12)))</f>
        <v>0</v>
      </c>
      <c r="AG16" s="145">
        <f>IF(AG$1=1,Ingresos!$P4*Ingresos!$A$23,'Flujo de caja mensual'!AF16*((1+HLOOKUP('Flujo de caja mensual'!AF$2,Ingresos!$S$8:$AC$10,3,0))^(1/12)))</f>
        <v>0</v>
      </c>
      <c r="AH16" s="145">
        <f>IF(AH$1=1,Ingresos!$P4*Ingresos!$A$23,'Flujo de caja mensual'!AG16*((1+HLOOKUP('Flujo de caja mensual'!AG$2,Ingresos!$S$8:$AC$10,3,0))^(1/12)))</f>
        <v>0</v>
      </c>
      <c r="AI16" s="145">
        <f>IF(AI$1=1,Ingresos!$P4*Ingresos!$A$23,'Flujo de caja mensual'!AH16*((1+HLOOKUP('Flujo de caja mensual'!AH$2,Ingresos!$S$8:$AC$10,3,0))^(1/12)))</f>
        <v>0</v>
      </c>
      <c r="AJ16" s="145">
        <f>IF(AJ$1=1,Ingresos!$P4*Ingresos!$A$23,'Flujo de caja mensual'!AI16*((1+HLOOKUP('Flujo de caja mensual'!AI$2,Ingresos!$S$8:$AC$10,3,0))^(1/12)))</f>
        <v>0</v>
      </c>
      <c r="AK16" s="145">
        <f>IF(AK$1=1,Ingresos!$P4*Ingresos!$A$23,'Flujo de caja mensual'!AJ16*((1+HLOOKUP('Flujo de caja mensual'!AJ$2,Ingresos!$S$8:$AC$10,3,0))^(1/12)))</f>
        <v>0</v>
      </c>
      <c r="AL16" s="145">
        <f>IF(AL$1=1,Ingresos!$P4*Ingresos!$A$23,'Flujo de caja mensual'!AK16*((1+HLOOKUP('Flujo de caja mensual'!AK$2,Ingresos!$S$8:$AC$10,3,0))^(1/12)))</f>
        <v>0</v>
      </c>
      <c r="AM16" s="145">
        <f>IF(AM$1=1,Ingresos!$P4*Ingresos!$A$23,'Flujo de caja mensual'!AL16*((1+HLOOKUP('Flujo de caja mensual'!AL$2,Ingresos!$S$8:$AC$10,3,0))^(1/12)))</f>
        <v>0</v>
      </c>
      <c r="AN16" s="145">
        <f>IF(AN$1=1,Ingresos!$P4*Ingresos!$A$23,'Flujo de caja mensual'!AM16*((1+HLOOKUP('Flujo de caja mensual'!AM$2,Ingresos!$S$8:$AC$10,3,0))^(1/12)))</f>
        <v>0</v>
      </c>
      <c r="AO16" s="145">
        <f>IF(AO$1=1,Ingresos!$P4*Ingresos!$A$23,'Flujo de caja mensual'!AN16*((1+HLOOKUP('Flujo de caja mensual'!AN$2,Ingresos!$S$8:$AC$10,3,0))^(1/12)))</f>
        <v>0</v>
      </c>
      <c r="AP16" s="145">
        <f>IF(AP$1=1,Ingresos!$P4*Ingresos!$A$23,'Flujo de caja mensual'!AO16*((1+HLOOKUP('Flujo de caja mensual'!AO$2,Ingresos!$S$8:$AC$10,3,0))^(1/12)))</f>
        <v>0</v>
      </c>
      <c r="AQ16" s="145">
        <f>IF(AQ$1=1,Ingresos!$P4*Ingresos!$A$23,'Flujo de caja mensual'!AP16*((1+HLOOKUP('Flujo de caja mensual'!AP$2,Ingresos!$S$8:$AC$10,3,0))^(1/12)))</f>
        <v>0</v>
      </c>
      <c r="AR16" s="145">
        <f>IF(AR$1=1,Ingresos!$P4*Ingresos!$A$23,'Flujo de caja mensual'!AQ16*((1+HLOOKUP('Flujo de caja mensual'!AQ$2,Ingresos!$S$8:$AC$10,3,0))^(1/12)))</f>
        <v>0</v>
      </c>
      <c r="AS16" s="145">
        <f>IF(AS$1=1,Ingresos!$P4*Ingresos!$A$23,'Flujo de caja mensual'!AR16*((1+HLOOKUP('Flujo de caja mensual'!AR$2,Ingresos!$S$8:$AC$10,3,0))^(1/12)))</f>
        <v>0</v>
      </c>
      <c r="AT16" s="145">
        <f>IF(AT$1=1,Ingresos!$P4*Ingresos!$A$23,'Flujo de caja mensual'!AS16*((1+HLOOKUP('Flujo de caja mensual'!AS$2,Ingresos!$S$8:$AC$10,3,0))^(1/12)))</f>
        <v>0</v>
      </c>
      <c r="AU16" s="145">
        <f>IF(AU$1=1,Ingresos!$P4*Ingresos!$A$23,'Flujo de caja mensual'!AT16*((1+HLOOKUP('Flujo de caja mensual'!AT$2,Ingresos!$S$8:$AC$10,3,0))^(1/12)))</f>
        <v>0</v>
      </c>
      <c r="AV16" s="145">
        <f>IF(AV$1=1,Ingresos!$P4*Ingresos!$A$23,'Flujo de caja mensual'!AU16*((1+HLOOKUP('Flujo de caja mensual'!AU$2,Ingresos!$S$8:$AC$10,3,0))^(1/12)))</f>
        <v>0</v>
      </c>
      <c r="AW16" s="145">
        <f>IF(AW$1=1,Ingresos!$P4*Ingresos!$A$23,'Flujo de caja mensual'!AV16*((1+HLOOKUP('Flujo de caja mensual'!AV$2,Ingresos!$S$8:$AC$10,3,0))^(1/12)))</f>
        <v>0</v>
      </c>
      <c r="AX16" s="145">
        <f>IF(AX$1=1,Ingresos!$P4*Ingresos!$A$23,'Flujo de caja mensual'!AW16*((1+HLOOKUP('Flujo de caja mensual'!AW$2,Ingresos!$S$8:$AC$10,3,0))^(1/12)))</f>
        <v>0</v>
      </c>
      <c r="AY16" s="145">
        <f>IF(AY$1=1,Ingresos!$P4*Ingresos!$A$23,'Flujo de caja mensual'!AX16*((1+HLOOKUP('Flujo de caja mensual'!AX$2,Ingresos!$S$8:$AC$10,3,0))^(1/12)))</f>
        <v>0</v>
      </c>
      <c r="AZ16" s="145">
        <f>IF(AZ$1=1,Ingresos!$P4*Ingresos!$A$23,'Flujo de caja mensual'!AY16*((1+HLOOKUP('Flujo de caja mensual'!AY$2,Ingresos!$S$8:$AC$10,3,0))^(1/12)))</f>
        <v>0</v>
      </c>
      <c r="BA16" s="145">
        <f>IF(BA$1=1,Ingresos!$P4*Ingresos!$A$23,'Flujo de caja mensual'!AZ16*((1+HLOOKUP('Flujo de caja mensual'!AZ$2,Ingresos!$S$8:$AC$10,3,0))^(1/12)))</f>
        <v>0</v>
      </c>
      <c r="BB16" s="145">
        <f>IF(BB$1=1,Ingresos!$P4*Ingresos!$A$23,'Flujo de caja mensual'!BA16*((1+HLOOKUP('Flujo de caja mensual'!BA$2,Ingresos!$S$8:$AC$10,3,0))^(1/12)))</f>
        <v>0</v>
      </c>
      <c r="BC16" s="145">
        <f>IF(BC$1=1,Ingresos!$P4*Ingresos!$A$23,'Flujo de caja mensual'!BB16*((1+HLOOKUP('Flujo de caja mensual'!BB$2,Ingresos!$S$8:$AC$10,3,0))^(1/12)))</f>
        <v>0</v>
      </c>
      <c r="BD16" s="145">
        <f>IF(BD$1=1,Ingresos!$P4*Ingresos!$A$23,'Flujo de caja mensual'!BC16*((1+HLOOKUP('Flujo de caja mensual'!BC$2,Ingresos!$S$8:$AC$10,3,0))^(1/12)))</f>
        <v>0</v>
      </c>
      <c r="BE16" s="145">
        <f>IF(BE$1=1,Ingresos!$P4*Ingresos!$A$23,'Flujo de caja mensual'!BD16*((1+HLOOKUP('Flujo de caja mensual'!BD$2,Ingresos!$S$8:$AC$10,3,0))^(1/12)))</f>
        <v>0</v>
      </c>
      <c r="BF16" s="145">
        <f>IF(BF$1=1,Ingresos!$P4*Ingresos!$A$23,'Flujo de caja mensual'!BE16*((1+HLOOKUP('Flujo de caja mensual'!BE$2,Ingresos!$S$8:$AC$10,3,0))^(1/12)))</f>
        <v>0</v>
      </c>
      <c r="BG16" s="145">
        <f>IF(BG$1=1,Ingresos!$P4*Ingresos!$A$23,'Flujo de caja mensual'!BF16*((1+HLOOKUP('Flujo de caja mensual'!BF$2,Ingresos!$S$8:$AC$10,3,0))^(1/12)))</f>
        <v>0</v>
      </c>
      <c r="BH16" s="145">
        <f>IF(BH$1=1,Ingresos!$P4*Ingresos!$A$23,'Flujo de caja mensual'!BG16*((1+HLOOKUP('Flujo de caja mensual'!BG$2,Ingresos!$S$8:$AC$10,3,0))^(1/12)))</f>
        <v>0</v>
      </c>
      <c r="BI16" s="145">
        <f>IF(BI$1=1,Ingresos!$P4*Ingresos!$A$23,'Flujo de caja mensual'!BH16*((1+HLOOKUP('Flujo de caja mensual'!BH$2,Ingresos!$S$8:$AC$10,3,0))^(1/12)))</f>
        <v>0</v>
      </c>
      <c r="BJ16" s="145">
        <f>IF(BJ$1=1,Ingresos!$P4*Ingresos!$A$23,'Flujo de caja mensual'!BI16*((1+HLOOKUP('Flujo de caja mensual'!BI$2,Ingresos!$S$8:$AC$10,3,0))^(1/12)))</f>
        <v>0</v>
      </c>
      <c r="BK16" s="145">
        <f>IF(BK$1=1,Ingresos!$P4*Ingresos!$A$23,'Flujo de caja mensual'!BJ16*((1+HLOOKUP('Flujo de caja mensual'!BJ$2,Ingresos!$S$8:$AC$10,3,0))^(1/12)))</f>
        <v>0</v>
      </c>
      <c r="BL16" s="145">
        <f>IF(BL$1=1,Ingresos!$P4*Ingresos!$A$23,'Flujo de caja mensual'!BK16*((1+HLOOKUP('Flujo de caja mensual'!BK$2,Ingresos!$S$8:$AC$10,3,0))^(1/12)))</f>
        <v>0</v>
      </c>
      <c r="BM16" s="145">
        <f>IF(BM$1=1,Ingresos!$P4*Ingresos!$A$23,'Flujo de caja mensual'!BL16*((1+HLOOKUP('Flujo de caja mensual'!BL$2,Ingresos!$S$8:$AC$10,3,0))^(1/12)))</f>
        <v>0</v>
      </c>
      <c r="BN16" s="145">
        <f>IF(BN$1=1,Ingresos!$P4*Ingresos!$A$23,'Flujo de caja mensual'!BM16*((1+HLOOKUP('Flujo de caja mensual'!BM$2,Ingresos!$S$8:$AC$10,3,0))^(1/12)))</f>
        <v>0</v>
      </c>
      <c r="BO16" s="145">
        <f>IF(BO$1=1,Ingresos!$P4*Ingresos!$A$23,'Flujo de caja mensual'!BN16*((1+HLOOKUP('Flujo de caja mensual'!BN$2,Ingresos!$S$8:$AC$10,3,0))^(1/12)))</f>
        <v>0</v>
      </c>
      <c r="BP16" s="145">
        <f>IF(BP$1=1,Ingresos!$P4*Ingresos!$A$23,'Flujo de caja mensual'!BO16*((1+HLOOKUP('Flujo de caja mensual'!BO$2,Ingresos!$S$8:$AC$10,3,0))^(1/12)))</f>
        <v>0</v>
      </c>
      <c r="BQ16" s="145">
        <f>IF(BQ$1=1,Ingresos!$P4*Ingresos!$A$23,'Flujo de caja mensual'!BP16*((1+HLOOKUP('Flujo de caja mensual'!BP$2,Ingresos!$S$8:$AC$10,3,0))^(1/12)))</f>
        <v>0</v>
      </c>
      <c r="BR16" s="145">
        <f>IF(BR$1=1,Ingresos!$P4*Ingresos!$A$23,'Flujo de caja mensual'!BQ16*((1+HLOOKUP('Flujo de caja mensual'!BQ$2,Ingresos!$S$8:$AC$10,3,0))^(1/12)))</f>
        <v>0</v>
      </c>
      <c r="BS16" s="145">
        <f>IF(BS$1=1,Ingresos!$P4*Ingresos!$A$23,'Flujo de caja mensual'!BR16*((1+HLOOKUP('Flujo de caja mensual'!BR$2,Ingresos!$S$8:$AC$10,3,0))^(1/12)))</f>
        <v>0</v>
      </c>
      <c r="BT16" s="145">
        <f>IF(BT$1=1,Ingresos!$P4*Ingresos!$A$23,'Flujo de caja mensual'!BS16*((1+HLOOKUP('Flujo de caja mensual'!BS$2,Ingresos!$S$8:$AC$10,3,0))^(1/12)))</f>
        <v>0</v>
      </c>
      <c r="BU16" s="145">
        <f>IF(BU$1=1,Ingresos!$P4*Ingresos!$A$23,'Flujo de caja mensual'!BT16*((1+HLOOKUP('Flujo de caja mensual'!BT$2,Ingresos!$S$8:$AC$10,3,0))^(1/12)))</f>
        <v>0</v>
      </c>
      <c r="BV16" s="145">
        <f>IF(BV$1=1,Ingresos!$P4*Ingresos!$A$23,'Flujo de caja mensual'!BU16*((1+HLOOKUP('Flujo de caja mensual'!BU$2,Ingresos!$S$8:$AC$10,3,0))^(1/12)))</f>
        <v>0</v>
      </c>
      <c r="BW16" s="145">
        <f>IF(BW$1=1,Ingresos!$P4*Ingresos!$A$23,'Flujo de caja mensual'!BV16*((1+HLOOKUP('Flujo de caja mensual'!BV$2,Ingresos!$S$8:$AC$10,3,0))^(1/12)))</f>
        <v>0</v>
      </c>
      <c r="BX16" s="145">
        <f>IF(BX$1=1,Ingresos!$P4*Ingresos!$A$23,'Flujo de caja mensual'!BW16*((1+HLOOKUP('Flujo de caja mensual'!BW$2,Ingresos!$S$8:$AC$10,3,0))^(1/12)))</f>
        <v>0</v>
      </c>
      <c r="BY16" s="145">
        <f>IF(BY$1=1,Ingresos!$P4*Ingresos!$A$23,'Flujo de caja mensual'!BX16*((1+HLOOKUP('Flujo de caja mensual'!BX$2,Ingresos!$S$8:$AC$10,3,0))^(1/12)))</f>
        <v>0</v>
      </c>
      <c r="BZ16" s="145">
        <f>IF(BZ$1=1,Ingresos!$P4*Ingresos!$A$23,'Flujo de caja mensual'!BY16*((1+HLOOKUP('Flujo de caja mensual'!BY$2,Ingresos!$S$8:$AC$10,3,0))^(1/12)))</f>
        <v>0</v>
      </c>
      <c r="CA16" s="145">
        <f>IF(CA$1=1,Ingresos!$P4*Ingresos!$A$23,'Flujo de caja mensual'!BZ16*((1+HLOOKUP('Flujo de caja mensual'!BZ$2,Ingresos!$S$8:$AC$10,3,0))^(1/12)))</f>
        <v>0</v>
      </c>
      <c r="CB16" s="145">
        <f>IF(CB$1=1,Ingresos!$P4*Ingresos!$A$23,'Flujo de caja mensual'!CA16*((1+HLOOKUP('Flujo de caja mensual'!CA$2,Ingresos!$S$8:$AC$10,3,0))^(1/12)))</f>
        <v>0</v>
      </c>
      <c r="CC16" s="145">
        <f>IF(CC$1=1,Ingresos!$P4*Ingresos!$A$23,'Flujo de caja mensual'!CB16*((1+HLOOKUP('Flujo de caja mensual'!CB$2,Ingresos!$S$8:$AC$10,3,0))^(1/12)))</f>
        <v>0</v>
      </c>
      <c r="CD16" s="145">
        <f>IF(CD$1=1,Ingresos!$P4*Ingresos!$A$23,'Flujo de caja mensual'!CC16*((1+HLOOKUP('Flujo de caja mensual'!CC$2,Ingresos!$S$8:$AC$10,3,0))^(1/12)))</f>
        <v>0</v>
      </c>
      <c r="CE16" s="145">
        <f>IF(CE$1=1,Ingresos!$P4*Ingresos!$A$23,'Flujo de caja mensual'!CD16*((1+HLOOKUP('Flujo de caja mensual'!CD$2,Ingresos!$S$8:$AC$10,3,0))^(1/12)))</f>
        <v>0</v>
      </c>
      <c r="CF16" s="145">
        <f>IF(CF$1=1,Ingresos!$P4*Ingresos!$A$23,'Flujo de caja mensual'!CE16*((1+HLOOKUP('Flujo de caja mensual'!CE$2,Ingresos!$S$8:$AC$10,3,0))^(1/12)))</f>
        <v>0</v>
      </c>
      <c r="CG16" s="145">
        <f>IF(CG$1=1,Ingresos!$P4*Ingresos!$A$23,'Flujo de caja mensual'!CF16*((1+HLOOKUP('Flujo de caja mensual'!CF$2,Ingresos!$S$8:$AC$10,3,0))^(1/12)))</f>
        <v>0</v>
      </c>
      <c r="CH16" s="145">
        <f>IF(CH$1=1,Ingresos!$P4*Ingresos!$A$23,'Flujo de caja mensual'!CG16*((1+HLOOKUP('Flujo de caja mensual'!CG$2,Ingresos!$S$8:$AC$10,3,0))^(1/12)))</f>
        <v>0</v>
      </c>
      <c r="CI16" s="145">
        <f>IF(CI$1=1,Ingresos!$P4*Ingresos!$A$23,'Flujo de caja mensual'!CH16*((1+HLOOKUP('Flujo de caja mensual'!CH$2,Ingresos!$S$8:$AC$10,3,0))^(1/12)))</f>
        <v>0</v>
      </c>
      <c r="CJ16" s="145">
        <f>IF(CJ$1=1,Ingresos!$P4*Ingresos!$A$23,'Flujo de caja mensual'!CI16*((1+HLOOKUP('Flujo de caja mensual'!CI$2,Ingresos!$S$8:$AC$10,3,0))^(1/12)))</f>
        <v>0</v>
      </c>
      <c r="CK16" s="145">
        <f>IF(CK$1=1,Ingresos!$P4*Ingresos!$A$23,'Flujo de caja mensual'!CJ16*((1+HLOOKUP('Flujo de caja mensual'!CJ$2,Ingresos!$S$8:$AC$10,3,0))^(1/12)))</f>
        <v>0</v>
      </c>
      <c r="CL16" s="145">
        <f>IF(CL$1=1,Ingresos!$P4*Ingresos!$A$23,'Flujo de caja mensual'!CK16*((1+HLOOKUP('Flujo de caja mensual'!CK$2,Ingresos!$S$8:$AC$10,3,0))^(1/12)))</f>
        <v>0</v>
      </c>
      <c r="CM16" s="145">
        <f>IF(CM$1=1,Ingresos!$P4*Ingresos!$A$23,'Flujo de caja mensual'!CL16*((1+HLOOKUP('Flujo de caja mensual'!CL$2,Ingresos!$S$8:$AC$10,3,0))^(1/12)))</f>
        <v>0</v>
      </c>
      <c r="CN16" s="145">
        <f>IF(CN$1=1,Ingresos!$P4*Ingresos!$A$23,'Flujo de caja mensual'!CM16*((1+HLOOKUP('Flujo de caja mensual'!CM$2,Ingresos!$S$8:$AC$10,3,0))^(1/12)))</f>
        <v>0</v>
      </c>
      <c r="CO16" s="145">
        <f>IF(CO$1=1,Ingresos!$P4*Ingresos!$A$23,'Flujo de caja mensual'!CN16*((1+HLOOKUP('Flujo de caja mensual'!CN$2,Ingresos!$S$8:$AC$10,3,0))^(1/12)))</f>
        <v>0</v>
      </c>
      <c r="CP16" s="145">
        <f>IF(CP$1=1,Ingresos!$P4*Ingresos!$A$23,'Flujo de caja mensual'!CO16*((1+HLOOKUP('Flujo de caja mensual'!CO$2,Ingresos!$S$8:$AC$10,3,0))^(1/12)))</f>
        <v>0</v>
      </c>
      <c r="CQ16" s="145">
        <f>IF(CQ$1=1,Ingresos!$P4*Ingresos!$A$23,'Flujo de caja mensual'!CP16*((1+HLOOKUP('Flujo de caja mensual'!CP$2,Ingresos!$S$8:$AC$10,3,0))^(1/12)))</f>
        <v>0</v>
      </c>
      <c r="CR16" s="145">
        <f>IF(CR$1=1,Ingresos!$P4*Ingresos!$A$23,'Flujo de caja mensual'!CQ16*((1+HLOOKUP('Flujo de caja mensual'!CQ$2,Ingresos!$S$8:$AC$10,3,0))^(1/12)))</f>
        <v>0</v>
      </c>
      <c r="CS16" s="145">
        <f>IF(CS$1=1,Ingresos!$P4*Ingresos!$A$23,'Flujo de caja mensual'!CR16*((1+HLOOKUP('Flujo de caja mensual'!CR$2,Ingresos!$S$8:$AC$10,3,0))^(1/12)))</f>
        <v>0</v>
      </c>
      <c r="CT16" s="145">
        <f>IF(CT$1=1,Ingresos!$P4*Ingresos!$A$23,'Flujo de caja mensual'!CS16*((1+HLOOKUP('Flujo de caja mensual'!CS$2,Ingresos!$S$8:$AC$10,3,0))^(1/12)))</f>
        <v>0</v>
      </c>
      <c r="CU16" s="145">
        <f>IF(CU$1=1,Ingresos!$P4*Ingresos!$A$23,'Flujo de caja mensual'!CT16*((1+HLOOKUP('Flujo de caja mensual'!CT$2,Ingresos!$S$8:$AC$10,3,0))^(1/12)))</f>
        <v>0</v>
      </c>
      <c r="CV16" s="145">
        <f>IF(CV$1=1,Ingresos!$P4*Ingresos!$A$23,'Flujo de caja mensual'!CU16*((1+HLOOKUP('Flujo de caja mensual'!CU$2,Ingresos!$S$8:$AC$10,3,0))^(1/12)))</f>
        <v>0</v>
      </c>
      <c r="CW16" s="145">
        <f>IF(CW$1=1,Ingresos!$P4*Ingresos!$A$23,'Flujo de caja mensual'!CV16*((1+HLOOKUP('Flujo de caja mensual'!CV$2,Ingresos!$S$8:$AC$10,3,0))^(1/12)))</f>
        <v>0</v>
      </c>
      <c r="CX16" s="145">
        <f>IF(CX$1=1,Ingresos!$P4*Ingresos!$A$23,'Flujo de caja mensual'!CW16*((1+HLOOKUP('Flujo de caja mensual'!CW$2,Ingresos!$S$8:$AC$10,3,0))^(1/12)))</f>
        <v>0</v>
      </c>
      <c r="CY16" s="145">
        <f>IF(CY$1=1,Ingresos!$P4*Ingresos!$A$23,'Flujo de caja mensual'!CX16*((1+HLOOKUP('Flujo de caja mensual'!CX$2,Ingresos!$S$8:$AC$10,3,0))^(1/12)))</f>
        <v>0</v>
      </c>
      <c r="CZ16" s="145">
        <f>IF(CZ$1=1,Ingresos!$P4*Ingresos!$A$23,'Flujo de caja mensual'!CY16*((1+HLOOKUP('Flujo de caja mensual'!CY$2,Ingresos!$S$8:$AC$10,3,0))^(1/12)))</f>
        <v>0</v>
      </c>
      <c r="DA16" s="145">
        <f>IF(DA$1=1,Ingresos!$P4*Ingresos!$A$23,'Flujo de caja mensual'!CZ16*((1+HLOOKUP('Flujo de caja mensual'!CZ$2,Ingresos!$S$8:$AC$10,3,0))^(1/12)))</f>
        <v>0</v>
      </c>
      <c r="DB16" s="145">
        <f>IF(DB$1=1,Ingresos!$P4*Ingresos!$A$23,'Flujo de caja mensual'!DA16*((1+HLOOKUP('Flujo de caja mensual'!DA$2,Ingresos!$S$8:$AC$10,3,0))^(1/12)))</f>
        <v>0</v>
      </c>
      <c r="DC16" s="145">
        <f>IF(DC$1=1,Ingresos!$P4*Ingresos!$A$23,'Flujo de caja mensual'!DB16*((1+HLOOKUP('Flujo de caja mensual'!DB$2,Ingresos!$S$8:$AC$10,3,0))^(1/12)))</f>
        <v>0</v>
      </c>
      <c r="DD16" s="145">
        <f>IF(DD$1=1,Ingresos!$P4*Ingresos!$A$23,'Flujo de caja mensual'!DC16*((1+HLOOKUP('Flujo de caja mensual'!DC$2,Ingresos!$S$8:$AC$10,3,0))^(1/12)))</f>
        <v>0</v>
      </c>
      <c r="DE16" s="145">
        <f>IF(DE$1=1,Ingresos!$P4*Ingresos!$A$23,'Flujo de caja mensual'!DD16*((1+HLOOKUP('Flujo de caja mensual'!DD$2,Ingresos!$S$8:$AC$10,3,0))^(1/12)))</f>
        <v>0</v>
      </c>
      <c r="DF16" s="145">
        <f>IF(DF$1=1,Ingresos!$P4*Ingresos!$A$23,'Flujo de caja mensual'!DE16*((1+HLOOKUP('Flujo de caja mensual'!DE$2,Ingresos!$S$8:$AC$10,3,0))^(1/12)))</f>
        <v>0</v>
      </c>
      <c r="DG16" s="145">
        <f>IF(DG$1=1,Ingresos!$P4*Ingresos!$A$23,'Flujo de caja mensual'!DF16*((1+HLOOKUP('Flujo de caja mensual'!DF$2,Ingresos!$S$8:$AC$10,3,0))^(1/12)))</f>
        <v>0</v>
      </c>
      <c r="DH16" s="145">
        <f>IF(DH$1=1,Ingresos!$P4*Ingresos!$A$23,'Flujo de caja mensual'!DG16*((1+HLOOKUP('Flujo de caja mensual'!DG$2,Ingresos!$S$8:$AC$10,3,0))^(1/12)))</f>
        <v>0</v>
      </c>
      <c r="DI16" s="145">
        <f>IF(DI$1=1,Ingresos!$P4*Ingresos!$A$23,'Flujo de caja mensual'!DH16*((1+HLOOKUP('Flujo de caja mensual'!DH$2,Ingresos!$S$8:$AC$10,3,0))^(1/12)))</f>
        <v>0</v>
      </c>
      <c r="DJ16" s="145">
        <f>IF(DJ$1=1,Ingresos!$P4*Ingresos!$A$23,'Flujo de caja mensual'!DI16*((1+HLOOKUP('Flujo de caja mensual'!DI$2,Ingresos!$S$8:$AC$10,3,0))^(1/12)))</f>
        <v>0</v>
      </c>
      <c r="DK16" s="145">
        <f>IF(DK$1=1,Ingresos!$P4*Ingresos!$A$23,'Flujo de caja mensual'!DJ16*((1+HLOOKUP('Flujo de caja mensual'!DJ$2,Ingresos!$S$8:$AC$10,3,0))^(1/12)))</f>
        <v>0</v>
      </c>
      <c r="DL16" s="145">
        <f>IF(DL$1=1,Ingresos!$P4*Ingresos!$A$23,'Flujo de caja mensual'!DK16*((1+HLOOKUP('Flujo de caja mensual'!DK$2,Ingresos!$S$8:$AC$10,3,0))^(1/12)))</f>
        <v>0</v>
      </c>
      <c r="DM16" s="145">
        <f>IF(DM$1=1,Ingresos!$P4*Ingresos!$A$23,'Flujo de caja mensual'!DL16*((1+HLOOKUP('Flujo de caja mensual'!DL$2,Ingresos!$S$8:$AC$10,3,0))^(1/12)))</f>
        <v>0</v>
      </c>
      <c r="DN16" s="145">
        <f>IF(DN$1=1,Ingresos!$P4*Ingresos!$A$23,'Flujo de caja mensual'!DM16*((1+HLOOKUP('Flujo de caja mensual'!DM$2,Ingresos!$S$8:$AC$10,3,0))^(1/12)))</f>
        <v>0</v>
      </c>
      <c r="DO16" s="145">
        <f>IF(DO$1=1,Ingresos!$P4*Ingresos!$A$23,'Flujo de caja mensual'!DN16*((1+HLOOKUP('Flujo de caja mensual'!DN$2,Ingresos!$S$8:$AC$10,3,0))^(1/12)))</f>
        <v>0</v>
      </c>
      <c r="DP16" s="145">
        <f>IF(DP$1=1,Ingresos!$P4*Ingresos!$A$23,'Flujo de caja mensual'!DO16*((1+HLOOKUP('Flujo de caja mensual'!DO$2,Ingresos!$S$8:$AC$10,3,0))^(1/12)))</f>
        <v>0</v>
      </c>
      <c r="DQ16" s="145">
        <f>IF(DQ$1=1,Ingresos!$P4*Ingresos!$A$23,'Flujo de caja mensual'!DP16*((1+HLOOKUP('Flujo de caja mensual'!DP$2,Ingresos!$S$8:$AC$10,3,0))^(1/12)))</f>
        <v>0</v>
      </c>
      <c r="DR16" s="145">
        <f>IF(DR$1=1,Ingresos!$P4*Ingresos!$A$23,'Flujo de caja mensual'!DQ16*((1+HLOOKUP('Flujo de caja mensual'!DQ$2,Ingresos!$S$8:$AC$10,3,0))^(1/12)))</f>
        <v>0</v>
      </c>
      <c r="DS16" s="145">
        <f>IF(DS$1=1,Ingresos!$P4*Ingresos!$A$23,'Flujo de caja mensual'!DR16*((1+HLOOKUP('Flujo de caja mensual'!DR$2,Ingresos!$S$8:$AC$10,3,0))^(1/12)))</f>
        <v>0</v>
      </c>
      <c r="DT16" s="145">
        <f>IF(DT$1=1,Ingresos!$P4*Ingresos!$A$23,'Flujo de caja mensual'!DS16*((1+HLOOKUP('Flujo de caja mensual'!DS$2,Ingresos!$S$8:$AC$10,3,0))^(1/12)))</f>
        <v>0</v>
      </c>
      <c r="DU16" s="145">
        <f>IF(DU$1=1,Ingresos!$P4*Ingresos!$A$23,'Flujo de caja mensual'!DT16*((1+HLOOKUP('Flujo de caja mensual'!DT$2,Ingresos!$S$8:$AC$10,3,0))^(1/12)))</f>
        <v>0</v>
      </c>
      <c r="DV16" s="145">
        <f>IF(DV$1=1,Ingresos!$P4*Ingresos!$A$23,'Flujo de caja mensual'!DU16*((1+HLOOKUP('Flujo de caja mensual'!DU$2,Ingresos!$S$8:$AC$10,3,0))^(1/12)))</f>
        <v>0</v>
      </c>
      <c r="DW16" s="145">
        <f>IF(DW$1=1,Ingresos!$P4*Ingresos!$A$23,'Flujo de caja mensual'!DV16*((1+HLOOKUP('Flujo de caja mensual'!DV$2,Ingresos!$S$8:$AC$10,3,0))^(1/12)))</f>
        <v>0</v>
      </c>
      <c r="DX16" s="145">
        <f>IF(DX$1=1,Ingresos!$P4*Ingresos!$A$23,'Flujo de caja mensual'!DW16*((1+HLOOKUP('Flujo de caja mensual'!DW$2,Ingresos!$S$8:$AC$10,3,0))^(1/12)))</f>
        <v>0</v>
      </c>
      <c r="DY16" s="145">
        <f>IF(DY$1=1,Ingresos!$P4*Ingresos!$A$23,'Flujo de caja mensual'!DX16*((1+HLOOKUP('Flujo de caja mensual'!DX$2,Ingresos!$S$8:$AC$10,3,0))^(1/12)))</f>
        <v>0</v>
      </c>
      <c r="DZ16" s="145">
        <f>IF(DZ$1=1,Ingresos!$P4*Ingresos!$A$23,'Flujo de caja mensual'!DY16*((1+HLOOKUP('Flujo de caja mensual'!DY$2,Ingresos!$S$8:$AC$10,3,0))^(1/12)))</f>
        <v>0</v>
      </c>
      <c r="EA16" s="145">
        <f>IF(EA$1=1,Ingresos!$P4*Ingresos!$A$23,'Flujo de caja mensual'!DZ16*((1+HLOOKUP('Flujo de caja mensual'!DZ$2,Ingresos!$S$8:$AC$10,3,0))^(1/12)))</f>
        <v>0</v>
      </c>
      <c r="EB16" s="145">
        <f>IF(EB$1=1,Ingresos!$P4*Ingresos!$A$23,'Flujo de caja mensual'!EA16*((1+HLOOKUP('Flujo de caja mensual'!EA$2,Ingresos!$S$8:$AC$10,3,0))^(1/12)))</f>
        <v>0</v>
      </c>
      <c r="EC16" s="145">
        <f>IF(EC$1=1,Ingresos!$P4*Ingresos!$A$23,'Flujo de caja mensual'!EB16*((1+HLOOKUP('Flujo de caja mensual'!EB$2,Ingresos!$S$8:$AC$10,3,0))^(1/12)))</f>
        <v>0</v>
      </c>
      <c r="ED16" s="145">
        <f>IF(ED$1=1,Ingresos!$P4*Ingresos!$A$23,'Flujo de caja mensual'!EC16*((1+HLOOKUP('Flujo de caja mensual'!EC$2,Ingresos!$S$8:$AC$10,3,0))^(1/12)))</f>
        <v>0</v>
      </c>
      <c r="EE16" s="146">
        <f>IF(EE$1=1,Ingresos!$P4*Ingresos!$A$23,'Flujo de caja mensual'!ED16*((1+HLOOKUP('Flujo de caja mensual'!ED$2,Ingresos!$S$8:$AC$10,3,0))^(1/12)))</f>
        <v>0</v>
      </c>
    </row>
    <row r="17" spans="1:135" x14ac:dyDescent="0.25">
      <c r="A17" s="152">
        <f>SUMIF($C$1:$EE$1,"&lt;="&amp;Resumen!$K$19,'Flujo de caja mensual'!C17:EE17)</f>
        <v>0</v>
      </c>
      <c r="B17" s="5"/>
      <c r="C17" s="144"/>
      <c r="D17" s="145">
        <f>IF(D$1=1,Ingresos!$P5*Ingresos!$A$23,'Flujo de caja mensual'!C17*((1+HLOOKUP('Flujo de caja mensual'!C$2,Ingresos!$S$8:$AC$10,3,0))^(1/12)))</f>
        <v>0</v>
      </c>
      <c r="E17" s="145">
        <f>IF(E$1=1,Ingresos!$P5*Ingresos!$A$23,'Flujo de caja mensual'!D17*((1+HLOOKUP('Flujo de caja mensual'!D$2,Ingresos!$S$8:$AC$10,3,0))^(1/12)))</f>
        <v>0</v>
      </c>
      <c r="F17" s="145">
        <f>IF(F$1=1,Ingresos!$P5*Ingresos!$A$23,'Flujo de caja mensual'!E17*((1+HLOOKUP('Flujo de caja mensual'!E$2,Ingresos!$S$8:$AC$10,3,0))^(1/12)))</f>
        <v>0</v>
      </c>
      <c r="G17" s="145">
        <f>IF(G$1=1,Ingresos!$P5*Ingresos!$A$23,'Flujo de caja mensual'!F17*((1+HLOOKUP('Flujo de caja mensual'!F$2,Ingresos!$S$8:$AC$10,3,0))^(1/12)))</f>
        <v>0</v>
      </c>
      <c r="H17" s="145">
        <f>IF(H$1=1,Ingresos!$P5*Ingresos!$A$23,'Flujo de caja mensual'!G17*((1+HLOOKUP('Flujo de caja mensual'!G$2,Ingresos!$S$8:$AC$10,3,0))^(1/12)))</f>
        <v>0</v>
      </c>
      <c r="I17" s="145">
        <f>IF(I$1=1,Ingresos!$P5*Ingresos!$A$23,'Flujo de caja mensual'!H17*((1+HLOOKUP('Flujo de caja mensual'!H$2,Ingresos!$S$8:$AC$10,3,0))^(1/12)))</f>
        <v>0</v>
      </c>
      <c r="J17" s="145">
        <f>IF(J$1=1,Ingresos!$P5*Ingresos!$A$23,'Flujo de caja mensual'!I17*((1+HLOOKUP('Flujo de caja mensual'!I$2,Ingresos!$S$8:$AC$10,3,0))^(1/12)))</f>
        <v>0</v>
      </c>
      <c r="K17" s="145">
        <f>IF(K$1=1,Ingresos!$P5*Ingresos!$A$23,'Flujo de caja mensual'!J17*((1+HLOOKUP('Flujo de caja mensual'!J$2,Ingresos!$S$8:$AC$10,3,0))^(1/12)))</f>
        <v>0</v>
      </c>
      <c r="L17" s="145">
        <f>IF(L$1=1,Ingresos!$P5*Ingresos!$A$23,'Flujo de caja mensual'!K17*((1+HLOOKUP('Flujo de caja mensual'!K$2,Ingresos!$S$8:$AC$10,3,0))^(1/12)))</f>
        <v>0</v>
      </c>
      <c r="M17" s="145">
        <f>IF(M$1=1,Ingresos!$P5*Ingresos!$A$23,'Flujo de caja mensual'!L17*((1+HLOOKUP('Flujo de caja mensual'!L$2,Ingresos!$S$8:$AC$10,3,0))^(1/12)))</f>
        <v>0</v>
      </c>
      <c r="N17" s="145">
        <f>IF(N$1=1,Ingresos!$P5*Ingresos!$A$23,'Flujo de caja mensual'!M17*((1+HLOOKUP('Flujo de caja mensual'!M$2,Ingresos!$S$8:$AC$10,3,0))^(1/12)))</f>
        <v>0</v>
      </c>
      <c r="O17" s="145">
        <f>IF(O$1=1,Ingresos!$P5*Ingresos!$A$23,'Flujo de caja mensual'!N17*((1+HLOOKUP('Flujo de caja mensual'!N$2,Ingresos!$S$8:$AC$10,3,0))^(1/12)))</f>
        <v>0</v>
      </c>
      <c r="P17" s="145">
        <f>IF(P$1=1,Ingresos!$P5*Ingresos!$A$23,'Flujo de caja mensual'!O17*((1+HLOOKUP('Flujo de caja mensual'!O$2,Ingresos!$S$8:$AC$10,3,0))^(1/12)))</f>
        <v>0</v>
      </c>
      <c r="Q17" s="145">
        <f>IF(Q$1=1,Ingresos!$P5*Ingresos!$A$23,'Flujo de caja mensual'!P17*((1+HLOOKUP('Flujo de caja mensual'!P$2,Ingresos!$S$8:$AC$10,3,0))^(1/12)))</f>
        <v>0</v>
      </c>
      <c r="R17" s="145">
        <f>IF(R$1=1,Ingresos!$P5*Ingresos!$A$23,'Flujo de caja mensual'!Q17*((1+HLOOKUP('Flujo de caja mensual'!Q$2,Ingresos!$S$8:$AC$10,3,0))^(1/12)))</f>
        <v>0</v>
      </c>
      <c r="S17" s="145">
        <f>IF(S$1=1,Ingresos!$P5*Ingresos!$A$23,'Flujo de caja mensual'!R17*((1+HLOOKUP('Flujo de caja mensual'!R$2,Ingresos!$S$8:$AC$10,3,0))^(1/12)))</f>
        <v>0</v>
      </c>
      <c r="T17" s="145">
        <f>IF(T$1=1,Ingresos!$P5*Ingresos!$A$23,'Flujo de caja mensual'!S17*((1+HLOOKUP('Flujo de caja mensual'!S$2,Ingresos!$S$8:$AC$10,3,0))^(1/12)))</f>
        <v>0</v>
      </c>
      <c r="U17" s="145">
        <f>IF(U$1=1,Ingresos!$P5*Ingresos!$A$23,'Flujo de caja mensual'!T17*((1+HLOOKUP('Flujo de caja mensual'!T$2,Ingresos!$S$8:$AC$10,3,0))^(1/12)))</f>
        <v>0</v>
      </c>
      <c r="V17" s="145">
        <f>IF(V$1=1,Ingresos!$P5*Ingresos!$A$23,'Flujo de caja mensual'!U17*((1+HLOOKUP('Flujo de caja mensual'!U$2,Ingresos!$S$8:$AC$10,3,0))^(1/12)))</f>
        <v>0</v>
      </c>
      <c r="W17" s="145">
        <f>IF(W$1=1,Ingresos!$P5*Ingresos!$A$23,'Flujo de caja mensual'!V17*((1+HLOOKUP('Flujo de caja mensual'!V$2,Ingresos!$S$8:$AC$10,3,0))^(1/12)))</f>
        <v>0</v>
      </c>
      <c r="X17" s="145">
        <f>IF(X$1=1,Ingresos!$P5*Ingresos!$A$23,'Flujo de caja mensual'!W17*((1+HLOOKUP('Flujo de caja mensual'!W$2,Ingresos!$S$8:$AC$10,3,0))^(1/12)))</f>
        <v>0</v>
      </c>
      <c r="Y17" s="145">
        <f>IF(Y$1=1,Ingresos!$P5*Ingresos!$A$23,'Flujo de caja mensual'!X17*((1+HLOOKUP('Flujo de caja mensual'!X$2,Ingresos!$S$8:$AC$10,3,0))^(1/12)))</f>
        <v>0</v>
      </c>
      <c r="Z17" s="145">
        <f>IF(Z$1=1,Ingresos!$P5*Ingresos!$A$23,'Flujo de caja mensual'!Y17*((1+HLOOKUP('Flujo de caja mensual'!Y$2,Ingresos!$S$8:$AC$10,3,0))^(1/12)))</f>
        <v>0</v>
      </c>
      <c r="AA17" s="145">
        <f>IF(AA$1=1,Ingresos!$P5*Ingresos!$A$23,'Flujo de caja mensual'!Z17*((1+HLOOKUP('Flujo de caja mensual'!Z$2,Ingresos!$S$8:$AC$10,3,0))^(1/12)))</f>
        <v>0</v>
      </c>
      <c r="AB17" s="145">
        <f>IF(AB$1=1,Ingresos!$P5*Ingresos!$A$23,'Flujo de caja mensual'!AA17*((1+HLOOKUP('Flujo de caja mensual'!AA$2,Ingresos!$S$8:$AC$10,3,0))^(1/12)))</f>
        <v>0</v>
      </c>
      <c r="AC17" s="145">
        <f>IF(AC$1=1,Ingresos!$P5*Ingresos!$A$23,'Flujo de caja mensual'!AB17*((1+HLOOKUP('Flujo de caja mensual'!AB$2,Ingresos!$S$8:$AC$10,3,0))^(1/12)))</f>
        <v>0</v>
      </c>
      <c r="AD17" s="145">
        <f>IF(AD$1=1,Ingresos!$P5*Ingresos!$A$23,'Flujo de caja mensual'!AC17*((1+HLOOKUP('Flujo de caja mensual'!AC$2,Ingresos!$S$8:$AC$10,3,0))^(1/12)))</f>
        <v>0</v>
      </c>
      <c r="AE17" s="145">
        <f>IF(AE$1=1,Ingresos!$P5*Ingresos!$A$23,'Flujo de caja mensual'!AD17*((1+HLOOKUP('Flujo de caja mensual'!AD$2,Ingresos!$S$8:$AC$10,3,0))^(1/12)))</f>
        <v>0</v>
      </c>
      <c r="AF17" s="145">
        <f>IF(AF$1=1,Ingresos!$P5*Ingresos!$A$23,'Flujo de caja mensual'!AE17*((1+HLOOKUP('Flujo de caja mensual'!AE$2,Ingresos!$S$8:$AC$10,3,0))^(1/12)))</f>
        <v>0</v>
      </c>
      <c r="AG17" s="145">
        <f>IF(AG$1=1,Ingresos!$P5*Ingresos!$A$23,'Flujo de caja mensual'!AF17*((1+HLOOKUP('Flujo de caja mensual'!AF$2,Ingresos!$S$8:$AC$10,3,0))^(1/12)))</f>
        <v>0</v>
      </c>
      <c r="AH17" s="145">
        <f>IF(AH$1=1,Ingresos!$P5*Ingresos!$A$23,'Flujo de caja mensual'!AG17*((1+HLOOKUP('Flujo de caja mensual'!AG$2,Ingresos!$S$8:$AC$10,3,0))^(1/12)))</f>
        <v>0</v>
      </c>
      <c r="AI17" s="145">
        <f>IF(AI$1=1,Ingresos!$P5*Ingresos!$A$23,'Flujo de caja mensual'!AH17*((1+HLOOKUP('Flujo de caja mensual'!AH$2,Ingresos!$S$8:$AC$10,3,0))^(1/12)))</f>
        <v>0</v>
      </c>
      <c r="AJ17" s="145">
        <f>IF(AJ$1=1,Ingresos!$P5*Ingresos!$A$23,'Flujo de caja mensual'!AI17*((1+HLOOKUP('Flujo de caja mensual'!AI$2,Ingresos!$S$8:$AC$10,3,0))^(1/12)))</f>
        <v>0</v>
      </c>
      <c r="AK17" s="145">
        <f>IF(AK$1=1,Ingresos!$P5*Ingresos!$A$23,'Flujo de caja mensual'!AJ17*((1+HLOOKUP('Flujo de caja mensual'!AJ$2,Ingresos!$S$8:$AC$10,3,0))^(1/12)))</f>
        <v>0</v>
      </c>
      <c r="AL17" s="145">
        <f>IF(AL$1=1,Ingresos!$P5*Ingresos!$A$23,'Flujo de caja mensual'!AK17*((1+HLOOKUP('Flujo de caja mensual'!AK$2,Ingresos!$S$8:$AC$10,3,0))^(1/12)))</f>
        <v>0</v>
      </c>
      <c r="AM17" s="145">
        <f>IF(AM$1=1,Ingresos!$P5*Ingresos!$A$23,'Flujo de caja mensual'!AL17*((1+HLOOKUP('Flujo de caja mensual'!AL$2,Ingresos!$S$8:$AC$10,3,0))^(1/12)))</f>
        <v>0</v>
      </c>
      <c r="AN17" s="145">
        <f>IF(AN$1=1,Ingresos!$P5*Ingresos!$A$23,'Flujo de caja mensual'!AM17*((1+HLOOKUP('Flujo de caja mensual'!AM$2,Ingresos!$S$8:$AC$10,3,0))^(1/12)))</f>
        <v>0</v>
      </c>
      <c r="AO17" s="145">
        <f>IF(AO$1=1,Ingresos!$P5*Ingresos!$A$23,'Flujo de caja mensual'!AN17*((1+HLOOKUP('Flujo de caja mensual'!AN$2,Ingresos!$S$8:$AC$10,3,0))^(1/12)))</f>
        <v>0</v>
      </c>
      <c r="AP17" s="145">
        <f>IF(AP$1=1,Ingresos!$P5*Ingresos!$A$23,'Flujo de caja mensual'!AO17*((1+HLOOKUP('Flujo de caja mensual'!AO$2,Ingresos!$S$8:$AC$10,3,0))^(1/12)))</f>
        <v>0</v>
      </c>
      <c r="AQ17" s="145">
        <f>IF(AQ$1=1,Ingresos!$P5*Ingresos!$A$23,'Flujo de caja mensual'!AP17*((1+HLOOKUP('Flujo de caja mensual'!AP$2,Ingresos!$S$8:$AC$10,3,0))^(1/12)))</f>
        <v>0</v>
      </c>
      <c r="AR17" s="145">
        <f>IF(AR$1=1,Ingresos!$P5*Ingresos!$A$23,'Flujo de caja mensual'!AQ17*((1+HLOOKUP('Flujo de caja mensual'!AQ$2,Ingresos!$S$8:$AC$10,3,0))^(1/12)))</f>
        <v>0</v>
      </c>
      <c r="AS17" s="145">
        <f>IF(AS$1=1,Ingresos!$P5*Ingresos!$A$23,'Flujo de caja mensual'!AR17*((1+HLOOKUP('Flujo de caja mensual'!AR$2,Ingresos!$S$8:$AC$10,3,0))^(1/12)))</f>
        <v>0</v>
      </c>
      <c r="AT17" s="145">
        <f>IF(AT$1=1,Ingresos!$P5*Ingresos!$A$23,'Flujo de caja mensual'!AS17*((1+HLOOKUP('Flujo de caja mensual'!AS$2,Ingresos!$S$8:$AC$10,3,0))^(1/12)))</f>
        <v>0</v>
      </c>
      <c r="AU17" s="145">
        <f>IF(AU$1=1,Ingresos!$P5*Ingresos!$A$23,'Flujo de caja mensual'!AT17*((1+HLOOKUP('Flujo de caja mensual'!AT$2,Ingresos!$S$8:$AC$10,3,0))^(1/12)))</f>
        <v>0</v>
      </c>
      <c r="AV17" s="145">
        <f>IF(AV$1=1,Ingresos!$P5*Ingresos!$A$23,'Flujo de caja mensual'!AU17*((1+HLOOKUP('Flujo de caja mensual'!AU$2,Ingresos!$S$8:$AC$10,3,0))^(1/12)))</f>
        <v>0</v>
      </c>
      <c r="AW17" s="145">
        <f>IF(AW$1=1,Ingresos!$P5*Ingresos!$A$23,'Flujo de caja mensual'!AV17*((1+HLOOKUP('Flujo de caja mensual'!AV$2,Ingresos!$S$8:$AC$10,3,0))^(1/12)))</f>
        <v>0</v>
      </c>
      <c r="AX17" s="145">
        <f>IF(AX$1=1,Ingresos!$P5*Ingresos!$A$23,'Flujo de caja mensual'!AW17*((1+HLOOKUP('Flujo de caja mensual'!AW$2,Ingresos!$S$8:$AC$10,3,0))^(1/12)))</f>
        <v>0</v>
      </c>
      <c r="AY17" s="145">
        <f>IF(AY$1=1,Ingresos!$P5*Ingresos!$A$23,'Flujo de caja mensual'!AX17*((1+HLOOKUP('Flujo de caja mensual'!AX$2,Ingresos!$S$8:$AC$10,3,0))^(1/12)))</f>
        <v>0</v>
      </c>
      <c r="AZ17" s="145">
        <f>IF(AZ$1=1,Ingresos!$P5*Ingresos!$A$23,'Flujo de caja mensual'!AY17*((1+HLOOKUP('Flujo de caja mensual'!AY$2,Ingresos!$S$8:$AC$10,3,0))^(1/12)))</f>
        <v>0</v>
      </c>
      <c r="BA17" s="145">
        <f>IF(BA$1=1,Ingresos!$P5*Ingresos!$A$23,'Flujo de caja mensual'!AZ17*((1+HLOOKUP('Flujo de caja mensual'!AZ$2,Ingresos!$S$8:$AC$10,3,0))^(1/12)))</f>
        <v>0</v>
      </c>
      <c r="BB17" s="145">
        <f>IF(BB$1=1,Ingresos!$P5*Ingresos!$A$23,'Flujo de caja mensual'!BA17*((1+HLOOKUP('Flujo de caja mensual'!BA$2,Ingresos!$S$8:$AC$10,3,0))^(1/12)))</f>
        <v>0</v>
      </c>
      <c r="BC17" s="145">
        <f>IF(BC$1=1,Ingresos!$P5*Ingresos!$A$23,'Flujo de caja mensual'!BB17*((1+HLOOKUP('Flujo de caja mensual'!BB$2,Ingresos!$S$8:$AC$10,3,0))^(1/12)))</f>
        <v>0</v>
      </c>
      <c r="BD17" s="145">
        <f>IF(BD$1=1,Ingresos!$P5*Ingresos!$A$23,'Flujo de caja mensual'!BC17*((1+HLOOKUP('Flujo de caja mensual'!BC$2,Ingresos!$S$8:$AC$10,3,0))^(1/12)))</f>
        <v>0</v>
      </c>
      <c r="BE17" s="145">
        <f>IF(BE$1=1,Ingresos!$P5*Ingresos!$A$23,'Flujo de caja mensual'!BD17*((1+HLOOKUP('Flujo de caja mensual'!BD$2,Ingresos!$S$8:$AC$10,3,0))^(1/12)))</f>
        <v>0</v>
      </c>
      <c r="BF17" s="145">
        <f>IF(BF$1=1,Ingresos!$P5*Ingresos!$A$23,'Flujo de caja mensual'!BE17*((1+HLOOKUP('Flujo de caja mensual'!BE$2,Ingresos!$S$8:$AC$10,3,0))^(1/12)))</f>
        <v>0</v>
      </c>
      <c r="BG17" s="145">
        <f>IF(BG$1=1,Ingresos!$P5*Ingresos!$A$23,'Flujo de caja mensual'!BF17*((1+HLOOKUP('Flujo de caja mensual'!BF$2,Ingresos!$S$8:$AC$10,3,0))^(1/12)))</f>
        <v>0</v>
      </c>
      <c r="BH17" s="145">
        <f>IF(BH$1=1,Ingresos!$P5*Ingresos!$A$23,'Flujo de caja mensual'!BG17*((1+HLOOKUP('Flujo de caja mensual'!BG$2,Ingresos!$S$8:$AC$10,3,0))^(1/12)))</f>
        <v>0</v>
      </c>
      <c r="BI17" s="145">
        <f>IF(BI$1=1,Ingresos!$P5*Ingresos!$A$23,'Flujo de caja mensual'!BH17*((1+HLOOKUP('Flujo de caja mensual'!BH$2,Ingresos!$S$8:$AC$10,3,0))^(1/12)))</f>
        <v>0</v>
      </c>
      <c r="BJ17" s="145">
        <f>IF(BJ$1=1,Ingresos!$P5*Ingresos!$A$23,'Flujo de caja mensual'!BI17*((1+HLOOKUP('Flujo de caja mensual'!BI$2,Ingresos!$S$8:$AC$10,3,0))^(1/12)))</f>
        <v>0</v>
      </c>
      <c r="BK17" s="145">
        <f>IF(BK$1=1,Ingresos!$P5*Ingresos!$A$23,'Flujo de caja mensual'!BJ17*((1+HLOOKUP('Flujo de caja mensual'!BJ$2,Ingresos!$S$8:$AC$10,3,0))^(1/12)))</f>
        <v>0</v>
      </c>
      <c r="BL17" s="145">
        <f>IF(BL$1=1,Ingresos!$P5*Ingresos!$A$23,'Flujo de caja mensual'!BK17*((1+HLOOKUP('Flujo de caja mensual'!BK$2,Ingresos!$S$8:$AC$10,3,0))^(1/12)))</f>
        <v>0</v>
      </c>
      <c r="BM17" s="145">
        <f>IF(BM$1=1,Ingresos!$P5*Ingresos!$A$23,'Flujo de caja mensual'!BL17*((1+HLOOKUP('Flujo de caja mensual'!BL$2,Ingresos!$S$8:$AC$10,3,0))^(1/12)))</f>
        <v>0</v>
      </c>
      <c r="BN17" s="145">
        <f>IF(BN$1=1,Ingresos!$P5*Ingresos!$A$23,'Flujo de caja mensual'!BM17*((1+HLOOKUP('Flujo de caja mensual'!BM$2,Ingresos!$S$8:$AC$10,3,0))^(1/12)))</f>
        <v>0</v>
      </c>
      <c r="BO17" s="145">
        <f>IF(BO$1=1,Ingresos!$P5*Ingresos!$A$23,'Flujo de caja mensual'!BN17*((1+HLOOKUP('Flujo de caja mensual'!BN$2,Ingresos!$S$8:$AC$10,3,0))^(1/12)))</f>
        <v>0</v>
      </c>
      <c r="BP17" s="145">
        <f>IF(BP$1=1,Ingresos!$P5*Ingresos!$A$23,'Flujo de caja mensual'!BO17*((1+HLOOKUP('Flujo de caja mensual'!BO$2,Ingresos!$S$8:$AC$10,3,0))^(1/12)))</f>
        <v>0</v>
      </c>
      <c r="BQ17" s="145">
        <f>IF(BQ$1=1,Ingresos!$P5*Ingresos!$A$23,'Flujo de caja mensual'!BP17*((1+HLOOKUP('Flujo de caja mensual'!BP$2,Ingresos!$S$8:$AC$10,3,0))^(1/12)))</f>
        <v>0</v>
      </c>
      <c r="BR17" s="145">
        <f>IF(BR$1=1,Ingresos!$P5*Ingresos!$A$23,'Flujo de caja mensual'!BQ17*((1+HLOOKUP('Flujo de caja mensual'!BQ$2,Ingresos!$S$8:$AC$10,3,0))^(1/12)))</f>
        <v>0</v>
      </c>
      <c r="BS17" s="145">
        <f>IF(BS$1=1,Ingresos!$P5*Ingresos!$A$23,'Flujo de caja mensual'!BR17*((1+HLOOKUP('Flujo de caja mensual'!BR$2,Ingresos!$S$8:$AC$10,3,0))^(1/12)))</f>
        <v>0</v>
      </c>
      <c r="BT17" s="145">
        <f>IF(BT$1=1,Ingresos!$P5*Ingresos!$A$23,'Flujo de caja mensual'!BS17*((1+HLOOKUP('Flujo de caja mensual'!BS$2,Ingresos!$S$8:$AC$10,3,0))^(1/12)))</f>
        <v>0</v>
      </c>
      <c r="BU17" s="145">
        <f>IF(BU$1=1,Ingresos!$P5*Ingresos!$A$23,'Flujo de caja mensual'!BT17*((1+HLOOKUP('Flujo de caja mensual'!BT$2,Ingresos!$S$8:$AC$10,3,0))^(1/12)))</f>
        <v>0</v>
      </c>
      <c r="BV17" s="145">
        <f>IF(BV$1=1,Ingresos!$P5*Ingresos!$A$23,'Flujo de caja mensual'!BU17*((1+HLOOKUP('Flujo de caja mensual'!BU$2,Ingresos!$S$8:$AC$10,3,0))^(1/12)))</f>
        <v>0</v>
      </c>
      <c r="BW17" s="145">
        <f>IF(BW$1=1,Ingresos!$P5*Ingresos!$A$23,'Flujo de caja mensual'!BV17*((1+HLOOKUP('Flujo de caja mensual'!BV$2,Ingresos!$S$8:$AC$10,3,0))^(1/12)))</f>
        <v>0</v>
      </c>
      <c r="BX17" s="145">
        <f>IF(BX$1=1,Ingresos!$P5*Ingresos!$A$23,'Flujo de caja mensual'!BW17*((1+HLOOKUP('Flujo de caja mensual'!BW$2,Ingresos!$S$8:$AC$10,3,0))^(1/12)))</f>
        <v>0</v>
      </c>
      <c r="BY17" s="145">
        <f>IF(BY$1=1,Ingresos!$P5*Ingresos!$A$23,'Flujo de caja mensual'!BX17*((1+HLOOKUP('Flujo de caja mensual'!BX$2,Ingresos!$S$8:$AC$10,3,0))^(1/12)))</f>
        <v>0</v>
      </c>
      <c r="BZ17" s="145">
        <f>IF(BZ$1=1,Ingresos!$P5*Ingresos!$A$23,'Flujo de caja mensual'!BY17*((1+HLOOKUP('Flujo de caja mensual'!BY$2,Ingresos!$S$8:$AC$10,3,0))^(1/12)))</f>
        <v>0</v>
      </c>
      <c r="CA17" s="145">
        <f>IF(CA$1=1,Ingresos!$P5*Ingresos!$A$23,'Flujo de caja mensual'!BZ17*((1+HLOOKUP('Flujo de caja mensual'!BZ$2,Ingresos!$S$8:$AC$10,3,0))^(1/12)))</f>
        <v>0</v>
      </c>
      <c r="CB17" s="145">
        <f>IF(CB$1=1,Ingresos!$P5*Ingresos!$A$23,'Flujo de caja mensual'!CA17*((1+HLOOKUP('Flujo de caja mensual'!CA$2,Ingresos!$S$8:$AC$10,3,0))^(1/12)))</f>
        <v>0</v>
      </c>
      <c r="CC17" s="145">
        <f>IF(CC$1=1,Ingresos!$P5*Ingresos!$A$23,'Flujo de caja mensual'!CB17*((1+HLOOKUP('Flujo de caja mensual'!CB$2,Ingresos!$S$8:$AC$10,3,0))^(1/12)))</f>
        <v>0</v>
      </c>
      <c r="CD17" s="145">
        <f>IF(CD$1=1,Ingresos!$P5*Ingresos!$A$23,'Flujo de caja mensual'!CC17*((1+HLOOKUP('Flujo de caja mensual'!CC$2,Ingresos!$S$8:$AC$10,3,0))^(1/12)))</f>
        <v>0</v>
      </c>
      <c r="CE17" s="145">
        <f>IF(CE$1=1,Ingresos!$P5*Ingresos!$A$23,'Flujo de caja mensual'!CD17*((1+HLOOKUP('Flujo de caja mensual'!CD$2,Ingresos!$S$8:$AC$10,3,0))^(1/12)))</f>
        <v>0</v>
      </c>
      <c r="CF17" s="145">
        <f>IF(CF$1=1,Ingresos!$P5*Ingresos!$A$23,'Flujo de caja mensual'!CE17*((1+HLOOKUP('Flujo de caja mensual'!CE$2,Ingresos!$S$8:$AC$10,3,0))^(1/12)))</f>
        <v>0</v>
      </c>
      <c r="CG17" s="145">
        <f>IF(CG$1=1,Ingresos!$P5*Ingresos!$A$23,'Flujo de caja mensual'!CF17*((1+HLOOKUP('Flujo de caja mensual'!CF$2,Ingresos!$S$8:$AC$10,3,0))^(1/12)))</f>
        <v>0</v>
      </c>
      <c r="CH17" s="145">
        <f>IF(CH$1=1,Ingresos!$P5*Ingresos!$A$23,'Flujo de caja mensual'!CG17*((1+HLOOKUP('Flujo de caja mensual'!CG$2,Ingresos!$S$8:$AC$10,3,0))^(1/12)))</f>
        <v>0</v>
      </c>
      <c r="CI17" s="145">
        <f>IF(CI$1=1,Ingresos!$P5*Ingresos!$A$23,'Flujo de caja mensual'!CH17*((1+HLOOKUP('Flujo de caja mensual'!CH$2,Ingresos!$S$8:$AC$10,3,0))^(1/12)))</f>
        <v>0</v>
      </c>
      <c r="CJ17" s="145">
        <f>IF(CJ$1=1,Ingresos!$P5*Ingresos!$A$23,'Flujo de caja mensual'!CI17*((1+HLOOKUP('Flujo de caja mensual'!CI$2,Ingresos!$S$8:$AC$10,3,0))^(1/12)))</f>
        <v>0</v>
      </c>
      <c r="CK17" s="145">
        <f>IF(CK$1=1,Ingresos!$P5*Ingresos!$A$23,'Flujo de caja mensual'!CJ17*((1+HLOOKUP('Flujo de caja mensual'!CJ$2,Ingresos!$S$8:$AC$10,3,0))^(1/12)))</f>
        <v>0</v>
      </c>
      <c r="CL17" s="145">
        <f>IF(CL$1=1,Ingresos!$P5*Ingresos!$A$23,'Flujo de caja mensual'!CK17*((1+HLOOKUP('Flujo de caja mensual'!CK$2,Ingresos!$S$8:$AC$10,3,0))^(1/12)))</f>
        <v>0</v>
      </c>
      <c r="CM17" s="145">
        <f>IF(CM$1=1,Ingresos!$P5*Ingresos!$A$23,'Flujo de caja mensual'!CL17*((1+HLOOKUP('Flujo de caja mensual'!CL$2,Ingresos!$S$8:$AC$10,3,0))^(1/12)))</f>
        <v>0</v>
      </c>
      <c r="CN17" s="145">
        <f>IF(CN$1=1,Ingresos!$P5*Ingresos!$A$23,'Flujo de caja mensual'!CM17*((1+HLOOKUP('Flujo de caja mensual'!CM$2,Ingresos!$S$8:$AC$10,3,0))^(1/12)))</f>
        <v>0</v>
      </c>
      <c r="CO17" s="145">
        <f>IF(CO$1=1,Ingresos!$P5*Ingresos!$A$23,'Flujo de caja mensual'!CN17*((1+HLOOKUP('Flujo de caja mensual'!CN$2,Ingresos!$S$8:$AC$10,3,0))^(1/12)))</f>
        <v>0</v>
      </c>
      <c r="CP17" s="145">
        <f>IF(CP$1=1,Ingresos!$P5*Ingresos!$A$23,'Flujo de caja mensual'!CO17*((1+HLOOKUP('Flujo de caja mensual'!CO$2,Ingresos!$S$8:$AC$10,3,0))^(1/12)))</f>
        <v>0</v>
      </c>
      <c r="CQ17" s="145">
        <f>IF(CQ$1=1,Ingresos!$P5*Ingresos!$A$23,'Flujo de caja mensual'!CP17*((1+HLOOKUP('Flujo de caja mensual'!CP$2,Ingresos!$S$8:$AC$10,3,0))^(1/12)))</f>
        <v>0</v>
      </c>
      <c r="CR17" s="145">
        <f>IF(CR$1=1,Ingresos!$P5*Ingresos!$A$23,'Flujo de caja mensual'!CQ17*((1+HLOOKUP('Flujo de caja mensual'!CQ$2,Ingresos!$S$8:$AC$10,3,0))^(1/12)))</f>
        <v>0</v>
      </c>
      <c r="CS17" s="145">
        <f>IF(CS$1=1,Ingresos!$P5*Ingresos!$A$23,'Flujo de caja mensual'!CR17*((1+HLOOKUP('Flujo de caja mensual'!CR$2,Ingresos!$S$8:$AC$10,3,0))^(1/12)))</f>
        <v>0</v>
      </c>
      <c r="CT17" s="145">
        <f>IF(CT$1=1,Ingresos!$P5*Ingresos!$A$23,'Flujo de caja mensual'!CS17*((1+HLOOKUP('Flujo de caja mensual'!CS$2,Ingresos!$S$8:$AC$10,3,0))^(1/12)))</f>
        <v>0</v>
      </c>
      <c r="CU17" s="145">
        <f>IF(CU$1=1,Ingresos!$P5*Ingresos!$A$23,'Flujo de caja mensual'!CT17*((1+HLOOKUP('Flujo de caja mensual'!CT$2,Ingresos!$S$8:$AC$10,3,0))^(1/12)))</f>
        <v>0</v>
      </c>
      <c r="CV17" s="145">
        <f>IF(CV$1=1,Ingresos!$P5*Ingresos!$A$23,'Flujo de caja mensual'!CU17*((1+HLOOKUP('Flujo de caja mensual'!CU$2,Ingresos!$S$8:$AC$10,3,0))^(1/12)))</f>
        <v>0</v>
      </c>
      <c r="CW17" s="145">
        <f>IF(CW$1=1,Ingresos!$P5*Ingresos!$A$23,'Flujo de caja mensual'!CV17*((1+HLOOKUP('Flujo de caja mensual'!CV$2,Ingresos!$S$8:$AC$10,3,0))^(1/12)))</f>
        <v>0</v>
      </c>
      <c r="CX17" s="145">
        <f>IF(CX$1=1,Ingresos!$P5*Ingresos!$A$23,'Flujo de caja mensual'!CW17*((1+HLOOKUP('Flujo de caja mensual'!CW$2,Ingresos!$S$8:$AC$10,3,0))^(1/12)))</f>
        <v>0</v>
      </c>
      <c r="CY17" s="145">
        <f>IF(CY$1=1,Ingresos!$P5*Ingresos!$A$23,'Flujo de caja mensual'!CX17*((1+HLOOKUP('Flujo de caja mensual'!CX$2,Ingresos!$S$8:$AC$10,3,0))^(1/12)))</f>
        <v>0</v>
      </c>
      <c r="CZ17" s="145">
        <f>IF(CZ$1=1,Ingresos!$P5*Ingresos!$A$23,'Flujo de caja mensual'!CY17*((1+HLOOKUP('Flujo de caja mensual'!CY$2,Ingresos!$S$8:$AC$10,3,0))^(1/12)))</f>
        <v>0</v>
      </c>
      <c r="DA17" s="145">
        <f>IF(DA$1=1,Ingresos!$P5*Ingresos!$A$23,'Flujo de caja mensual'!CZ17*((1+HLOOKUP('Flujo de caja mensual'!CZ$2,Ingresos!$S$8:$AC$10,3,0))^(1/12)))</f>
        <v>0</v>
      </c>
      <c r="DB17" s="145">
        <f>IF(DB$1=1,Ingresos!$P5*Ingresos!$A$23,'Flujo de caja mensual'!DA17*((1+HLOOKUP('Flujo de caja mensual'!DA$2,Ingresos!$S$8:$AC$10,3,0))^(1/12)))</f>
        <v>0</v>
      </c>
      <c r="DC17" s="145">
        <f>IF(DC$1=1,Ingresos!$P5*Ingresos!$A$23,'Flujo de caja mensual'!DB17*((1+HLOOKUP('Flujo de caja mensual'!DB$2,Ingresos!$S$8:$AC$10,3,0))^(1/12)))</f>
        <v>0</v>
      </c>
      <c r="DD17" s="145">
        <f>IF(DD$1=1,Ingresos!$P5*Ingresos!$A$23,'Flujo de caja mensual'!DC17*((1+HLOOKUP('Flujo de caja mensual'!DC$2,Ingresos!$S$8:$AC$10,3,0))^(1/12)))</f>
        <v>0</v>
      </c>
      <c r="DE17" s="145">
        <f>IF(DE$1=1,Ingresos!$P5*Ingresos!$A$23,'Flujo de caja mensual'!DD17*((1+HLOOKUP('Flujo de caja mensual'!DD$2,Ingresos!$S$8:$AC$10,3,0))^(1/12)))</f>
        <v>0</v>
      </c>
      <c r="DF17" s="145">
        <f>IF(DF$1=1,Ingresos!$P5*Ingresos!$A$23,'Flujo de caja mensual'!DE17*((1+HLOOKUP('Flujo de caja mensual'!DE$2,Ingresos!$S$8:$AC$10,3,0))^(1/12)))</f>
        <v>0</v>
      </c>
      <c r="DG17" s="145">
        <f>IF(DG$1=1,Ingresos!$P5*Ingresos!$A$23,'Flujo de caja mensual'!DF17*((1+HLOOKUP('Flujo de caja mensual'!DF$2,Ingresos!$S$8:$AC$10,3,0))^(1/12)))</f>
        <v>0</v>
      </c>
      <c r="DH17" s="145">
        <f>IF(DH$1=1,Ingresos!$P5*Ingresos!$A$23,'Flujo de caja mensual'!DG17*((1+HLOOKUP('Flujo de caja mensual'!DG$2,Ingresos!$S$8:$AC$10,3,0))^(1/12)))</f>
        <v>0</v>
      </c>
      <c r="DI17" s="145">
        <f>IF(DI$1=1,Ingresos!$P5*Ingresos!$A$23,'Flujo de caja mensual'!DH17*((1+HLOOKUP('Flujo de caja mensual'!DH$2,Ingresos!$S$8:$AC$10,3,0))^(1/12)))</f>
        <v>0</v>
      </c>
      <c r="DJ17" s="145">
        <f>IF(DJ$1=1,Ingresos!$P5*Ingresos!$A$23,'Flujo de caja mensual'!DI17*((1+HLOOKUP('Flujo de caja mensual'!DI$2,Ingresos!$S$8:$AC$10,3,0))^(1/12)))</f>
        <v>0</v>
      </c>
      <c r="DK17" s="145">
        <f>IF(DK$1=1,Ingresos!$P5*Ingresos!$A$23,'Flujo de caja mensual'!DJ17*((1+HLOOKUP('Flujo de caja mensual'!DJ$2,Ingresos!$S$8:$AC$10,3,0))^(1/12)))</f>
        <v>0</v>
      </c>
      <c r="DL17" s="145">
        <f>IF(DL$1=1,Ingresos!$P5*Ingresos!$A$23,'Flujo de caja mensual'!DK17*((1+HLOOKUP('Flujo de caja mensual'!DK$2,Ingresos!$S$8:$AC$10,3,0))^(1/12)))</f>
        <v>0</v>
      </c>
      <c r="DM17" s="145">
        <f>IF(DM$1=1,Ingresos!$P5*Ingresos!$A$23,'Flujo de caja mensual'!DL17*((1+HLOOKUP('Flujo de caja mensual'!DL$2,Ingresos!$S$8:$AC$10,3,0))^(1/12)))</f>
        <v>0</v>
      </c>
      <c r="DN17" s="145">
        <f>IF(DN$1=1,Ingresos!$P5*Ingresos!$A$23,'Flujo de caja mensual'!DM17*((1+HLOOKUP('Flujo de caja mensual'!DM$2,Ingresos!$S$8:$AC$10,3,0))^(1/12)))</f>
        <v>0</v>
      </c>
      <c r="DO17" s="145">
        <f>IF(DO$1=1,Ingresos!$P5*Ingresos!$A$23,'Flujo de caja mensual'!DN17*((1+HLOOKUP('Flujo de caja mensual'!DN$2,Ingresos!$S$8:$AC$10,3,0))^(1/12)))</f>
        <v>0</v>
      </c>
      <c r="DP17" s="145">
        <f>IF(DP$1=1,Ingresos!$P5*Ingresos!$A$23,'Flujo de caja mensual'!DO17*((1+HLOOKUP('Flujo de caja mensual'!DO$2,Ingresos!$S$8:$AC$10,3,0))^(1/12)))</f>
        <v>0</v>
      </c>
      <c r="DQ17" s="145">
        <f>IF(DQ$1=1,Ingresos!$P5*Ingresos!$A$23,'Flujo de caja mensual'!DP17*((1+HLOOKUP('Flujo de caja mensual'!DP$2,Ingresos!$S$8:$AC$10,3,0))^(1/12)))</f>
        <v>0</v>
      </c>
      <c r="DR17" s="145">
        <f>IF(DR$1=1,Ingresos!$P5*Ingresos!$A$23,'Flujo de caja mensual'!DQ17*((1+HLOOKUP('Flujo de caja mensual'!DQ$2,Ingresos!$S$8:$AC$10,3,0))^(1/12)))</f>
        <v>0</v>
      </c>
      <c r="DS17" s="145">
        <f>IF(DS$1=1,Ingresos!$P5*Ingresos!$A$23,'Flujo de caja mensual'!DR17*((1+HLOOKUP('Flujo de caja mensual'!DR$2,Ingresos!$S$8:$AC$10,3,0))^(1/12)))</f>
        <v>0</v>
      </c>
      <c r="DT17" s="145">
        <f>IF(DT$1=1,Ingresos!$P5*Ingresos!$A$23,'Flujo de caja mensual'!DS17*((1+HLOOKUP('Flujo de caja mensual'!DS$2,Ingresos!$S$8:$AC$10,3,0))^(1/12)))</f>
        <v>0</v>
      </c>
      <c r="DU17" s="145">
        <f>IF(DU$1=1,Ingresos!$P5*Ingresos!$A$23,'Flujo de caja mensual'!DT17*((1+HLOOKUP('Flujo de caja mensual'!DT$2,Ingresos!$S$8:$AC$10,3,0))^(1/12)))</f>
        <v>0</v>
      </c>
      <c r="DV17" s="145">
        <f>IF(DV$1=1,Ingresos!$P5*Ingresos!$A$23,'Flujo de caja mensual'!DU17*((1+HLOOKUP('Flujo de caja mensual'!DU$2,Ingresos!$S$8:$AC$10,3,0))^(1/12)))</f>
        <v>0</v>
      </c>
      <c r="DW17" s="145">
        <f>IF(DW$1=1,Ingresos!$P5*Ingresos!$A$23,'Flujo de caja mensual'!DV17*((1+HLOOKUP('Flujo de caja mensual'!DV$2,Ingresos!$S$8:$AC$10,3,0))^(1/12)))</f>
        <v>0</v>
      </c>
      <c r="DX17" s="145">
        <f>IF(DX$1=1,Ingresos!$P5*Ingresos!$A$23,'Flujo de caja mensual'!DW17*((1+HLOOKUP('Flujo de caja mensual'!DW$2,Ingresos!$S$8:$AC$10,3,0))^(1/12)))</f>
        <v>0</v>
      </c>
      <c r="DY17" s="145">
        <f>IF(DY$1=1,Ingresos!$P5*Ingresos!$A$23,'Flujo de caja mensual'!DX17*((1+HLOOKUP('Flujo de caja mensual'!DX$2,Ingresos!$S$8:$AC$10,3,0))^(1/12)))</f>
        <v>0</v>
      </c>
      <c r="DZ17" s="145">
        <f>IF(DZ$1=1,Ingresos!$P5*Ingresos!$A$23,'Flujo de caja mensual'!DY17*((1+HLOOKUP('Flujo de caja mensual'!DY$2,Ingresos!$S$8:$AC$10,3,0))^(1/12)))</f>
        <v>0</v>
      </c>
      <c r="EA17" s="145">
        <f>IF(EA$1=1,Ingresos!$P5*Ingresos!$A$23,'Flujo de caja mensual'!DZ17*((1+HLOOKUP('Flujo de caja mensual'!DZ$2,Ingresos!$S$8:$AC$10,3,0))^(1/12)))</f>
        <v>0</v>
      </c>
      <c r="EB17" s="145">
        <f>IF(EB$1=1,Ingresos!$P5*Ingresos!$A$23,'Flujo de caja mensual'!EA17*((1+HLOOKUP('Flujo de caja mensual'!EA$2,Ingresos!$S$8:$AC$10,3,0))^(1/12)))</f>
        <v>0</v>
      </c>
      <c r="EC17" s="145">
        <f>IF(EC$1=1,Ingresos!$P5*Ingresos!$A$23,'Flujo de caja mensual'!EB17*((1+HLOOKUP('Flujo de caja mensual'!EB$2,Ingresos!$S$8:$AC$10,3,0))^(1/12)))</f>
        <v>0</v>
      </c>
      <c r="ED17" s="145">
        <f>IF(ED$1=1,Ingresos!$P5*Ingresos!$A$23,'Flujo de caja mensual'!EC17*((1+HLOOKUP('Flujo de caja mensual'!EC$2,Ingresos!$S$8:$AC$10,3,0))^(1/12)))</f>
        <v>0</v>
      </c>
      <c r="EE17" s="146">
        <f>IF(EE$1=1,Ingresos!$P5*Ingresos!$A$23,'Flujo de caja mensual'!ED17*((1+HLOOKUP('Flujo de caja mensual'!ED$2,Ingresos!$S$8:$AC$10,3,0))^(1/12)))</f>
        <v>0</v>
      </c>
    </row>
    <row r="18" spans="1:135" x14ac:dyDescent="0.25">
      <c r="A18" s="152">
        <f>SUMIF($C$1:$EE$1,"&lt;="&amp;Resumen!$K$19,'Flujo de caja mensual'!C18:EE18)</f>
        <v>6588917849.3363333</v>
      </c>
      <c r="B18" s="5" t="str">
        <f>Ingresos!O6</f>
        <v>Ingresos por parqueaderos</v>
      </c>
      <c r="C18" s="144"/>
      <c r="D18" s="145">
        <f>IF(D$1=1,Ingresos!$P6*Ingresos!$A$23,'Flujo de caja mensual'!C18*((1+HLOOKUP('Flujo de caja mensual'!C$2,Ingresos!$S$8:$AC$10,3,0))^(1/12)))</f>
        <v>47250000</v>
      </c>
      <c r="E18" s="145">
        <f>IF(E$1=1,Ingresos!$P6*Ingresos!$A$23,'Flujo de caja mensual'!D18*((1+HLOOKUP('Flujo de caja mensual'!D$2,Ingresos!$S$8:$AC$10,3,0))^(1/12)))</f>
        <v>47366531.246741347</v>
      </c>
      <c r="F18" s="145">
        <f>IF(F$1=1,Ingresos!$P6*Ingresos!$A$23,'Flujo de caja mensual'!E18*((1+HLOOKUP('Flujo de caja mensual'!E$2,Ingresos!$S$8:$AC$10,3,0))^(1/12)))</f>
        <v>47483349.89097406</v>
      </c>
      <c r="G18" s="145">
        <f>IF(G$1=1,Ingresos!$P6*Ingresos!$A$23,'Flujo de caja mensual'!F18*((1+HLOOKUP('Flujo de caja mensual'!F$2,Ingresos!$S$8:$AC$10,3,0))^(1/12)))</f>
        <v>47600456.641497888</v>
      </c>
      <c r="H18" s="145">
        <f>IF(H$1=1,Ingresos!$P6*Ingresos!$A$23,'Flujo de caja mensual'!G18*((1+HLOOKUP('Flujo de caja mensual'!G$2,Ingresos!$S$8:$AC$10,3,0))^(1/12)))</f>
        <v>47717852.208860666</v>
      </c>
      <c r="I18" s="145">
        <f>IF(I$1=1,Ingresos!$P6*Ingresos!$A$23,'Flujo de caja mensual'!H18*((1+HLOOKUP('Flujo de caja mensual'!H$2,Ingresos!$S$8:$AC$10,3,0))^(1/12)))</f>
        <v>47835537.305362634</v>
      </c>
      <c r="J18" s="145">
        <f>IF(J$1=1,Ingresos!$P6*Ingresos!$A$23,'Flujo de caja mensual'!I18*((1+HLOOKUP('Flujo de caja mensual'!I$2,Ingresos!$S$8:$AC$10,3,0))^(1/12)))</f>
        <v>47953512.645060755</v>
      </c>
      <c r="K18" s="145">
        <f>IF(K$1=1,Ingresos!$P6*Ingresos!$A$23,'Flujo de caja mensual'!J18*((1+HLOOKUP('Flujo de caja mensual'!J$2,Ingresos!$S$8:$AC$10,3,0))^(1/12)))</f>
        <v>48071778.943773054</v>
      </c>
      <c r="L18" s="145">
        <f>IF(L$1=1,Ingresos!$P6*Ingresos!$A$23,'Flujo de caja mensual'!K18*((1+HLOOKUP('Flujo de caja mensual'!K$2,Ingresos!$S$8:$AC$10,3,0))^(1/12)))</f>
        <v>48190336.919082947</v>
      </c>
      <c r="M18" s="145">
        <f>IF(M$1=1,Ingresos!$P6*Ingresos!$A$23,'Flujo de caja mensual'!L18*((1+HLOOKUP('Flujo de caja mensual'!L$2,Ingresos!$S$8:$AC$10,3,0))^(1/12)))</f>
        <v>48309187.290343612</v>
      </c>
      <c r="N18" s="145">
        <f>IF(N$1=1,Ingresos!$P6*Ingresos!$A$23,'Flujo de caja mensual'!M18*((1+HLOOKUP('Flujo de caja mensual'!M$2,Ingresos!$S$8:$AC$10,3,0))^(1/12)))</f>
        <v>48428330.778682344</v>
      </c>
      <c r="O18" s="145">
        <f>IF(O$1=1,Ingresos!$P6*Ingresos!$A$23,'Flujo de caja mensual'!N18*((1+HLOOKUP('Flujo de caja mensual'!N$2,Ingresos!$S$8:$AC$10,3,0))^(1/12)))</f>
        <v>48547768.107004933</v>
      </c>
      <c r="P18" s="145">
        <f>IF(P$1=1,Ingresos!$P6*Ingresos!$A$23,'Flujo de caja mensual'!O18*((1+HLOOKUP('Flujo de caja mensual'!O$2,Ingresos!$S$8:$AC$10,3,0))^(1/12)))</f>
        <v>48667500.000000045</v>
      </c>
      <c r="Q18" s="145">
        <f>IF(Q$1=1,Ingresos!$P6*Ingresos!$A$23,'Flujo de caja mensual'!P18*((1+HLOOKUP('Flujo de caja mensual'!P$2,Ingresos!$S$8:$AC$10,3,0))^(1/12)))</f>
        <v>48787527.184143633</v>
      </c>
      <c r="R18" s="145">
        <f>IF(R$1=1,Ingresos!$P6*Ingresos!$A$23,'Flujo de caja mensual'!Q18*((1+HLOOKUP('Flujo de caja mensual'!Q$2,Ingresos!$S$8:$AC$10,3,0))^(1/12)))</f>
        <v>48907850.387703329</v>
      </c>
      <c r="S18" s="145">
        <f>IF(S$1=1,Ingresos!$P6*Ingresos!$A$23,'Flujo de caja mensual'!R18*((1+HLOOKUP('Flujo de caja mensual'!R$2,Ingresos!$S$8:$AC$10,3,0))^(1/12)))</f>
        <v>49028470.340742871</v>
      </c>
      <c r="T18" s="145">
        <f>IF(T$1=1,Ingresos!$P6*Ingresos!$A$23,'Flujo de caja mensual'!S18*((1+HLOOKUP('Flujo de caja mensual'!S$2,Ingresos!$S$8:$AC$10,3,0))^(1/12)))</f>
        <v>49149387.775126532</v>
      </c>
      <c r="U18" s="145">
        <f>IF(U$1=1,Ingresos!$P6*Ingresos!$A$23,'Flujo de caja mensual'!T18*((1+HLOOKUP('Flujo de caja mensual'!T$2,Ingresos!$S$8:$AC$10,3,0))^(1/12)))</f>
        <v>49270603.424523562</v>
      </c>
      <c r="V18" s="145">
        <f>IF(V$1=1,Ingresos!$P6*Ingresos!$A$23,'Flujo de caja mensual'!U18*((1+HLOOKUP('Flujo de caja mensual'!U$2,Ingresos!$S$8:$AC$10,3,0))^(1/12)))</f>
        <v>49392118.024412625</v>
      </c>
      <c r="W18" s="145">
        <f>IF(W$1=1,Ingresos!$P6*Ingresos!$A$23,'Flujo de caja mensual'!V18*((1+HLOOKUP('Flujo de caja mensual'!V$2,Ingresos!$S$8:$AC$10,3,0))^(1/12)))</f>
        <v>49513932.312086292</v>
      </c>
      <c r="X18" s="145">
        <f>IF(X$1=1,Ingresos!$P6*Ingresos!$A$23,'Flujo de caja mensual'!W18*((1+HLOOKUP('Flujo de caja mensual'!W$2,Ingresos!$S$8:$AC$10,3,0))^(1/12)))</f>
        <v>49636047.02665548</v>
      </c>
      <c r="Y18" s="145">
        <f>IF(Y$1=1,Ingresos!$P6*Ingresos!$A$23,'Flujo de caja mensual'!X18*((1+HLOOKUP('Flujo de caja mensual'!X$2,Ingresos!$S$8:$AC$10,3,0))^(1/12)))</f>
        <v>49758462.909053966</v>
      </c>
      <c r="Z18" s="145">
        <f>IF(Z$1=1,Ingresos!$P6*Ingresos!$A$23,'Flujo de caja mensual'!Y18*((1+HLOOKUP('Flujo de caja mensual'!Y$2,Ingresos!$S$8:$AC$10,3,0))^(1/12)))</f>
        <v>49881180.702042863</v>
      </c>
      <c r="AA18" s="145">
        <f>IF(AA$1=1,Ingresos!$P6*Ingresos!$A$23,'Flujo de caja mensual'!Z18*((1+HLOOKUP('Flujo de caja mensual'!Z$2,Ingresos!$S$8:$AC$10,3,0))^(1/12)))</f>
        <v>50004201.150215127</v>
      </c>
      <c r="AB18" s="145">
        <f>IF(AB$1=1,Ingresos!$P6*Ingresos!$A$23,'Flujo de caja mensual'!AA18*((1+HLOOKUP('Flujo de caja mensual'!AA$2,Ingresos!$S$8:$AC$10,3,0))^(1/12)))</f>
        <v>50127525.000000097</v>
      </c>
      <c r="AC18" s="145">
        <f>IF(AC$1=1,Ingresos!$P6*Ingresos!$A$23,'Flujo de caja mensual'!AB18*((1+HLOOKUP('Flujo de caja mensual'!AB$2,Ingresos!$S$8:$AC$10,3,0))^(1/12)))</f>
        <v>50251152.999667995</v>
      </c>
      <c r="AD18" s="145">
        <f>IF(AD$1=1,Ingresos!$P6*Ingresos!$A$23,'Flujo de caja mensual'!AC18*((1+HLOOKUP('Flujo de caja mensual'!AC$2,Ingresos!$S$8:$AC$10,3,0))^(1/12)))</f>
        <v>50375085.899334483</v>
      </c>
      <c r="AE18" s="145">
        <f>IF(AE$1=1,Ingresos!$P6*Ingresos!$A$23,'Flujo de caja mensual'!AD18*((1+HLOOKUP('Flujo de caja mensual'!AD$2,Ingresos!$S$8:$AC$10,3,0))^(1/12)))</f>
        <v>50499324.450965211</v>
      </c>
      <c r="AF18" s="145">
        <f>IF(AF$1=1,Ingresos!$P6*Ingresos!$A$23,'Flujo de caja mensual'!AE18*((1+HLOOKUP('Flujo de caja mensual'!AE$2,Ingresos!$S$8:$AC$10,3,0))^(1/12)))</f>
        <v>50623869.408380382</v>
      </c>
      <c r="AG18" s="145">
        <f>IF(AG$1=1,Ingresos!$P6*Ingresos!$A$23,'Flujo de caja mensual'!AF18*((1+HLOOKUP('Flujo de caja mensual'!AF$2,Ingresos!$S$8:$AC$10,3,0))^(1/12)))</f>
        <v>50748721.52725932</v>
      </c>
      <c r="AH18" s="145">
        <f>IF(AH$1=1,Ingresos!$P6*Ingresos!$A$23,'Flujo de caja mensual'!AG18*((1+HLOOKUP('Flujo de caja mensual'!AG$2,Ingresos!$S$8:$AC$10,3,0))^(1/12)))</f>
        <v>50873881.56514506</v>
      </c>
      <c r="AI18" s="145">
        <f>IF(AI$1=1,Ingresos!$P6*Ingresos!$A$23,'Flujo de caja mensual'!AH18*((1+HLOOKUP('Flujo de caja mensual'!AH$2,Ingresos!$S$8:$AC$10,3,0))^(1/12)))</f>
        <v>50999350.281448938</v>
      </c>
      <c r="AJ18" s="145">
        <f>IF(AJ$1=1,Ingresos!$P6*Ingresos!$A$23,'Flujo de caja mensual'!AI18*((1+HLOOKUP('Flujo de caja mensual'!AI$2,Ingresos!$S$8:$AC$10,3,0))^(1/12)))</f>
        <v>51125128.4374552</v>
      </c>
      <c r="AK18" s="145">
        <f>IF(AK$1=1,Ingresos!$P6*Ingresos!$A$23,'Flujo de caja mensual'!AJ18*((1+HLOOKUP('Flujo de caja mensual'!AJ$2,Ingresos!$S$8:$AC$10,3,0))^(1/12)))</f>
        <v>51251216.796325639</v>
      </c>
      <c r="AL18" s="145">
        <f>IF(AL$1=1,Ingresos!$P6*Ingresos!$A$23,'Flujo de caja mensual'!AK18*((1+HLOOKUP('Flujo de caja mensual'!AK$2,Ingresos!$S$8:$AC$10,3,0))^(1/12)))</f>
        <v>51377616.1231042</v>
      </c>
      <c r="AM18" s="145">
        <f>IF(AM$1=1,Ingresos!$P6*Ingresos!$A$23,'Flujo de caja mensual'!AL18*((1+HLOOKUP('Flujo de caja mensual'!AL$2,Ingresos!$S$8:$AC$10,3,0))^(1/12)))</f>
        <v>51504327.184721634</v>
      </c>
      <c r="AN18" s="145">
        <f>IF(AN$1=1,Ingresos!$P6*Ingresos!$A$23,'Flujo de caja mensual'!AM18*((1+HLOOKUP('Flujo de caja mensual'!AM$2,Ingresos!$S$8:$AC$10,3,0))^(1/12)))</f>
        <v>51631350.750000149</v>
      </c>
      <c r="AO18" s="145">
        <f>IF(AO$1=1,Ingresos!$P6*Ingresos!$A$23,'Flujo de caja mensual'!AN18*((1+HLOOKUP('Flujo de caja mensual'!AN$2,Ingresos!$S$8:$AC$10,3,0))^(1/12)))</f>
        <v>51758687.589658082</v>
      </c>
      <c r="AP18" s="145">
        <f>IF(AP$1=1,Ingresos!$P6*Ingresos!$A$23,'Flujo de caja mensual'!AO18*((1+HLOOKUP('Flujo de caja mensual'!AO$2,Ingresos!$S$8:$AC$10,3,0))^(1/12)))</f>
        <v>51886338.476314567</v>
      </c>
      <c r="AQ18" s="145">
        <f>IF(AQ$1=1,Ingresos!$P6*Ingresos!$A$23,'Flujo de caja mensual'!AP18*((1+HLOOKUP('Flujo de caja mensual'!AP$2,Ingresos!$S$8:$AC$10,3,0))^(1/12)))</f>
        <v>52014304.18449422</v>
      </c>
      <c r="AR18" s="145">
        <f>IF(AR$1=1,Ingresos!$P6*Ingresos!$A$23,'Flujo de caja mensual'!AQ18*((1+HLOOKUP('Flujo de caja mensual'!AQ$2,Ingresos!$S$8:$AC$10,3,0))^(1/12)))</f>
        <v>52142585.490631849</v>
      </c>
      <c r="AS18" s="145">
        <f>IF(AS$1=1,Ingresos!$P6*Ingresos!$A$23,'Flujo de caja mensual'!AR18*((1+HLOOKUP('Flujo de caja mensual'!AR$2,Ingresos!$S$8:$AC$10,3,0))^(1/12)))</f>
        <v>52271183.173077151</v>
      </c>
      <c r="AT18" s="145">
        <f>IF(AT$1=1,Ingresos!$P6*Ingresos!$A$23,'Flujo de caja mensual'!AS18*((1+HLOOKUP('Flujo de caja mensual'!AS$2,Ingresos!$S$8:$AC$10,3,0))^(1/12)))</f>
        <v>52400098.01209946</v>
      </c>
      <c r="AU18" s="145">
        <f>IF(AU$1=1,Ingresos!$P6*Ingresos!$A$23,'Flujo de caja mensual'!AT18*((1+HLOOKUP('Flujo de caja mensual'!AT$2,Ingresos!$S$8:$AC$10,3,0))^(1/12)))</f>
        <v>52529330.78989245</v>
      </c>
      <c r="AV18" s="145">
        <f>IF(AV$1=1,Ingresos!$P6*Ingresos!$A$23,'Flujo de caja mensual'!AU18*((1+HLOOKUP('Flujo de caja mensual'!AU$2,Ingresos!$S$8:$AC$10,3,0))^(1/12)))</f>
        <v>52658882.290578902</v>
      </c>
      <c r="AW18" s="145">
        <f>IF(AW$1=1,Ingresos!$P6*Ingresos!$A$23,'Flujo de caja mensual'!AV18*((1+HLOOKUP('Flujo de caja mensual'!AV$2,Ingresos!$S$8:$AC$10,3,0))^(1/12)))</f>
        <v>52788753.300215453</v>
      </c>
      <c r="AX18" s="145">
        <f>IF(AX$1=1,Ingresos!$P6*Ingresos!$A$23,'Flujo de caja mensual'!AW18*((1+HLOOKUP('Flujo de caja mensual'!AW$2,Ingresos!$S$8:$AC$10,3,0))^(1/12)))</f>
        <v>52918944.606797367</v>
      </c>
      <c r="AY18" s="145">
        <f>IF(AY$1=1,Ingresos!$P6*Ingresos!$A$23,'Flujo de caja mensual'!AX18*((1+HLOOKUP('Flujo de caja mensual'!AX$2,Ingresos!$S$8:$AC$10,3,0))^(1/12)))</f>
        <v>53049457.000263326</v>
      </c>
      <c r="AZ18" s="145">
        <f>IF(AZ$1=1,Ingresos!$P6*Ingresos!$A$23,'Flujo de caja mensual'!AY18*((1+HLOOKUP('Flujo de caja mensual'!AY$2,Ingresos!$S$8:$AC$10,3,0))^(1/12)))</f>
        <v>53180291.272500202</v>
      </c>
      <c r="BA18" s="145">
        <f>IF(BA$1=1,Ingresos!$P6*Ingresos!$A$23,'Flujo de caja mensual'!AZ18*((1+HLOOKUP('Flujo de caja mensual'!AZ$2,Ingresos!$S$8:$AC$10,3,0))^(1/12)))</f>
        <v>53311448.217347875</v>
      </c>
      <c r="BB18" s="145">
        <f>IF(BB$1=1,Ingresos!$P6*Ingresos!$A$23,'Flujo de caja mensual'!BA18*((1+HLOOKUP('Flujo de caja mensual'!BA$2,Ingresos!$S$8:$AC$10,3,0))^(1/12)))</f>
        <v>53442928.630604051</v>
      </c>
      <c r="BC18" s="145">
        <f>IF(BC$1=1,Ingresos!$P6*Ingresos!$A$23,'Flujo de caja mensual'!BB18*((1+HLOOKUP('Flujo de caja mensual'!BB$2,Ingresos!$S$8:$AC$10,3,0))^(1/12)))</f>
        <v>53574733.310029089</v>
      </c>
      <c r="BD18" s="145">
        <f>IF(BD$1=1,Ingresos!$P6*Ingresos!$A$23,'Flujo de caja mensual'!BC18*((1+HLOOKUP('Flujo de caja mensual'!BC$2,Ingresos!$S$8:$AC$10,3,0))^(1/12)))</f>
        <v>53706863.055350848</v>
      </c>
      <c r="BE18" s="145">
        <f>IF(BE$1=1,Ingresos!$P6*Ingresos!$A$23,'Flujo de caja mensual'!BD18*((1+HLOOKUP('Flujo de caja mensual'!BD$2,Ingresos!$S$8:$AC$10,3,0))^(1/12)))</f>
        <v>53839318.668269515</v>
      </c>
      <c r="BF18" s="145">
        <f>IF(BF$1=1,Ingresos!$P6*Ingresos!$A$23,'Flujo de caja mensual'!BE18*((1+HLOOKUP('Flujo de caja mensual'!BE$2,Ingresos!$S$8:$AC$10,3,0))^(1/12)))</f>
        <v>53972100.952462494</v>
      </c>
      <c r="BG18" s="145">
        <f>IF(BG$1=1,Ingresos!$P6*Ingresos!$A$23,'Flujo de caja mensual'!BF18*((1+HLOOKUP('Flujo de caja mensual'!BF$2,Ingresos!$S$8:$AC$10,3,0))^(1/12)))</f>
        <v>54105210.713589273</v>
      </c>
      <c r="BH18" s="145">
        <f>IF(BH$1=1,Ingresos!$P6*Ingresos!$A$23,'Flujo de caja mensual'!BG18*((1+HLOOKUP('Flujo de caja mensual'!BG$2,Ingresos!$S$8:$AC$10,3,0))^(1/12)))</f>
        <v>54238648.75929632</v>
      </c>
      <c r="BI18" s="145">
        <f>IF(BI$1=1,Ingresos!$P6*Ingresos!$A$23,'Flujo de caja mensual'!BH18*((1+HLOOKUP('Flujo de caja mensual'!BH$2,Ingresos!$S$8:$AC$10,3,0))^(1/12)))</f>
        <v>54372415.899221972</v>
      </c>
      <c r="BJ18" s="145">
        <f>IF(BJ$1=1,Ingresos!$P6*Ingresos!$A$23,'Flujo de caja mensual'!BI18*((1+HLOOKUP('Flujo de caja mensual'!BI$2,Ingresos!$S$8:$AC$10,3,0))^(1/12)))</f>
        <v>54506512.945001349</v>
      </c>
      <c r="BK18" s="145">
        <f>IF(BK$1=1,Ingresos!$P6*Ingresos!$A$23,'Flujo de caja mensual'!BJ18*((1+HLOOKUP('Flujo de caja mensual'!BJ$2,Ingresos!$S$8:$AC$10,3,0))^(1/12)))</f>
        <v>54640940.710271284</v>
      </c>
      <c r="BL18" s="145">
        <f>IF(BL$1=1,Ingresos!$P6*Ingresos!$A$23,'Flujo de caja mensual'!BK18*((1+HLOOKUP('Flujo de caja mensual'!BK$2,Ingresos!$S$8:$AC$10,3,0))^(1/12)))</f>
        <v>54775700.010675266</v>
      </c>
      <c r="BM18" s="145">
        <f>IF(BM$1=1,Ingresos!$P6*Ingresos!$A$23,'Flujo de caja mensual'!BL18*((1+HLOOKUP('Flujo de caja mensual'!BL$2,Ingresos!$S$8:$AC$10,3,0))^(1/12)))</f>
        <v>54910791.663868368</v>
      </c>
      <c r="BN18" s="145">
        <f>IF(BN$1=1,Ingresos!$P6*Ingresos!$A$23,'Flujo de caja mensual'!BM18*((1+HLOOKUP('Flujo de caja mensual'!BM$2,Ingresos!$S$8:$AC$10,3,0))^(1/12)))</f>
        <v>55046216.489522234</v>
      </c>
      <c r="BO18" s="145">
        <f>IF(BO$1=1,Ingresos!$P6*Ingresos!$A$23,'Flujo de caja mensual'!BN18*((1+HLOOKUP('Flujo de caja mensual'!BN$2,Ingresos!$S$8:$AC$10,3,0))^(1/12)))</f>
        <v>55181975.309330024</v>
      </c>
      <c r="BP18" s="145">
        <f>IF(BP$1=1,Ingresos!$P6*Ingresos!$A$23,'Flujo de caja mensual'!BO18*((1+HLOOKUP('Flujo de caja mensual'!BO$2,Ingresos!$S$8:$AC$10,3,0))^(1/12)))</f>
        <v>55318068.947011434</v>
      </c>
      <c r="BQ18" s="145">
        <f>IF(BQ$1=1,Ingresos!$P6*Ingresos!$A$23,'Flujo de caja mensual'!BP18*((1+HLOOKUP('Flujo de caja mensual'!BP$2,Ingresos!$S$8:$AC$10,3,0))^(1/12)))</f>
        <v>55454498.228317656</v>
      </c>
      <c r="BR18" s="145">
        <f>IF(BR$1=1,Ingresos!$P6*Ingresos!$A$23,'Flujo de caja mensual'!BQ18*((1+HLOOKUP('Flujo de caja mensual'!BQ$2,Ingresos!$S$8:$AC$10,3,0))^(1/12)))</f>
        <v>55591263.981036425</v>
      </c>
      <c r="BS18" s="145">
        <f>IF(BS$1=1,Ingresos!$P6*Ingresos!$A$23,'Flujo de caja mensual'!BR18*((1+HLOOKUP('Flujo de caja mensual'!BR$2,Ingresos!$S$8:$AC$10,3,0))^(1/12)))</f>
        <v>55728367.034997009</v>
      </c>
      <c r="BT18" s="145">
        <f>IF(BT$1=1,Ingresos!$P6*Ingresos!$A$23,'Flujo de caja mensual'!BS18*((1+HLOOKUP('Flujo de caja mensual'!BS$2,Ingresos!$S$8:$AC$10,3,0))^(1/12)))</f>
        <v>55865808.222075269</v>
      </c>
      <c r="BU18" s="145">
        <f>IF(BU$1=1,Ingresos!$P6*Ingresos!$A$23,'Flujo de caja mensual'!BT18*((1+HLOOKUP('Flujo de caja mensual'!BT$2,Ingresos!$S$8:$AC$10,3,0))^(1/12)))</f>
        <v>56003588.376198687</v>
      </c>
      <c r="BV18" s="145">
        <f>IF(BV$1=1,Ingresos!$P6*Ingresos!$A$23,'Flujo de caja mensual'!BU18*((1+HLOOKUP('Flujo de caja mensual'!BU$2,Ingresos!$S$8:$AC$10,3,0))^(1/12)))</f>
        <v>56141708.333351441</v>
      </c>
      <c r="BW18" s="145">
        <f>IF(BW$1=1,Ingresos!$P6*Ingresos!$A$23,'Flujo de caja mensual'!BV18*((1+HLOOKUP('Flujo de caja mensual'!BV$2,Ingresos!$S$8:$AC$10,3,0))^(1/12)))</f>
        <v>56280168.931579478</v>
      </c>
      <c r="BX18" s="145">
        <f>IF(BX$1=1,Ingresos!$P6*Ingresos!$A$23,'Flujo de caja mensual'!BW18*((1+HLOOKUP('Flujo de caja mensual'!BW$2,Ingresos!$S$8:$AC$10,3,0))^(1/12)))</f>
        <v>56418971.010995574</v>
      </c>
      <c r="BY18" s="145">
        <f>IF(BY$1=1,Ingresos!$P6*Ingresos!$A$23,'Flujo de caja mensual'!BX18*((1+HLOOKUP('Flujo de caja mensual'!BX$2,Ingresos!$S$8:$AC$10,3,0))^(1/12)))</f>
        <v>56558115.413784474</v>
      </c>
      <c r="BZ18" s="145">
        <f>IF(BZ$1=1,Ingresos!$P6*Ingresos!$A$23,'Flujo de caja mensual'!BY18*((1+HLOOKUP('Flujo de caja mensual'!BY$2,Ingresos!$S$8:$AC$10,3,0))^(1/12)))</f>
        <v>56697602.984207951</v>
      </c>
      <c r="CA18" s="145">
        <f>IF(CA$1=1,Ingresos!$P6*Ingresos!$A$23,'Flujo de caja mensual'!BZ18*((1+HLOOKUP('Flujo de caja mensual'!BZ$2,Ingresos!$S$8:$AC$10,3,0))^(1/12)))</f>
        <v>56837434.568609975</v>
      </c>
      <c r="CB18" s="145">
        <f>IF(CB$1=1,Ingresos!$P6*Ingresos!$A$23,'Flujo de caja mensual'!CA18*((1+HLOOKUP('Flujo de caja mensual'!CA$2,Ingresos!$S$8:$AC$10,3,0))^(1/12)))</f>
        <v>56977611.01542183</v>
      </c>
      <c r="CC18" s="145">
        <f>IF(CC$1=1,Ingresos!$P6*Ingresos!$A$23,'Flujo de caja mensual'!CB18*((1+HLOOKUP('Flujo de caja mensual'!CB$2,Ingresos!$S$8:$AC$10,3,0))^(1/12)))</f>
        <v>57118133.17516724</v>
      </c>
      <c r="CD18" s="145">
        <f>IF(CD$1=1,Ingresos!$P6*Ingresos!$A$23,'Flujo de caja mensual'!CC18*((1+HLOOKUP('Flujo de caja mensual'!CC$2,Ingresos!$S$8:$AC$10,3,0))^(1/12)))</f>
        <v>57259001.900467575</v>
      </c>
      <c r="CE18" s="145">
        <f>IF(CE$1=1,Ingresos!$P6*Ingresos!$A$23,'Flujo de caja mensual'!CD18*((1+HLOOKUP('Flujo de caja mensual'!CD$2,Ingresos!$S$8:$AC$10,3,0))^(1/12)))</f>
        <v>57400218.04604698</v>
      </c>
      <c r="CF18" s="145">
        <f>IF(CF$1=1,Ingresos!$P6*Ingresos!$A$23,'Flujo de caja mensual'!CE18*((1+HLOOKUP('Flujo de caja mensual'!CE$2,Ingresos!$S$8:$AC$10,3,0))^(1/12)))</f>
        <v>57541782.468737587</v>
      </c>
      <c r="CG18" s="145">
        <f>IF(CG$1=1,Ingresos!$P6*Ingresos!$A$23,'Flujo de caja mensual'!CF18*((1+HLOOKUP('Flujo de caja mensual'!CF$2,Ingresos!$S$8:$AC$10,3,0))^(1/12)))</f>
        <v>57683696.027484708</v>
      </c>
      <c r="CH18" s="145">
        <f>IF(CH$1=1,Ingresos!$P6*Ingresos!$A$23,'Flujo de caja mensual'!CG18*((1+HLOOKUP('Flujo de caja mensual'!CG$2,Ingresos!$S$8:$AC$10,3,0))^(1/12)))</f>
        <v>57825959.583352044</v>
      </c>
      <c r="CI18" s="145">
        <f>IF(CI$1=1,Ingresos!$P6*Ingresos!$A$23,'Flujo de caja mensual'!CH18*((1+HLOOKUP('Flujo de caja mensual'!CH$2,Ingresos!$S$8:$AC$10,3,0))^(1/12)))</f>
        <v>57968573.999526918</v>
      </c>
      <c r="CJ18" s="145">
        <f>IF(CJ$1=1,Ingresos!$P6*Ingresos!$A$23,'Flujo de caja mensual'!CI18*((1+HLOOKUP('Flujo de caja mensual'!CI$2,Ingresos!$S$8:$AC$10,3,0))^(1/12)))</f>
        <v>58111540.141325504</v>
      </c>
      <c r="CK18" s="145">
        <f>IF(CK$1=1,Ingresos!$P6*Ingresos!$A$23,'Flujo de caja mensual'!CJ18*((1+HLOOKUP('Flujo de caja mensual'!CJ$2,Ingresos!$S$8:$AC$10,3,0))^(1/12)))</f>
        <v>58254858.876198068</v>
      </c>
      <c r="CL18" s="145">
        <f>IF(CL$1=1,Ingresos!$P6*Ingresos!$A$23,'Flujo de caja mensual'!CK18*((1+HLOOKUP('Flujo de caja mensual'!CK$2,Ingresos!$S$8:$AC$10,3,0))^(1/12)))</f>
        <v>58398531.073734254</v>
      </c>
      <c r="CM18" s="145">
        <f>IF(CM$1=1,Ingresos!$P6*Ingresos!$A$23,'Flujo de caja mensual'!CL18*((1+HLOOKUP('Flujo de caja mensual'!CL$2,Ingresos!$S$8:$AC$10,3,0))^(1/12)))</f>
        <v>58542557.605668344</v>
      </c>
      <c r="CN18" s="145">
        <f>IF(CN$1=1,Ingresos!$P6*Ingresos!$A$23,'Flujo de caja mensual'!CM18*((1+HLOOKUP('Flujo de caja mensual'!CM$2,Ingresos!$S$8:$AC$10,3,0))^(1/12)))</f>
        <v>58686939.345884554</v>
      </c>
      <c r="CO18" s="145">
        <f>IF(CO$1=1,Ingresos!$P6*Ingresos!$A$23,'Flujo de caja mensual'!CN18*((1+HLOOKUP('Flujo de caja mensual'!CN$2,Ingresos!$S$8:$AC$10,3,0))^(1/12)))</f>
        <v>58831677.17042233</v>
      </c>
      <c r="CP18" s="145">
        <f>IF(CP$1=1,Ingresos!$P6*Ingresos!$A$23,'Flujo de caja mensual'!CO18*((1+HLOOKUP('Flujo de caja mensual'!CO$2,Ingresos!$S$8:$AC$10,3,0))^(1/12)))</f>
        <v>58976771.957481675</v>
      </c>
      <c r="CQ18" s="145">
        <f>IF(CQ$1=1,Ingresos!$P6*Ingresos!$A$23,'Flujo de caja mensual'!CP18*((1+HLOOKUP('Flujo de caja mensual'!CP$2,Ingresos!$S$8:$AC$10,3,0))^(1/12)))</f>
        <v>59122224.587428458</v>
      </c>
      <c r="CR18" s="145">
        <f>IF(CR$1=1,Ingresos!$P6*Ingresos!$A$23,'Flujo de caja mensual'!CQ18*((1+HLOOKUP('Flujo de caja mensual'!CQ$2,Ingresos!$S$8:$AC$10,3,0))^(1/12)))</f>
        <v>59268035.942799784</v>
      </c>
      <c r="CS18" s="145">
        <f>IF(CS$1=1,Ingresos!$P6*Ingresos!$A$23,'Flujo de caja mensual'!CR18*((1+HLOOKUP('Flujo de caja mensual'!CR$2,Ingresos!$S$8:$AC$10,3,0))^(1/12)))</f>
        <v>59414206.908309318</v>
      </c>
      <c r="CT18" s="145">
        <f>IF(CT$1=1,Ingresos!$P6*Ingresos!$A$23,'Flujo de caja mensual'!CS18*((1+HLOOKUP('Flujo de caja mensual'!CS$2,Ingresos!$S$8:$AC$10,3,0))^(1/12)))</f>
        <v>59560738.370852679</v>
      </c>
      <c r="CU18" s="145">
        <f>IF(CU$1=1,Ingresos!$P6*Ingresos!$A$23,'Flujo de caja mensual'!CT18*((1+HLOOKUP('Flujo de caja mensual'!CT$2,Ingresos!$S$8:$AC$10,3,0))^(1/12)))</f>
        <v>59707631.219512798</v>
      </c>
      <c r="CV18" s="145">
        <f>IF(CV$1=1,Ingresos!$P6*Ingresos!$A$23,'Flujo de caja mensual'!CU18*((1+HLOOKUP('Flujo de caja mensual'!CU$2,Ingresos!$S$8:$AC$10,3,0))^(1/12)))</f>
        <v>59854886.345565341</v>
      </c>
      <c r="CW18" s="145">
        <f>IF(CW$1=1,Ingresos!$P6*Ingresos!$A$23,'Flujo de caja mensual'!CV18*((1+HLOOKUP('Flujo de caja mensual'!CV$2,Ingresos!$S$8:$AC$10,3,0))^(1/12)))</f>
        <v>60002504.642484084</v>
      </c>
      <c r="CX18" s="145">
        <f>IF(CX$1=1,Ingresos!$P6*Ingresos!$A$23,'Flujo de caja mensual'!CW18*((1+HLOOKUP('Flujo de caja mensual'!CW$2,Ingresos!$S$8:$AC$10,3,0))^(1/12)))</f>
        <v>60150487.005946353</v>
      </c>
      <c r="CY18" s="145">
        <f>IF(CY$1=1,Ingresos!$P6*Ingresos!$A$23,'Flujo de caja mensual'!CX18*((1+HLOOKUP('Flujo de caja mensual'!CX$2,Ingresos!$S$8:$AC$10,3,0))^(1/12)))</f>
        <v>60298834.333838463</v>
      </c>
      <c r="CZ18" s="145">
        <f>IF(CZ$1=1,Ingresos!$P6*Ingresos!$A$23,'Flujo de caja mensual'!CY18*((1+HLOOKUP('Flujo de caja mensual'!CY$2,Ingresos!$S$8:$AC$10,3,0))^(1/12)))</f>
        <v>60447547.526261158</v>
      </c>
      <c r="DA18" s="145">
        <f>IF(DA$1=1,Ingresos!$P6*Ingresos!$A$23,'Flujo de caja mensual'!CZ18*((1+HLOOKUP('Flujo de caja mensual'!CZ$2,Ingresos!$S$8:$AC$10,3,0))^(1/12)))</f>
        <v>60596627.48553507</v>
      </c>
      <c r="DB18" s="145">
        <f>IF(DB$1=1,Ingresos!$P6*Ingresos!$A$23,'Flujo de caja mensual'!DA18*((1+HLOOKUP('Flujo de caja mensual'!DA$2,Ingresos!$S$8:$AC$10,3,0))^(1/12)))</f>
        <v>60746075.116206191</v>
      </c>
      <c r="DC18" s="145">
        <f>IF(DC$1=1,Ingresos!$P6*Ingresos!$A$23,'Flujo de caja mensual'!DB18*((1+HLOOKUP('Flujo de caja mensual'!DB$2,Ingresos!$S$8:$AC$10,3,0))^(1/12)))</f>
        <v>60895891.325051382</v>
      </c>
      <c r="DD18" s="145">
        <f>IF(DD$1=1,Ingresos!$P6*Ingresos!$A$23,'Flujo de caja mensual'!DC18*((1+HLOOKUP('Flujo de caja mensual'!DC$2,Ingresos!$S$8:$AC$10,3,0))^(1/12)))</f>
        <v>61046077.021083847</v>
      </c>
      <c r="DE18" s="145">
        <f>IF(DE$1=1,Ingresos!$P6*Ingresos!$A$23,'Flujo de caja mensual'!DD18*((1+HLOOKUP('Flujo de caja mensual'!DD$2,Ingresos!$S$8:$AC$10,3,0))^(1/12)))</f>
        <v>61196633.115558669</v>
      </c>
      <c r="DF18" s="145">
        <f>IF(DF$1=1,Ingresos!$P6*Ingresos!$A$23,'Flujo de caja mensual'!DE18*((1+HLOOKUP('Flujo de caja mensual'!DE$2,Ingresos!$S$8:$AC$10,3,0))^(1/12)))</f>
        <v>61347560.521978334</v>
      </c>
      <c r="DG18" s="145">
        <f>IF(DG$1=1,Ingresos!$P6*Ingresos!$A$23,'Flujo de caja mensual'!DF18*((1+HLOOKUP('Flujo de caja mensual'!DF$2,Ingresos!$S$8:$AC$10,3,0))^(1/12)))</f>
        <v>61498860.156098261</v>
      </c>
      <c r="DH18" s="145">
        <f>IF(DH$1=1,Ingresos!$P6*Ingresos!$A$23,'Flujo de caja mensual'!DG18*((1+HLOOKUP('Flujo de caja mensual'!DG$2,Ingresos!$S$8:$AC$10,3,0))^(1/12)))</f>
        <v>61650532.935932375</v>
      </c>
      <c r="DI18" s="145">
        <f>IF(DI$1=1,Ingresos!$P6*Ingresos!$A$23,'Flujo de caja mensual'!DH18*((1+HLOOKUP('Flujo de caja mensual'!DH$2,Ingresos!$S$8:$AC$10,3,0))^(1/12)))</f>
        <v>61802579.781758681</v>
      </c>
      <c r="DJ18" s="145">
        <f>IF(DJ$1=1,Ingresos!$P6*Ingresos!$A$23,'Flujo de caja mensual'!DI18*((1+HLOOKUP('Flujo de caja mensual'!DI$2,Ingresos!$S$8:$AC$10,3,0))^(1/12)))</f>
        <v>61955001.616124816</v>
      </c>
      <c r="DK18" s="145">
        <f>IF(DK$1=1,Ingresos!$P6*Ingresos!$A$23,'Flujo de caja mensual'!DJ18*((1+HLOOKUP('Flujo de caja mensual'!DJ$2,Ingresos!$S$8:$AC$10,3,0))^(1/12)))</f>
        <v>62107799.363853693</v>
      </c>
      <c r="DL18" s="145">
        <f>IF(DL$1=1,Ingresos!$P6*Ingresos!$A$23,'Flujo de caja mensual'!DK18*((1+HLOOKUP('Flujo de caja mensual'!DK$2,Ingresos!$S$8:$AC$10,3,0))^(1/12)))</f>
        <v>62260973.952049069</v>
      </c>
      <c r="DM18" s="145">
        <f>IF(DM$1=1,Ingresos!$P6*Ingresos!$A$23,'Flujo de caja mensual'!DL18*((1+HLOOKUP('Flujo de caja mensual'!DL$2,Ingresos!$S$8:$AC$10,3,0))^(1/12)))</f>
        <v>62414526.310101196</v>
      </c>
      <c r="DN18" s="145">
        <f>IF(DN$1=1,Ingresos!$P6*Ingresos!$A$23,'Flujo de caja mensual'!DM18*((1+HLOOKUP('Flujo de caja mensual'!DM$2,Ingresos!$S$8:$AC$10,3,0))^(1/12)))</f>
        <v>62568457.369692452</v>
      </c>
      <c r="DO18" s="145">
        <f>IF(DO$1=1,Ingresos!$P6*Ingresos!$A$23,'Flujo de caja mensual'!DN18*((1+HLOOKUP('Flujo de caja mensual'!DN$2,Ingresos!$S$8:$AC$10,3,0))^(1/12)))</f>
        <v>62722768.064802997</v>
      </c>
      <c r="DP18" s="145">
        <f>IF(DP$1=1,Ingresos!$P6*Ingresos!$A$23,'Flujo de caja mensual'!DO18*((1+HLOOKUP('Flujo de caja mensual'!DO$2,Ingresos!$S$8:$AC$10,3,0))^(1/12)))</f>
        <v>62877459.331716433</v>
      </c>
      <c r="DQ18" s="145">
        <f>IF(DQ$1=1,Ingresos!$P6*Ingresos!$A$23,'Flujo de caja mensual'!DP18*((1+HLOOKUP('Flujo de caja mensual'!DP$2,Ingresos!$S$8:$AC$10,3,0))^(1/12)))</f>
        <v>63032532.109025501</v>
      </c>
      <c r="DR18" s="145">
        <f>IF(DR$1=1,Ingresos!$P6*Ingresos!$A$23,'Flujo de caja mensual'!DQ18*((1+HLOOKUP('Flujo de caja mensual'!DQ$2,Ingresos!$S$8:$AC$10,3,0))^(1/12)))</f>
        <v>63187987.337637752</v>
      </c>
      <c r="DS18" s="145">
        <f>IF(DS$1=1,Ingresos!$P6*Ingresos!$A$23,'Flujo de caja mensual'!DR18*((1+HLOOKUP('Flujo de caja mensual'!DR$2,Ingresos!$S$8:$AC$10,3,0))^(1/12)))</f>
        <v>63343825.960781276</v>
      </c>
      <c r="DT18" s="145">
        <f>IF(DT$1=1,Ingresos!$P6*Ingresos!$A$23,'Flujo de caja mensual'!DS18*((1+HLOOKUP('Flujo de caja mensual'!DS$2,Ingresos!$S$8:$AC$10,3,0))^(1/12)))</f>
        <v>63500048.924010418</v>
      </c>
      <c r="DU18" s="145">
        <f>IF(DU$1=1,Ingresos!$P6*Ingresos!$A$23,'Flujo de caja mensual'!DT18*((1+HLOOKUP('Flujo de caja mensual'!DT$2,Ingresos!$S$8:$AC$10,3,0))^(1/12)))</f>
        <v>63656657.175211512</v>
      </c>
      <c r="DV18" s="145">
        <f>IF(DV$1=1,Ingresos!$P6*Ingresos!$A$23,'Flujo de caja mensual'!DU18*((1+HLOOKUP('Flujo de caja mensual'!DU$2,Ingresos!$S$8:$AC$10,3,0))^(1/12)))</f>
        <v>63813651.664608635</v>
      </c>
      <c r="DW18" s="145">
        <f>IF(DW$1=1,Ingresos!$P6*Ingresos!$A$23,'Flujo de caja mensual'!DV18*((1+HLOOKUP('Flujo de caja mensual'!DV$2,Ingresos!$S$8:$AC$10,3,0))^(1/12)))</f>
        <v>63971033.344769374</v>
      </c>
      <c r="DX18" s="145">
        <f>IF(DX$1=1,Ingresos!$P6*Ingresos!$A$23,'Flujo de caja mensual'!DW18*((1+HLOOKUP('Flujo de caja mensual'!DW$2,Ingresos!$S$8:$AC$10,3,0))^(1/12)))</f>
        <v>64128803.170610607</v>
      </c>
      <c r="DY18" s="145">
        <f>IF(DY$1=1,Ingresos!$P6*Ingresos!$A$23,'Flujo de caja mensual'!DX18*((1+HLOOKUP('Flujo de caja mensual'!DX$2,Ingresos!$S$8:$AC$10,3,0))^(1/12)))</f>
        <v>64286962.099404298</v>
      </c>
      <c r="DZ18" s="145">
        <f>IF(DZ$1=1,Ingresos!$P6*Ingresos!$A$23,'Flujo de caja mensual'!DY18*((1+HLOOKUP('Flujo de caja mensual'!DY$2,Ingresos!$S$8:$AC$10,3,0))^(1/12)))</f>
        <v>64445511.090783291</v>
      </c>
      <c r="EA18" s="145">
        <f>IF(EA$1=1,Ingresos!$P6*Ingresos!$A$23,'Flujo de caja mensual'!DZ18*((1+HLOOKUP('Flujo de caja mensual'!DZ$2,Ingresos!$S$8:$AC$10,3,0))^(1/12)))</f>
        <v>64604451.10674715</v>
      </c>
      <c r="EB18" s="145">
        <f>IF(EB$1=1,Ingresos!$P6*Ingresos!$A$23,'Flujo de caja mensual'!EA18*((1+HLOOKUP('Flujo de caja mensual'!EA$2,Ingresos!$S$8:$AC$10,3,0))^(1/12)))</f>
        <v>64763783.111667991</v>
      </c>
      <c r="EC18" s="145">
        <f>IF(EC$1=1,Ingresos!$P6*Ingresos!$A$23,'Flujo de caja mensual'!EB18*((1+HLOOKUP('Flujo de caja mensual'!EB$2,Ingresos!$S$8:$AC$10,3,0))^(1/12)))</f>
        <v>64923508.072296329</v>
      </c>
      <c r="ED18" s="145">
        <f>IF(ED$1=1,Ingresos!$P6*Ingresos!$A$23,'Flujo de caja mensual'!EC18*((1+HLOOKUP('Flujo de caja mensual'!EC$2,Ingresos!$S$8:$AC$10,3,0))^(1/12)))</f>
        <v>65083626.95776695</v>
      </c>
      <c r="EE18" s="146">
        <f>IF(EE$1=1,Ingresos!$P6*Ingresos!$A$23,'Flujo de caja mensual'!ED18*((1+HLOOKUP('Flujo de caja mensual'!ED$2,Ingresos!$S$8:$AC$10,3,0))^(1/12)))</f>
        <v>65244140.739604779</v>
      </c>
    </row>
    <row r="19" spans="1:135" x14ac:dyDescent="0.25">
      <c r="A19" s="152">
        <f>SUMIF($C$1:$EE$1,"&lt;="&amp;Resumen!$K$19,'Flujo de caja mensual'!C19:EE19)</f>
        <v>12299313318.761164</v>
      </c>
      <c r="B19" s="5" t="str">
        <f>Ingresos!O7</f>
        <v>Ingresos por cuarto util</v>
      </c>
      <c r="C19" s="144"/>
      <c r="D19" s="145">
        <f>IF(D$1=1,Ingresos!$P7*Ingresos!$A$23,'Flujo de caja mensual'!C19*((1+HLOOKUP('Flujo de caja mensual'!C$2,Ingresos!$S$8:$AC$10,3,0))^(1/12)))</f>
        <v>88199999.999999985</v>
      </c>
      <c r="E19" s="145">
        <f>IF(E$1=1,Ingresos!$P7*Ingresos!$A$23,'Flujo de caja mensual'!D19*((1+HLOOKUP('Flujo de caja mensual'!D$2,Ingresos!$S$8:$AC$10,3,0))^(1/12)))</f>
        <v>88417524.993917167</v>
      </c>
      <c r="F19" s="145">
        <f>IF(F$1=1,Ingresos!$P7*Ingresos!$A$23,'Flujo de caja mensual'!E19*((1+HLOOKUP('Flujo de caja mensual'!E$2,Ingresos!$S$8:$AC$10,3,0))^(1/12)))</f>
        <v>88635586.463151574</v>
      </c>
      <c r="G19" s="145">
        <f>IF(G$1=1,Ingresos!$P7*Ingresos!$A$23,'Flujo de caja mensual'!F19*((1+HLOOKUP('Flujo de caja mensual'!F$2,Ingresos!$S$8:$AC$10,3,0))^(1/12)))</f>
        <v>88854185.730796054</v>
      </c>
      <c r="H19" s="145">
        <f>IF(H$1=1,Ingresos!$P7*Ingresos!$A$23,'Flujo de caja mensual'!G19*((1+HLOOKUP('Flujo de caja mensual'!G$2,Ingresos!$S$8:$AC$10,3,0))^(1/12)))</f>
        <v>89073324.123206571</v>
      </c>
      <c r="I19" s="145">
        <f>IF(I$1=1,Ingresos!$P7*Ingresos!$A$23,'Flujo de caja mensual'!H19*((1+HLOOKUP('Flujo de caja mensual'!H$2,Ingresos!$S$8:$AC$10,3,0))^(1/12)))</f>
        <v>89293002.970010251</v>
      </c>
      <c r="J19" s="145">
        <f>IF(J$1=1,Ingresos!$P7*Ingresos!$A$23,'Flujo de caja mensual'!I19*((1+HLOOKUP('Flujo de caja mensual'!I$2,Ingresos!$S$8:$AC$10,3,0))^(1/12)))</f>
        <v>89513223.604113415</v>
      </c>
      <c r="K19" s="145">
        <f>IF(K$1=1,Ingresos!$P7*Ingresos!$A$23,'Flujo de caja mensual'!J19*((1+HLOOKUP('Flujo de caja mensual'!J$2,Ingresos!$S$8:$AC$10,3,0))^(1/12)))</f>
        <v>89733987.361709699</v>
      </c>
      <c r="L19" s="145">
        <f>IF(L$1=1,Ingresos!$P7*Ingresos!$A$23,'Flujo de caja mensual'!K19*((1+HLOOKUP('Flujo de caja mensual'!K$2,Ingresos!$S$8:$AC$10,3,0))^(1/12)))</f>
        <v>89955295.582288161</v>
      </c>
      <c r="M19" s="145">
        <f>IF(M$1=1,Ingresos!$P7*Ingresos!$A$23,'Flujo de caja mensual'!L19*((1+HLOOKUP('Flujo de caja mensual'!L$2,Ingresos!$S$8:$AC$10,3,0))^(1/12)))</f>
        <v>90177149.608641401</v>
      </c>
      <c r="N19" s="145">
        <f>IF(N$1=1,Ingresos!$P7*Ingresos!$A$23,'Flujo de caja mensual'!M19*((1+HLOOKUP('Flujo de caja mensual'!M$2,Ingresos!$S$8:$AC$10,3,0))^(1/12)))</f>
        <v>90399550.786873698</v>
      </c>
      <c r="O19" s="145">
        <f>IF(O$1=1,Ingresos!$P7*Ingresos!$A$23,'Flujo de caja mensual'!N19*((1+HLOOKUP('Flujo de caja mensual'!N$2,Ingresos!$S$8:$AC$10,3,0))^(1/12)))</f>
        <v>90622500.466409191</v>
      </c>
      <c r="P19" s="145">
        <f>IF(P$1=1,Ingresos!$P7*Ingresos!$A$23,'Flujo de caja mensual'!O19*((1+HLOOKUP('Flujo de caja mensual'!O$2,Ingresos!$S$8:$AC$10,3,0))^(1/12)))</f>
        <v>90846000.000000075</v>
      </c>
      <c r="Q19" s="145">
        <f>IF(Q$1=1,Ingresos!$P7*Ingresos!$A$23,'Flujo de caja mensual'!P19*((1+HLOOKUP('Flujo de caja mensual'!P$2,Ingresos!$S$8:$AC$10,3,0))^(1/12)))</f>
        <v>91070050.743734777</v>
      </c>
      <c r="R19" s="145">
        <f>IF(R$1=1,Ingresos!$P7*Ingresos!$A$23,'Flujo de caja mensual'!Q19*((1+HLOOKUP('Flujo de caja mensual'!Q$2,Ingresos!$S$8:$AC$10,3,0))^(1/12)))</f>
        <v>91294654.05704622</v>
      </c>
      <c r="S19" s="145">
        <f>IF(S$1=1,Ingresos!$P7*Ingresos!$A$23,'Flujo de caja mensual'!R19*((1+HLOOKUP('Flujo de caja mensual'!R$2,Ingresos!$S$8:$AC$10,3,0))^(1/12)))</f>
        <v>91519811.30272004</v>
      </c>
      <c r="T19" s="145">
        <f>IF(T$1=1,Ingresos!$P7*Ingresos!$A$23,'Flujo de caja mensual'!S19*((1+HLOOKUP('Flujo de caja mensual'!S$2,Ingresos!$S$8:$AC$10,3,0))^(1/12)))</f>
        <v>91745523.846902877</v>
      </c>
      <c r="U19" s="145">
        <f>IF(U$1=1,Ingresos!$P7*Ingresos!$A$23,'Flujo de caja mensual'!T19*((1+HLOOKUP('Flujo de caja mensual'!T$2,Ingresos!$S$8:$AC$10,3,0))^(1/12)))</f>
        <v>91971793.059110656</v>
      </c>
      <c r="V19" s="145">
        <f>IF(V$1=1,Ingresos!$P7*Ingresos!$A$23,'Flujo de caja mensual'!U19*((1+HLOOKUP('Flujo de caja mensual'!U$2,Ingresos!$S$8:$AC$10,3,0))^(1/12)))</f>
        <v>92198620.312236905</v>
      </c>
      <c r="W19" s="145">
        <f>IF(W$1=1,Ingresos!$P7*Ingresos!$A$23,'Flujo de caja mensual'!V19*((1+HLOOKUP('Flujo de caja mensual'!V$2,Ingresos!$S$8:$AC$10,3,0))^(1/12)))</f>
        <v>92426006.982561082</v>
      </c>
      <c r="X19" s="145">
        <f>IF(X$1=1,Ingresos!$P7*Ingresos!$A$23,'Flujo de caja mensual'!W19*((1+HLOOKUP('Flujo de caja mensual'!W$2,Ingresos!$S$8:$AC$10,3,0))^(1/12)))</f>
        <v>92653954.449756905</v>
      </c>
      <c r="Y19" s="145">
        <f>IF(Y$1=1,Ingresos!$P7*Ingresos!$A$23,'Flujo de caja mensual'!X19*((1+HLOOKUP('Flujo de caja mensual'!X$2,Ingresos!$S$8:$AC$10,3,0))^(1/12)))</f>
        <v>92882464.096900746</v>
      </c>
      <c r="Z19" s="145">
        <f>IF(Z$1=1,Ingresos!$P7*Ingresos!$A$23,'Flujo de caja mensual'!Y19*((1+HLOOKUP('Flujo de caja mensual'!Y$2,Ingresos!$S$8:$AC$10,3,0))^(1/12)))</f>
        <v>93111537.310480013</v>
      </c>
      <c r="AA19" s="145">
        <f>IF(AA$1=1,Ingresos!$P7*Ingresos!$A$23,'Flujo de caja mensual'!Z19*((1+HLOOKUP('Flujo de caja mensual'!Z$2,Ingresos!$S$8:$AC$10,3,0))^(1/12)))</f>
        <v>93341175.480401576</v>
      </c>
      <c r="AB19" s="145">
        <f>IF(AB$1=1,Ingresos!$P7*Ingresos!$A$23,'Flujo de caja mensual'!AA19*((1+HLOOKUP('Flujo de caja mensual'!AA$2,Ingresos!$S$8:$AC$10,3,0))^(1/12)))</f>
        <v>93571380.000000179</v>
      </c>
      <c r="AC19" s="145">
        <f>IF(AC$1=1,Ingresos!$P7*Ingresos!$A$23,'Flujo de caja mensual'!AB19*((1+HLOOKUP('Flujo de caja mensual'!AB$2,Ingresos!$S$8:$AC$10,3,0))^(1/12)))</f>
        <v>93802152.266046926</v>
      </c>
      <c r="AD19" s="145">
        <f>IF(AD$1=1,Ingresos!$P7*Ingresos!$A$23,'Flujo de caja mensual'!AC19*((1+HLOOKUP('Flujo de caja mensual'!AC$2,Ingresos!$S$8:$AC$10,3,0))^(1/12)))</f>
        <v>94033493.678757712</v>
      </c>
      <c r="AE19" s="145">
        <f>IF(AE$1=1,Ingresos!$P7*Ingresos!$A$23,'Flujo de caja mensual'!AD19*((1+HLOOKUP('Flujo de caja mensual'!AD$2,Ingresos!$S$8:$AC$10,3,0))^(1/12)))</f>
        <v>94265405.641801745</v>
      </c>
      <c r="AF19" s="145">
        <f>IF(AF$1=1,Ingresos!$P7*Ingresos!$A$23,'Flujo de caja mensual'!AE19*((1+HLOOKUP('Flujo de caja mensual'!AE$2,Ingresos!$S$8:$AC$10,3,0))^(1/12)))</f>
        <v>94497889.56231007</v>
      </c>
      <c r="AG19" s="145">
        <f>IF(AG$1=1,Ingresos!$P7*Ingresos!$A$23,'Flujo de caja mensual'!AF19*((1+HLOOKUP('Flujo de caja mensual'!AF$2,Ingresos!$S$8:$AC$10,3,0))^(1/12)))</f>
        <v>94730946.85088408</v>
      </c>
      <c r="AH19" s="145">
        <f>IF(AH$1=1,Ingresos!$P7*Ingresos!$A$23,'Flujo de caja mensual'!AG19*((1+HLOOKUP('Flujo de caja mensual'!AG$2,Ingresos!$S$8:$AC$10,3,0))^(1/12)))</f>
        <v>94964578.921604127</v>
      </c>
      <c r="AI19" s="145">
        <f>IF(AI$1=1,Ingresos!$P7*Ingresos!$A$23,'Flujo de caja mensual'!AH19*((1+HLOOKUP('Flujo de caja mensual'!AH$2,Ingresos!$S$8:$AC$10,3,0))^(1/12)))</f>
        <v>95198787.192038029</v>
      </c>
      <c r="AJ19" s="145">
        <f>IF(AJ$1=1,Ingresos!$P7*Ingresos!$A$23,'Flujo de caja mensual'!AI19*((1+HLOOKUP('Flujo de caja mensual'!AI$2,Ingresos!$S$8:$AC$10,3,0))^(1/12)))</f>
        <v>95433573.083249718</v>
      </c>
      <c r="AK19" s="145">
        <f>IF(AK$1=1,Ingresos!$P7*Ingresos!$A$23,'Flujo de caja mensual'!AJ19*((1+HLOOKUP('Flujo de caja mensual'!AJ$2,Ingresos!$S$8:$AC$10,3,0))^(1/12)))</f>
        <v>95668938.019807875</v>
      </c>
      <c r="AL19" s="145">
        <f>IF(AL$1=1,Ingresos!$P7*Ingresos!$A$23,'Flujo de caja mensual'!AK19*((1+HLOOKUP('Flujo de caja mensual'!AK$2,Ingresos!$S$8:$AC$10,3,0))^(1/12)))</f>
        <v>95904883.42979452</v>
      </c>
      <c r="AM19" s="145">
        <f>IF(AM$1=1,Ingresos!$P7*Ingresos!$A$23,'Flujo de caja mensual'!AL19*((1+HLOOKUP('Flujo de caja mensual'!AL$2,Ingresos!$S$8:$AC$10,3,0))^(1/12)))</f>
        <v>96141410.744813725</v>
      </c>
      <c r="AN19" s="145">
        <f>IF(AN$1=1,Ingresos!$P7*Ingresos!$A$23,'Flujo de caja mensual'!AM19*((1+HLOOKUP('Flujo de caja mensual'!AM$2,Ingresos!$S$8:$AC$10,3,0))^(1/12)))</f>
        <v>96378521.400000289</v>
      </c>
      <c r="AO19" s="145">
        <f>IF(AO$1=1,Ingresos!$P7*Ingresos!$A$23,'Flujo de caja mensual'!AN19*((1+HLOOKUP('Flujo de caja mensual'!AN$2,Ingresos!$S$8:$AC$10,3,0))^(1/12)))</f>
        <v>96616216.834028438</v>
      </c>
      <c r="AP19" s="145">
        <f>IF(AP$1=1,Ingresos!$P7*Ingresos!$A$23,'Flujo de caja mensual'!AO19*((1+HLOOKUP('Flujo de caja mensual'!AO$2,Ingresos!$S$8:$AC$10,3,0))^(1/12)))</f>
        <v>96854498.489120543</v>
      </c>
      <c r="AQ19" s="145">
        <f>IF(AQ$1=1,Ingresos!$P7*Ingresos!$A$23,'Flujo de caja mensual'!AP19*((1+HLOOKUP('Flujo de caja mensual'!AP$2,Ingresos!$S$8:$AC$10,3,0))^(1/12)))</f>
        <v>97093367.811055899</v>
      </c>
      <c r="AR19" s="145">
        <f>IF(AR$1=1,Ingresos!$P7*Ingresos!$A$23,'Flujo de caja mensual'!AQ19*((1+HLOOKUP('Flujo de caja mensual'!AQ$2,Ingresos!$S$8:$AC$10,3,0))^(1/12)))</f>
        <v>97332826.249179468</v>
      </c>
      <c r="AS19" s="145">
        <f>IF(AS$1=1,Ingresos!$P7*Ingresos!$A$23,'Flujo de caja mensual'!AR19*((1+HLOOKUP('Flujo de caja mensual'!AR$2,Ingresos!$S$8:$AC$10,3,0))^(1/12)))</f>
        <v>97572875.256410703</v>
      </c>
      <c r="AT19" s="145">
        <f>IF(AT$1=1,Ingresos!$P7*Ingresos!$A$23,'Flujo de caja mensual'!AS19*((1+HLOOKUP('Flujo de caja mensual'!AS$2,Ingresos!$S$8:$AC$10,3,0))^(1/12)))</f>
        <v>97813516.289252341</v>
      </c>
      <c r="AU19" s="145">
        <f>IF(AU$1=1,Ingresos!$P7*Ingresos!$A$23,'Flujo de caja mensual'!AT19*((1+HLOOKUP('Flujo de caja mensual'!AT$2,Ingresos!$S$8:$AC$10,3,0))^(1/12)))</f>
        <v>98054750.807799265</v>
      </c>
      <c r="AV19" s="145">
        <f>IF(AV$1=1,Ingresos!$P7*Ingresos!$A$23,'Flujo de caja mensual'!AU19*((1+HLOOKUP('Flujo de caja mensual'!AU$2,Ingresos!$S$8:$AC$10,3,0))^(1/12)))</f>
        <v>98296580.275747314</v>
      </c>
      <c r="AW19" s="145">
        <f>IF(AW$1=1,Ingresos!$P7*Ingresos!$A$23,'Flujo de caja mensual'!AV19*((1+HLOOKUP('Flujo de caja mensual'!AV$2,Ingresos!$S$8:$AC$10,3,0))^(1/12)))</f>
        <v>98539006.160402209</v>
      </c>
      <c r="AX19" s="145">
        <f>IF(AX$1=1,Ingresos!$P7*Ingresos!$A$23,'Flujo de caja mensual'!AW19*((1+HLOOKUP('Flujo de caja mensual'!AW$2,Ingresos!$S$8:$AC$10,3,0))^(1/12)))</f>
        <v>98782029.93268846</v>
      </c>
      <c r="AY19" s="145">
        <f>IF(AY$1=1,Ingresos!$P7*Ingresos!$A$23,'Flujo de caja mensual'!AX19*((1+HLOOKUP('Flujo de caja mensual'!AX$2,Ingresos!$S$8:$AC$10,3,0))^(1/12)))</f>
        <v>99025653.067158252</v>
      </c>
      <c r="AZ19" s="145">
        <f>IF(AZ$1=1,Ingresos!$P7*Ingresos!$A$23,'Flujo de caja mensual'!AY19*((1+HLOOKUP('Flujo de caja mensual'!AY$2,Ingresos!$S$8:$AC$10,3,0))^(1/12)))</f>
        <v>99269877.042000413</v>
      </c>
      <c r="BA19" s="145">
        <f>IF(BA$1=1,Ingresos!$P7*Ingresos!$A$23,'Flujo de caja mensual'!AZ19*((1+HLOOKUP('Flujo de caja mensual'!AZ$2,Ingresos!$S$8:$AC$10,3,0))^(1/12)))</f>
        <v>99514703.339049399</v>
      </c>
      <c r="BB19" s="145">
        <f>IF(BB$1=1,Ingresos!$P7*Ingresos!$A$23,'Flujo de caja mensual'!BA19*((1+HLOOKUP('Flujo de caja mensual'!BA$2,Ingresos!$S$8:$AC$10,3,0))^(1/12)))</f>
        <v>99760133.443794265</v>
      </c>
      <c r="BC19" s="145">
        <f>IF(BC$1=1,Ingresos!$P7*Ingresos!$A$23,'Flujo de caja mensual'!BB19*((1+HLOOKUP('Flujo de caja mensual'!BB$2,Ingresos!$S$8:$AC$10,3,0))^(1/12)))</f>
        <v>100006168.84538768</v>
      </c>
      <c r="BD19" s="145">
        <f>IF(BD$1=1,Ingresos!$P7*Ingresos!$A$23,'Flujo de caja mensual'!BC19*((1+HLOOKUP('Flujo de caja mensual'!BC$2,Ingresos!$S$8:$AC$10,3,0))^(1/12)))</f>
        <v>100252811.03665496</v>
      </c>
      <c r="BE19" s="145">
        <f>IF(BE$1=1,Ingresos!$P7*Ingresos!$A$23,'Flujo de caja mensual'!BD19*((1+HLOOKUP('Flujo de caja mensual'!BD$2,Ingresos!$S$8:$AC$10,3,0))^(1/12)))</f>
        <v>100500061.51410314</v>
      </c>
      <c r="BF19" s="145">
        <f>IF(BF$1=1,Ingresos!$P7*Ingresos!$A$23,'Flujo de caja mensual'!BE19*((1+HLOOKUP('Flujo de caja mensual'!BE$2,Ingresos!$S$8:$AC$10,3,0))^(1/12)))</f>
        <v>100747921.77793004</v>
      </c>
      <c r="BG19" s="145">
        <f>IF(BG$1=1,Ingresos!$P7*Ingresos!$A$23,'Flujo de caja mensual'!BF19*((1+HLOOKUP('Flujo de caja mensual'!BF$2,Ingresos!$S$8:$AC$10,3,0))^(1/12)))</f>
        <v>100996393.33203337</v>
      </c>
      <c r="BH19" s="145">
        <f>IF(BH$1=1,Ingresos!$P7*Ingresos!$A$23,'Flujo de caja mensual'!BG19*((1+HLOOKUP('Flujo de caja mensual'!BG$2,Ingresos!$S$8:$AC$10,3,0))^(1/12)))</f>
        <v>101245477.68401985</v>
      </c>
      <c r="BI19" s="145">
        <f>IF(BI$1=1,Ingresos!$P7*Ingresos!$A$23,'Flujo de caja mensual'!BH19*((1+HLOOKUP('Flujo de caja mensual'!BH$2,Ingresos!$S$8:$AC$10,3,0))^(1/12)))</f>
        <v>101495176.3452144</v>
      </c>
      <c r="BJ19" s="145">
        <f>IF(BJ$1=1,Ingresos!$P7*Ingresos!$A$23,'Flujo de caja mensual'!BI19*((1+HLOOKUP('Flujo de caja mensual'!BI$2,Ingresos!$S$8:$AC$10,3,0))^(1/12)))</f>
        <v>101745490.83066922</v>
      </c>
      <c r="BK19" s="145">
        <f>IF(BK$1=1,Ingresos!$P7*Ingresos!$A$23,'Flujo de caja mensual'!BJ19*((1+HLOOKUP('Flujo de caja mensual'!BJ$2,Ingresos!$S$8:$AC$10,3,0))^(1/12)))</f>
        <v>101996422.6591731</v>
      </c>
      <c r="BL19" s="145">
        <f>IF(BL$1=1,Ingresos!$P7*Ingresos!$A$23,'Flujo de caja mensual'!BK19*((1+HLOOKUP('Flujo de caja mensual'!BK$2,Ingresos!$S$8:$AC$10,3,0))^(1/12)))</f>
        <v>102247973.35326053</v>
      </c>
      <c r="BM19" s="145">
        <f>IF(BM$1=1,Ingresos!$P7*Ingresos!$A$23,'Flujo de caja mensual'!BL19*((1+HLOOKUP('Flujo de caja mensual'!BL$2,Ingresos!$S$8:$AC$10,3,0))^(1/12)))</f>
        <v>102500144.43922099</v>
      </c>
      <c r="BN19" s="145">
        <f>IF(BN$1=1,Ingresos!$P7*Ingresos!$A$23,'Flujo de caja mensual'!BM19*((1+HLOOKUP('Flujo de caja mensual'!BM$2,Ingresos!$S$8:$AC$10,3,0))^(1/12)))</f>
        <v>102752937.44710821</v>
      </c>
      <c r="BO19" s="145">
        <f>IF(BO$1=1,Ingresos!$P7*Ingresos!$A$23,'Flujo de caja mensual'!BN19*((1+HLOOKUP('Flujo de caja mensual'!BN$2,Ingresos!$S$8:$AC$10,3,0))^(1/12)))</f>
        <v>103006353.91074942</v>
      </c>
      <c r="BP19" s="145">
        <f>IF(BP$1=1,Ingresos!$P7*Ingresos!$A$23,'Flujo de caja mensual'!BO19*((1+HLOOKUP('Flujo de caja mensual'!BO$2,Ingresos!$S$8:$AC$10,3,0))^(1/12)))</f>
        <v>103260395.36775471</v>
      </c>
      <c r="BQ19" s="145">
        <f>IF(BQ$1=1,Ingresos!$P7*Ingresos!$A$23,'Flujo de caja mensual'!BP19*((1+HLOOKUP('Flujo de caja mensual'!BP$2,Ingresos!$S$8:$AC$10,3,0))^(1/12)))</f>
        <v>103515063.35952634</v>
      </c>
      <c r="BR19" s="145">
        <f>IF(BR$1=1,Ingresos!$P7*Ingresos!$A$23,'Flujo de caja mensual'!BQ19*((1+HLOOKUP('Flujo de caja mensual'!BQ$2,Ingresos!$S$8:$AC$10,3,0))^(1/12)))</f>
        <v>103770359.43126804</v>
      </c>
      <c r="BS19" s="145">
        <f>IF(BS$1=1,Ingresos!$P7*Ingresos!$A$23,'Flujo de caja mensual'!BR19*((1+HLOOKUP('Flujo de caja mensual'!BR$2,Ingresos!$S$8:$AC$10,3,0))^(1/12)))</f>
        <v>104026285.13199446</v>
      </c>
      <c r="BT19" s="145">
        <f>IF(BT$1=1,Ingresos!$P7*Ingresos!$A$23,'Flujo de caja mensual'!BS19*((1+HLOOKUP('Flujo de caja mensual'!BS$2,Ingresos!$S$8:$AC$10,3,0))^(1/12)))</f>
        <v>104282842.01454054</v>
      </c>
      <c r="BU19" s="145">
        <f>IF(BU$1=1,Ingresos!$P7*Ingresos!$A$23,'Flujo de caja mensual'!BT19*((1+HLOOKUP('Flujo de caja mensual'!BT$2,Ingresos!$S$8:$AC$10,3,0))^(1/12)))</f>
        <v>104540031.63557091</v>
      </c>
      <c r="BV19" s="145">
        <f>IF(BV$1=1,Ingresos!$P7*Ingresos!$A$23,'Flujo de caja mensual'!BU19*((1+HLOOKUP('Flujo de caja mensual'!BU$2,Ingresos!$S$8:$AC$10,3,0))^(1/12)))</f>
        <v>104797855.55558939</v>
      </c>
      <c r="BW19" s="145">
        <f>IF(BW$1=1,Ingresos!$P7*Ingresos!$A$23,'Flujo de caja mensual'!BV19*((1+HLOOKUP('Flujo de caja mensual'!BV$2,Ingresos!$S$8:$AC$10,3,0))^(1/12)))</f>
        <v>105056315.33894838</v>
      </c>
      <c r="BX19" s="145">
        <f>IF(BX$1=1,Ingresos!$P7*Ingresos!$A$23,'Flujo de caja mensual'!BW19*((1+HLOOKUP('Flujo de caja mensual'!BW$2,Ingresos!$S$8:$AC$10,3,0))^(1/12)))</f>
        <v>105315412.55385843</v>
      </c>
      <c r="BY19" s="145">
        <f>IF(BY$1=1,Ingresos!$P7*Ingresos!$A$23,'Flujo de caja mensual'!BX19*((1+HLOOKUP('Flujo de caja mensual'!BX$2,Ingresos!$S$8:$AC$10,3,0))^(1/12)))</f>
        <v>105575148.7723977</v>
      </c>
      <c r="BZ19" s="145">
        <f>IF(BZ$1=1,Ingresos!$P7*Ingresos!$A$23,'Flujo de caja mensual'!BY19*((1+HLOOKUP('Flujo de caja mensual'!BY$2,Ingresos!$S$8:$AC$10,3,0))^(1/12)))</f>
        <v>105835525.57052153</v>
      </c>
      <c r="CA19" s="145">
        <f>IF(CA$1=1,Ingresos!$P7*Ingresos!$A$23,'Flujo de caja mensual'!BZ19*((1+HLOOKUP('Flujo de caja mensual'!BZ$2,Ingresos!$S$8:$AC$10,3,0))^(1/12)))</f>
        <v>106096544.52807198</v>
      </c>
      <c r="CB19" s="145">
        <f>IF(CB$1=1,Ingresos!$P7*Ingresos!$A$23,'Flujo de caja mensual'!CA19*((1+HLOOKUP('Flujo de caja mensual'!CA$2,Ingresos!$S$8:$AC$10,3,0))^(1/12)))</f>
        <v>106358207.22878744</v>
      </c>
      <c r="CC19" s="145">
        <f>IF(CC$1=1,Ingresos!$P7*Ingresos!$A$23,'Flujo de caja mensual'!CB19*((1+HLOOKUP('Flujo de caja mensual'!CB$2,Ingresos!$S$8:$AC$10,3,0))^(1/12)))</f>
        <v>106620515.2603122</v>
      </c>
      <c r="CD19" s="145">
        <f>IF(CD$1=1,Ingresos!$P7*Ingresos!$A$23,'Flujo de caja mensual'!CC19*((1+HLOOKUP('Flujo de caja mensual'!CC$2,Ingresos!$S$8:$AC$10,3,0))^(1/12)))</f>
        <v>106883470.21420614</v>
      </c>
      <c r="CE19" s="145">
        <f>IF(CE$1=1,Ingresos!$P7*Ingresos!$A$23,'Flujo de caja mensual'!CD19*((1+HLOOKUP('Flujo de caja mensual'!CD$2,Ingresos!$S$8:$AC$10,3,0))^(1/12)))</f>
        <v>107147073.68595436</v>
      </c>
      <c r="CF19" s="145">
        <f>IF(CF$1=1,Ingresos!$P7*Ingresos!$A$23,'Flujo de caja mensual'!CE19*((1+HLOOKUP('Flujo de caja mensual'!CE$2,Ingresos!$S$8:$AC$10,3,0))^(1/12)))</f>
        <v>107411327.27497682</v>
      </c>
      <c r="CG19" s="145">
        <f>IF(CG$1=1,Ingresos!$P7*Ingresos!$A$23,'Flujo de caja mensual'!CF19*((1+HLOOKUP('Flujo de caja mensual'!CF$2,Ingresos!$S$8:$AC$10,3,0))^(1/12)))</f>
        <v>107676232.58463812</v>
      </c>
      <c r="CH19" s="145">
        <f>IF(CH$1=1,Ingresos!$P7*Ingresos!$A$23,'Flujo de caja mensual'!CG19*((1+HLOOKUP('Flujo de caja mensual'!CG$2,Ingresos!$S$8:$AC$10,3,0))^(1/12)))</f>
        <v>107941791.22225715</v>
      </c>
      <c r="CI19" s="145">
        <f>IF(CI$1=1,Ingresos!$P7*Ingresos!$A$23,'Flujo de caja mensual'!CH19*((1+HLOOKUP('Flujo de caja mensual'!CH$2,Ingresos!$S$8:$AC$10,3,0))^(1/12)))</f>
        <v>108208004.79911692</v>
      </c>
      <c r="CJ19" s="145">
        <f>IF(CJ$1=1,Ingresos!$P7*Ingresos!$A$23,'Flujo de caja mensual'!CI19*((1+HLOOKUP('Flujo de caja mensual'!CI$2,Ingresos!$S$8:$AC$10,3,0))^(1/12)))</f>
        <v>108474874.93047428</v>
      </c>
      <c r="CK19" s="145">
        <f>IF(CK$1=1,Ingresos!$P7*Ingresos!$A$23,'Flujo de caja mensual'!CJ19*((1+HLOOKUP('Flujo de caja mensual'!CJ$2,Ingresos!$S$8:$AC$10,3,0))^(1/12)))</f>
        <v>108742403.23556973</v>
      </c>
      <c r="CL19" s="145">
        <f>IF(CL$1=1,Ingresos!$P7*Ingresos!$A$23,'Flujo de caja mensual'!CK19*((1+HLOOKUP('Flujo de caja mensual'!CK$2,Ingresos!$S$8:$AC$10,3,0))^(1/12)))</f>
        <v>109010591.33763728</v>
      </c>
      <c r="CM19" s="145">
        <f>IF(CM$1=1,Ingresos!$P7*Ingresos!$A$23,'Flujo de caja mensual'!CL19*((1+HLOOKUP('Flujo de caja mensual'!CL$2,Ingresos!$S$8:$AC$10,3,0))^(1/12)))</f>
        <v>109279440.86391424</v>
      </c>
      <c r="CN19" s="145">
        <f>IF(CN$1=1,Ingresos!$P7*Ingresos!$A$23,'Flujo de caja mensual'!CM19*((1+HLOOKUP('Flujo de caja mensual'!CM$2,Ingresos!$S$8:$AC$10,3,0))^(1/12)))</f>
        <v>109548953.44565116</v>
      </c>
      <c r="CO19" s="145">
        <f>IF(CO$1=1,Ingresos!$P7*Ingresos!$A$23,'Flujo de caja mensual'!CN19*((1+HLOOKUP('Flujo de caja mensual'!CN$2,Ingresos!$S$8:$AC$10,3,0))^(1/12)))</f>
        <v>109819130.71812168</v>
      </c>
      <c r="CP19" s="145">
        <f>IF(CP$1=1,Ingresos!$P7*Ingresos!$A$23,'Flujo de caja mensual'!CO19*((1+HLOOKUP('Flujo de caja mensual'!CO$2,Ingresos!$S$8:$AC$10,3,0))^(1/12)))</f>
        <v>110089974.32063244</v>
      </c>
      <c r="CQ19" s="145">
        <f>IF(CQ$1=1,Ingresos!$P7*Ingresos!$A$23,'Flujo de caja mensual'!CP19*((1+HLOOKUP('Flujo de caja mensual'!CP$2,Ingresos!$S$8:$AC$10,3,0))^(1/12)))</f>
        <v>110361485.8965331</v>
      </c>
      <c r="CR19" s="145">
        <f>IF(CR$1=1,Ingresos!$P7*Ingresos!$A$23,'Flujo de caja mensual'!CQ19*((1+HLOOKUP('Flujo de caja mensual'!CQ$2,Ingresos!$S$8:$AC$10,3,0))^(1/12)))</f>
        <v>110633667.09322624</v>
      </c>
      <c r="CS19" s="145">
        <f>IF(CS$1=1,Ingresos!$P7*Ingresos!$A$23,'Flujo de caja mensual'!CR19*((1+HLOOKUP('Flujo de caja mensual'!CR$2,Ingresos!$S$8:$AC$10,3,0))^(1/12)))</f>
        <v>110906519.56217737</v>
      </c>
      <c r="CT19" s="145">
        <f>IF(CT$1=1,Ingresos!$P7*Ingresos!$A$23,'Flujo de caja mensual'!CS19*((1+HLOOKUP('Flujo de caja mensual'!CS$2,Ingresos!$S$8:$AC$10,3,0))^(1/12)))</f>
        <v>111180044.95892498</v>
      </c>
      <c r="CU19" s="145">
        <f>IF(CU$1=1,Ingresos!$P7*Ingresos!$A$23,'Flujo de caja mensual'!CT19*((1+HLOOKUP('Flujo de caja mensual'!CT$2,Ingresos!$S$8:$AC$10,3,0))^(1/12)))</f>
        <v>111454244.94309054</v>
      </c>
      <c r="CV19" s="145">
        <f>IF(CV$1=1,Ingresos!$P7*Ingresos!$A$23,'Flujo de caja mensual'!CU19*((1+HLOOKUP('Flujo de caja mensual'!CU$2,Ingresos!$S$8:$AC$10,3,0))^(1/12)))</f>
        <v>111729121.17838863</v>
      </c>
      <c r="CW19" s="145">
        <f>IF(CW$1=1,Ingresos!$P7*Ingresos!$A$23,'Flujo de caja mensual'!CV19*((1+HLOOKUP('Flujo de caja mensual'!CV$2,Ingresos!$S$8:$AC$10,3,0))^(1/12)))</f>
        <v>112004675.33263694</v>
      </c>
      <c r="CX19" s="145">
        <f>IF(CX$1=1,Ingresos!$P7*Ingresos!$A$23,'Flujo de caja mensual'!CW19*((1+HLOOKUP('Flujo de caja mensual'!CW$2,Ingresos!$S$8:$AC$10,3,0))^(1/12)))</f>
        <v>112280909.07776651</v>
      </c>
      <c r="CY19" s="145">
        <f>IF(CY$1=1,Ingresos!$P7*Ingresos!$A$23,'Flujo de caja mensual'!CX19*((1+HLOOKUP('Flujo de caja mensual'!CX$2,Ingresos!$S$8:$AC$10,3,0))^(1/12)))</f>
        <v>112557824.08983178</v>
      </c>
      <c r="CZ19" s="145">
        <f>IF(CZ$1=1,Ingresos!$P7*Ingresos!$A$23,'Flujo de caja mensual'!CY19*((1+HLOOKUP('Flujo de caja mensual'!CY$2,Ingresos!$S$8:$AC$10,3,0))^(1/12)))</f>
        <v>112835422.04902081</v>
      </c>
      <c r="DA19" s="145">
        <f>IF(DA$1=1,Ingresos!$P7*Ingresos!$A$23,'Flujo de caja mensual'!CZ19*((1+HLOOKUP('Flujo de caja mensual'!CZ$2,Ingresos!$S$8:$AC$10,3,0))^(1/12)))</f>
        <v>113113704.63966544</v>
      </c>
      <c r="DB19" s="145">
        <f>IF(DB$1=1,Ingresos!$P7*Ingresos!$A$23,'Flujo de caja mensual'!DA19*((1+HLOOKUP('Flujo de caja mensual'!DA$2,Ingresos!$S$8:$AC$10,3,0))^(1/12)))</f>
        <v>113392673.55025153</v>
      </c>
      <c r="DC19" s="145">
        <f>IF(DC$1=1,Ingresos!$P7*Ingresos!$A$23,'Flujo de caja mensual'!DB19*((1+HLOOKUP('Flujo de caja mensual'!DB$2,Ingresos!$S$8:$AC$10,3,0))^(1/12)))</f>
        <v>113672330.47342922</v>
      </c>
      <c r="DD19" s="145">
        <f>IF(DD$1=1,Ingresos!$P7*Ingresos!$A$23,'Flujo de caja mensual'!DC19*((1+HLOOKUP('Flujo de caja mensual'!DC$2,Ingresos!$S$8:$AC$10,3,0))^(1/12)))</f>
        <v>113952677.10602315</v>
      </c>
      <c r="DE19" s="145">
        <f>IF(DE$1=1,Ingresos!$P7*Ingresos!$A$23,'Flujo de caja mensual'!DD19*((1+HLOOKUP('Flujo de caja mensual'!DD$2,Ingresos!$S$8:$AC$10,3,0))^(1/12)))</f>
        <v>114233715.14904281</v>
      </c>
      <c r="DF19" s="145">
        <f>IF(DF$1=1,Ingresos!$P7*Ingresos!$A$23,'Flujo de caja mensual'!DE19*((1+HLOOKUP('Flujo de caja mensual'!DE$2,Ingresos!$S$8:$AC$10,3,0))^(1/12)))</f>
        <v>114515446.30769286</v>
      </c>
      <c r="DG19" s="145">
        <f>IF(DG$1=1,Ingresos!$P7*Ingresos!$A$23,'Flujo de caja mensual'!DF19*((1+HLOOKUP('Flujo de caja mensual'!DF$2,Ingresos!$S$8:$AC$10,3,0))^(1/12)))</f>
        <v>114797872.29138339</v>
      </c>
      <c r="DH19" s="145">
        <f>IF(DH$1=1,Ingresos!$P7*Ingresos!$A$23,'Flujo de caja mensual'!DG19*((1+HLOOKUP('Flujo de caja mensual'!DG$2,Ingresos!$S$8:$AC$10,3,0))^(1/12)))</f>
        <v>115080994.8137404</v>
      </c>
      <c r="DI19" s="145">
        <f>IF(DI$1=1,Ingresos!$P7*Ingresos!$A$23,'Flujo de caja mensual'!DH19*((1+HLOOKUP('Flujo de caja mensual'!DH$2,Ingresos!$S$8:$AC$10,3,0))^(1/12)))</f>
        <v>115364815.59261617</v>
      </c>
      <c r="DJ19" s="145">
        <f>IF(DJ$1=1,Ingresos!$P7*Ingresos!$A$23,'Flujo de caja mensual'!DI19*((1+HLOOKUP('Flujo de caja mensual'!DI$2,Ingresos!$S$8:$AC$10,3,0))^(1/12)))</f>
        <v>115649336.35009962</v>
      </c>
      <c r="DK19" s="145">
        <f>IF(DK$1=1,Ingresos!$P7*Ingresos!$A$23,'Flujo de caja mensual'!DJ19*((1+HLOOKUP('Flujo de caja mensual'!DJ$2,Ingresos!$S$8:$AC$10,3,0))^(1/12)))</f>
        <v>115934558.81252685</v>
      </c>
      <c r="DL19" s="145">
        <f>IF(DL$1=1,Ingresos!$P7*Ingresos!$A$23,'Flujo de caja mensual'!DK19*((1+HLOOKUP('Flujo de caja mensual'!DK$2,Ingresos!$S$8:$AC$10,3,0))^(1/12)))</f>
        <v>116220484.71049155</v>
      </c>
      <c r="DM19" s="145">
        <f>IF(DM$1=1,Ingresos!$P7*Ingresos!$A$23,'Flujo de caja mensual'!DL19*((1+HLOOKUP('Flujo de caja mensual'!DL$2,Ingresos!$S$8:$AC$10,3,0))^(1/12)))</f>
        <v>116507115.77885552</v>
      </c>
      <c r="DN19" s="145">
        <f>IF(DN$1=1,Ingresos!$P7*Ingresos!$A$23,'Flujo de caja mensual'!DM19*((1+HLOOKUP('Flujo de caja mensual'!DM$2,Ingresos!$S$8:$AC$10,3,0))^(1/12)))</f>
        <v>116794453.7567592</v>
      </c>
      <c r="DO19" s="145">
        <f>IF(DO$1=1,Ingresos!$P7*Ingresos!$A$23,'Flujo de caja mensual'!DN19*((1+HLOOKUP('Flujo de caja mensual'!DN$2,Ingresos!$S$8:$AC$10,3,0))^(1/12)))</f>
        <v>117082500.38763221</v>
      </c>
      <c r="DP19" s="145">
        <f>IF(DP$1=1,Ingresos!$P7*Ingresos!$A$23,'Flujo de caja mensual'!DO19*((1+HLOOKUP('Flujo de caja mensual'!DO$2,Ingresos!$S$8:$AC$10,3,0))^(1/12)))</f>
        <v>117371257.41920395</v>
      </c>
      <c r="DQ19" s="145">
        <f>IF(DQ$1=1,Ingresos!$P7*Ingresos!$A$23,'Flujo de caja mensual'!DP19*((1+HLOOKUP('Flujo de caja mensual'!DP$2,Ingresos!$S$8:$AC$10,3,0))^(1/12)))</f>
        <v>117660726.60351421</v>
      </c>
      <c r="DR19" s="145">
        <f>IF(DR$1=1,Ingresos!$P7*Ingresos!$A$23,'Flujo de caja mensual'!DQ19*((1+HLOOKUP('Flujo de caja mensual'!DQ$2,Ingresos!$S$8:$AC$10,3,0))^(1/12)))</f>
        <v>117950909.69692375</v>
      </c>
      <c r="DS19" s="145">
        <f>IF(DS$1=1,Ingresos!$P7*Ingresos!$A$23,'Flujo de caja mensual'!DR19*((1+HLOOKUP('Flujo de caja mensual'!DR$2,Ingresos!$S$8:$AC$10,3,0))^(1/12)))</f>
        <v>118241808.460125</v>
      </c>
      <c r="DT19" s="145">
        <f>IF(DT$1=1,Ingresos!$P7*Ingresos!$A$23,'Flujo de caja mensual'!DS19*((1+HLOOKUP('Flujo de caja mensual'!DS$2,Ingresos!$S$8:$AC$10,3,0))^(1/12)))</f>
        <v>118533424.65815273</v>
      </c>
      <c r="DU19" s="145">
        <f>IF(DU$1=1,Ingresos!$P7*Ingresos!$A$23,'Flujo de caja mensual'!DT19*((1+HLOOKUP('Flujo de caja mensual'!DT$2,Ingresos!$S$8:$AC$10,3,0))^(1/12)))</f>
        <v>118825760.06039476</v>
      </c>
      <c r="DV19" s="145">
        <f>IF(DV$1=1,Ingresos!$P7*Ingresos!$A$23,'Flujo de caja mensual'!DU19*((1+HLOOKUP('Flujo de caja mensual'!DU$2,Ingresos!$S$8:$AC$10,3,0))^(1/12)))</f>
        <v>119118816.44060272</v>
      </c>
      <c r="DW19" s="145">
        <f>IF(DW$1=1,Ingresos!$P7*Ingresos!$A$23,'Flujo de caja mensual'!DV19*((1+HLOOKUP('Flujo de caja mensual'!DV$2,Ingresos!$S$8:$AC$10,3,0))^(1/12)))</f>
        <v>119412595.57690278</v>
      </c>
      <c r="DX19" s="145">
        <f>IF(DX$1=1,Ingresos!$P7*Ingresos!$A$23,'Flujo de caja mensual'!DW19*((1+HLOOKUP('Flujo de caja mensual'!DW$2,Ingresos!$S$8:$AC$10,3,0))^(1/12)))</f>
        <v>119707099.25180642</v>
      </c>
      <c r="DY19" s="145">
        <f>IF(DY$1=1,Ingresos!$P7*Ingresos!$A$23,'Flujo de caja mensual'!DX19*((1+HLOOKUP('Flujo de caja mensual'!DX$2,Ingresos!$S$8:$AC$10,3,0))^(1/12)))</f>
        <v>120002329.25222132</v>
      </c>
      <c r="DZ19" s="145">
        <f>IF(DZ$1=1,Ingresos!$P7*Ingresos!$A$23,'Flujo de caja mensual'!DY19*((1+HLOOKUP('Flujo de caja mensual'!DY$2,Ingresos!$S$8:$AC$10,3,0))^(1/12)))</f>
        <v>120298287.3694621</v>
      </c>
      <c r="EA19" s="145">
        <f>IF(EA$1=1,Ingresos!$P7*Ingresos!$A$23,'Flujo de caja mensual'!DZ19*((1+HLOOKUP('Flujo de caja mensual'!DZ$2,Ingresos!$S$8:$AC$10,3,0))^(1/12)))</f>
        <v>120594975.39926131</v>
      </c>
      <c r="EB19" s="145">
        <f>IF(EB$1=1,Ingresos!$P7*Ingresos!$A$23,'Flujo de caja mensual'!EA19*((1+HLOOKUP('Flujo de caja mensual'!EA$2,Ingresos!$S$8:$AC$10,3,0))^(1/12)))</f>
        <v>120892395.14178021</v>
      </c>
      <c r="EC19" s="145">
        <f>IF(EC$1=1,Ingresos!$P7*Ingresos!$A$23,'Flujo de caja mensual'!EB19*((1+HLOOKUP('Flujo de caja mensual'!EB$2,Ingresos!$S$8:$AC$10,3,0))^(1/12)))</f>
        <v>121190548.40161978</v>
      </c>
      <c r="ED19" s="145">
        <f>IF(ED$1=1,Ingresos!$P7*Ingresos!$A$23,'Flujo de caja mensual'!EC19*((1+HLOOKUP('Flujo de caja mensual'!EC$2,Ingresos!$S$8:$AC$10,3,0))^(1/12)))</f>
        <v>121489436.98783159</v>
      </c>
      <c r="EE19" s="146">
        <f>IF(EE$1=1,Ingresos!$P7*Ingresos!$A$23,'Flujo de caja mensual'!ED19*((1+HLOOKUP('Flujo de caja mensual'!ED$2,Ingresos!$S$8:$AC$10,3,0))^(1/12)))</f>
        <v>121789062.71392888</v>
      </c>
    </row>
    <row r="20" spans="1:135" x14ac:dyDescent="0.25">
      <c r="A20" s="152">
        <f>SUMIF($C$1:$EE$1,"&lt;="&amp;Resumen!$K$19,'Flujo de caja mensual'!C20:EE20)</f>
        <v>0</v>
      </c>
      <c r="B20" s="5"/>
      <c r="C20" s="144"/>
      <c r="D20" s="145">
        <f>IF(D$1=1,Ingresos!$P8*Ingresos!$A$23,'Flujo de caja mensual'!C20*((1+HLOOKUP('Flujo de caja mensual'!C$2,Ingresos!$S$8:$AC$10,3,0))^(1/12)))</f>
        <v>0</v>
      </c>
      <c r="E20" s="145">
        <f>IF(E$1=1,Ingresos!$P8*Ingresos!$A$23,'Flujo de caja mensual'!D20*((1+HLOOKUP('Flujo de caja mensual'!D$2,Ingresos!$S$8:$AC$10,3,0))^(1/12)))</f>
        <v>0</v>
      </c>
      <c r="F20" s="145">
        <f>IF(F$1=1,Ingresos!$P8*Ingresos!$A$23,'Flujo de caja mensual'!E20*((1+HLOOKUP('Flujo de caja mensual'!E$2,Ingresos!$S$8:$AC$10,3,0))^(1/12)))</f>
        <v>0</v>
      </c>
      <c r="G20" s="145">
        <f>IF(G$1=1,Ingresos!$P8*Ingresos!$A$23,'Flujo de caja mensual'!F20*((1+HLOOKUP('Flujo de caja mensual'!F$2,Ingresos!$S$8:$AC$10,3,0))^(1/12)))</f>
        <v>0</v>
      </c>
      <c r="H20" s="145">
        <f>IF(H$1=1,Ingresos!$P8*Ingresos!$A$23,'Flujo de caja mensual'!G20*((1+HLOOKUP('Flujo de caja mensual'!G$2,Ingresos!$S$8:$AC$10,3,0))^(1/12)))</f>
        <v>0</v>
      </c>
      <c r="I20" s="145">
        <f>IF(I$1=1,Ingresos!$P8*Ingresos!$A$23,'Flujo de caja mensual'!H20*((1+HLOOKUP('Flujo de caja mensual'!H$2,Ingresos!$S$8:$AC$10,3,0))^(1/12)))</f>
        <v>0</v>
      </c>
      <c r="J20" s="145">
        <f>IF(J$1=1,Ingresos!$P8*Ingresos!$A$23,'Flujo de caja mensual'!I20*((1+HLOOKUP('Flujo de caja mensual'!I$2,Ingresos!$S$8:$AC$10,3,0))^(1/12)))</f>
        <v>0</v>
      </c>
      <c r="K20" s="145">
        <f>IF(K$1=1,Ingresos!$P8*Ingresos!$A$23,'Flujo de caja mensual'!J20*((1+HLOOKUP('Flujo de caja mensual'!J$2,Ingresos!$S$8:$AC$10,3,0))^(1/12)))</f>
        <v>0</v>
      </c>
      <c r="L20" s="145">
        <f>IF(L$1=1,Ingresos!$P8*Ingresos!$A$23,'Flujo de caja mensual'!K20*((1+HLOOKUP('Flujo de caja mensual'!K$2,Ingresos!$S$8:$AC$10,3,0))^(1/12)))</f>
        <v>0</v>
      </c>
      <c r="M20" s="145">
        <f>IF(M$1=1,Ingresos!$P8*Ingresos!$A$23,'Flujo de caja mensual'!L20*((1+HLOOKUP('Flujo de caja mensual'!L$2,Ingresos!$S$8:$AC$10,3,0))^(1/12)))</f>
        <v>0</v>
      </c>
      <c r="N20" s="145">
        <f>IF(N$1=1,Ingresos!$P8*Ingresos!$A$23,'Flujo de caja mensual'!M20*((1+HLOOKUP('Flujo de caja mensual'!M$2,Ingresos!$S$8:$AC$10,3,0))^(1/12)))</f>
        <v>0</v>
      </c>
      <c r="O20" s="145">
        <f>IF(O$1=1,Ingresos!$P8*Ingresos!$A$23,'Flujo de caja mensual'!N20*((1+HLOOKUP('Flujo de caja mensual'!N$2,Ingresos!$S$8:$AC$10,3,0))^(1/12)))</f>
        <v>0</v>
      </c>
      <c r="P20" s="145">
        <f>IF(P$1=1,Ingresos!$P8*Ingresos!$A$23,'Flujo de caja mensual'!O20*((1+HLOOKUP('Flujo de caja mensual'!O$2,Ingresos!$S$8:$AC$10,3,0))^(1/12)))</f>
        <v>0</v>
      </c>
      <c r="Q20" s="145">
        <f>IF(Q$1=1,Ingresos!$P8*Ingresos!$A$23,'Flujo de caja mensual'!P20*((1+HLOOKUP('Flujo de caja mensual'!P$2,Ingresos!$S$8:$AC$10,3,0))^(1/12)))</f>
        <v>0</v>
      </c>
      <c r="R20" s="145">
        <f>IF(R$1=1,Ingresos!$P8*Ingresos!$A$23,'Flujo de caja mensual'!Q20*((1+HLOOKUP('Flujo de caja mensual'!Q$2,Ingresos!$S$8:$AC$10,3,0))^(1/12)))</f>
        <v>0</v>
      </c>
      <c r="S20" s="145">
        <f>IF(S$1=1,Ingresos!$P8*Ingresos!$A$23,'Flujo de caja mensual'!R20*((1+HLOOKUP('Flujo de caja mensual'!R$2,Ingresos!$S$8:$AC$10,3,0))^(1/12)))</f>
        <v>0</v>
      </c>
      <c r="T20" s="145">
        <f>IF(T$1=1,Ingresos!$P8*Ingresos!$A$23,'Flujo de caja mensual'!S20*((1+HLOOKUP('Flujo de caja mensual'!S$2,Ingresos!$S$8:$AC$10,3,0))^(1/12)))</f>
        <v>0</v>
      </c>
      <c r="U20" s="145">
        <f>IF(U$1=1,Ingresos!$P8*Ingresos!$A$23,'Flujo de caja mensual'!T20*((1+HLOOKUP('Flujo de caja mensual'!T$2,Ingresos!$S$8:$AC$10,3,0))^(1/12)))</f>
        <v>0</v>
      </c>
      <c r="V20" s="145">
        <f>IF(V$1=1,Ingresos!$P8*Ingresos!$A$23,'Flujo de caja mensual'!U20*((1+HLOOKUP('Flujo de caja mensual'!U$2,Ingresos!$S$8:$AC$10,3,0))^(1/12)))</f>
        <v>0</v>
      </c>
      <c r="W20" s="145">
        <f>IF(W$1=1,Ingresos!$P8*Ingresos!$A$23,'Flujo de caja mensual'!V20*((1+HLOOKUP('Flujo de caja mensual'!V$2,Ingresos!$S$8:$AC$10,3,0))^(1/12)))</f>
        <v>0</v>
      </c>
      <c r="X20" s="145">
        <f>IF(X$1=1,Ingresos!$P8*Ingresos!$A$23,'Flujo de caja mensual'!W20*((1+HLOOKUP('Flujo de caja mensual'!W$2,Ingresos!$S$8:$AC$10,3,0))^(1/12)))</f>
        <v>0</v>
      </c>
      <c r="Y20" s="145">
        <f>IF(Y$1=1,Ingresos!$P8*Ingresos!$A$23,'Flujo de caja mensual'!X20*((1+HLOOKUP('Flujo de caja mensual'!X$2,Ingresos!$S$8:$AC$10,3,0))^(1/12)))</f>
        <v>0</v>
      </c>
      <c r="Z20" s="145">
        <f>IF(Z$1=1,Ingresos!$P8*Ingresos!$A$23,'Flujo de caja mensual'!Y20*((1+HLOOKUP('Flujo de caja mensual'!Y$2,Ingresos!$S$8:$AC$10,3,0))^(1/12)))</f>
        <v>0</v>
      </c>
      <c r="AA20" s="145">
        <f>IF(AA$1=1,Ingresos!$P8*Ingresos!$A$23,'Flujo de caja mensual'!Z20*((1+HLOOKUP('Flujo de caja mensual'!Z$2,Ingresos!$S$8:$AC$10,3,0))^(1/12)))</f>
        <v>0</v>
      </c>
      <c r="AB20" s="145">
        <f>IF(AB$1=1,Ingresos!$P8*Ingresos!$A$23,'Flujo de caja mensual'!AA20*((1+HLOOKUP('Flujo de caja mensual'!AA$2,Ingresos!$S$8:$AC$10,3,0))^(1/12)))</f>
        <v>0</v>
      </c>
      <c r="AC20" s="145">
        <f>IF(AC$1=1,Ingresos!$P8*Ingresos!$A$23,'Flujo de caja mensual'!AB20*((1+HLOOKUP('Flujo de caja mensual'!AB$2,Ingresos!$S$8:$AC$10,3,0))^(1/12)))</f>
        <v>0</v>
      </c>
      <c r="AD20" s="145">
        <f>IF(AD$1=1,Ingresos!$P8*Ingresos!$A$23,'Flujo de caja mensual'!AC20*((1+HLOOKUP('Flujo de caja mensual'!AC$2,Ingresos!$S$8:$AC$10,3,0))^(1/12)))</f>
        <v>0</v>
      </c>
      <c r="AE20" s="145">
        <f>IF(AE$1=1,Ingresos!$P8*Ingresos!$A$23,'Flujo de caja mensual'!AD20*((1+HLOOKUP('Flujo de caja mensual'!AD$2,Ingresos!$S$8:$AC$10,3,0))^(1/12)))</f>
        <v>0</v>
      </c>
      <c r="AF20" s="145">
        <f>IF(AF$1=1,Ingresos!$P8*Ingresos!$A$23,'Flujo de caja mensual'!AE20*((1+HLOOKUP('Flujo de caja mensual'!AE$2,Ingresos!$S$8:$AC$10,3,0))^(1/12)))</f>
        <v>0</v>
      </c>
      <c r="AG20" s="145">
        <f>IF(AG$1=1,Ingresos!$P8*Ingresos!$A$23,'Flujo de caja mensual'!AF20*((1+HLOOKUP('Flujo de caja mensual'!AF$2,Ingresos!$S$8:$AC$10,3,0))^(1/12)))</f>
        <v>0</v>
      </c>
      <c r="AH20" s="145">
        <f>IF(AH$1=1,Ingresos!$P8*Ingresos!$A$23,'Flujo de caja mensual'!AG20*((1+HLOOKUP('Flujo de caja mensual'!AG$2,Ingresos!$S$8:$AC$10,3,0))^(1/12)))</f>
        <v>0</v>
      </c>
      <c r="AI20" s="145">
        <f>IF(AI$1=1,Ingresos!$P8*Ingresos!$A$23,'Flujo de caja mensual'!AH20*((1+HLOOKUP('Flujo de caja mensual'!AH$2,Ingresos!$S$8:$AC$10,3,0))^(1/12)))</f>
        <v>0</v>
      </c>
      <c r="AJ20" s="145">
        <f>IF(AJ$1=1,Ingresos!$P8*Ingresos!$A$23,'Flujo de caja mensual'!AI20*((1+HLOOKUP('Flujo de caja mensual'!AI$2,Ingresos!$S$8:$AC$10,3,0))^(1/12)))</f>
        <v>0</v>
      </c>
      <c r="AK20" s="145">
        <f>IF(AK$1=1,Ingresos!$P8*Ingresos!$A$23,'Flujo de caja mensual'!AJ20*((1+HLOOKUP('Flujo de caja mensual'!AJ$2,Ingresos!$S$8:$AC$10,3,0))^(1/12)))</f>
        <v>0</v>
      </c>
      <c r="AL20" s="145">
        <f>IF(AL$1=1,Ingresos!$P8*Ingresos!$A$23,'Flujo de caja mensual'!AK20*((1+HLOOKUP('Flujo de caja mensual'!AK$2,Ingresos!$S$8:$AC$10,3,0))^(1/12)))</f>
        <v>0</v>
      </c>
      <c r="AM20" s="145">
        <f>IF(AM$1=1,Ingresos!$P8*Ingresos!$A$23,'Flujo de caja mensual'!AL20*((1+HLOOKUP('Flujo de caja mensual'!AL$2,Ingresos!$S$8:$AC$10,3,0))^(1/12)))</f>
        <v>0</v>
      </c>
      <c r="AN20" s="145">
        <f>IF(AN$1=1,Ingresos!$P8*Ingresos!$A$23,'Flujo de caja mensual'!AM20*((1+HLOOKUP('Flujo de caja mensual'!AM$2,Ingresos!$S$8:$AC$10,3,0))^(1/12)))</f>
        <v>0</v>
      </c>
      <c r="AO20" s="145">
        <f>IF(AO$1=1,Ingresos!$P8*Ingresos!$A$23,'Flujo de caja mensual'!AN20*((1+HLOOKUP('Flujo de caja mensual'!AN$2,Ingresos!$S$8:$AC$10,3,0))^(1/12)))</f>
        <v>0</v>
      </c>
      <c r="AP20" s="145">
        <f>IF(AP$1=1,Ingresos!$P8*Ingresos!$A$23,'Flujo de caja mensual'!AO20*((1+HLOOKUP('Flujo de caja mensual'!AO$2,Ingresos!$S$8:$AC$10,3,0))^(1/12)))</f>
        <v>0</v>
      </c>
      <c r="AQ20" s="145">
        <f>IF(AQ$1=1,Ingresos!$P8*Ingresos!$A$23,'Flujo de caja mensual'!AP20*((1+HLOOKUP('Flujo de caja mensual'!AP$2,Ingresos!$S$8:$AC$10,3,0))^(1/12)))</f>
        <v>0</v>
      </c>
      <c r="AR20" s="145">
        <f>IF(AR$1=1,Ingresos!$P8*Ingresos!$A$23,'Flujo de caja mensual'!AQ20*((1+HLOOKUP('Flujo de caja mensual'!AQ$2,Ingresos!$S$8:$AC$10,3,0))^(1/12)))</f>
        <v>0</v>
      </c>
      <c r="AS20" s="145">
        <f>IF(AS$1=1,Ingresos!$P8*Ingresos!$A$23,'Flujo de caja mensual'!AR20*((1+HLOOKUP('Flujo de caja mensual'!AR$2,Ingresos!$S$8:$AC$10,3,0))^(1/12)))</f>
        <v>0</v>
      </c>
      <c r="AT20" s="145">
        <f>IF(AT$1=1,Ingresos!$P8*Ingresos!$A$23,'Flujo de caja mensual'!AS20*((1+HLOOKUP('Flujo de caja mensual'!AS$2,Ingresos!$S$8:$AC$10,3,0))^(1/12)))</f>
        <v>0</v>
      </c>
      <c r="AU20" s="145">
        <f>IF(AU$1=1,Ingresos!$P8*Ingresos!$A$23,'Flujo de caja mensual'!AT20*((1+HLOOKUP('Flujo de caja mensual'!AT$2,Ingresos!$S$8:$AC$10,3,0))^(1/12)))</f>
        <v>0</v>
      </c>
      <c r="AV20" s="145">
        <f>IF(AV$1=1,Ingresos!$P8*Ingresos!$A$23,'Flujo de caja mensual'!AU20*((1+HLOOKUP('Flujo de caja mensual'!AU$2,Ingresos!$S$8:$AC$10,3,0))^(1/12)))</f>
        <v>0</v>
      </c>
      <c r="AW20" s="145">
        <f>IF(AW$1=1,Ingresos!$P8*Ingresos!$A$23,'Flujo de caja mensual'!AV20*((1+HLOOKUP('Flujo de caja mensual'!AV$2,Ingresos!$S$8:$AC$10,3,0))^(1/12)))</f>
        <v>0</v>
      </c>
      <c r="AX20" s="145">
        <f>IF(AX$1=1,Ingresos!$P8*Ingresos!$A$23,'Flujo de caja mensual'!AW20*((1+HLOOKUP('Flujo de caja mensual'!AW$2,Ingresos!$S$8:$AC$10,3,0))^(1/12)))</f>
        <v>0</v>
      </c>
      <c r="AY20" s="145">
        <f>IF(AY$1=1,Ingresos!$P8*Ingresos!$A$23,'Flujo de caja mensual'!AX20*((1+HLOOKUP('Flujo de caja mensual'!AX$2,Ingresos!$S$8:$AC$10,3,0))^(1/12)))</f>
        <v>0</v>
      </c>
      <c r="AZ20" s="145">
        <f>IF(AZ$1=1,Ingresos!$P8*Ingresos!$A$23,'Flujo de caja mensual'!AY20*((1+HLOOKUP('Flujo de caja mensual'!AY$2,Ingresos!$S$8:$AC$10,3,0))^(1/12)))</f>
        <v>0</v>
      </c>
      <c r="BA20" s="145">
        <f>IF(BA$1=1,Ingresos!$P8*Ingresos!$A$23,'Flujo de caja mensual'!AZ20*((1+HLOOKUP('Flujo de caja mensual'!AZ$2,Ingresos!$S$8:$AC$10,3,0))^(1/12)))</f>
        <v>0</v>
      </c>
      <c r="BB20" s="145">
        <f>IF(BB$1=1,Ingresos!$P8*Ingresos!$A$23,'Flujo de caja mensual'!BA20*((1+HLOOKUP('Flujo de caja mensual'!BA$2,Ingresos!$S$8:$AC$10,3,0))^(1/12)))</f>
        <v>0</v>
      </c>
      <c r="BC20" s="145">
        <f>IF(BC$1=1,Ingresos!$P8*Ingresos!$A$23,'Flujo de caja mensual'!BB20*((1+HLOOKUP('Flujo de caja mensual'!BB$2,Ingresos!$S$8:$AC$10,3,0))^(1/12)))</f>
        <v>0</v>
      </c>
      <c r="BD20" s="145">
        <f>IF(BD$1=1,Ingresos!$P8*Ingresos!$A$23,'Flujo de caja mensual'!BC20*((1+HLOOKUP('Flujo de caja mensual'!BC$2,Ingresos!$S$8:$AC$10,3,0))^(1/12)))</f>
        <v>0</v>
      </c>
      <c r="BE20" s="145">
        <f>IF(BE$1=1,Ingresos!$P8*Ingresos!$A$23,'Flujo de caja mensual'!BD20*((1+HLOOKUP('Flujo de caja mensual'!BD$2,Ingresos!$S$8:$AC$10,3,0))^(1/12)))</f>
        <v>0</v>
      </c>
      <c r="BF20" s="145">
        <f>IF(BF$1=1,Ingresos!$P8*Ingresos!$A$23,'Flujo de caja mensual'!BE20*((1+HLOOKUP('Flujo de caja mensual'!BE$2,Ingresos!$S$8:$AC$10,3,0))^(1/12)))</f>
        <v>0</v>
      </c>
      <c r="BG20" s="145">
        <f>IF(BG$1=1,Ingresos!$P8*Ingresos!$A$23,'Flujo de caja mensual'!BF20*((1+HLOOKUP('Flujo de caja mensual'!BF$2,Ingresos!$S$8:$AC$10,3,0))^(1/12)))</f>
        <v>0</v>
      </c>
      <c r="BH20" s="145">
        <f>IF(BH$1=1,Ingresos!$P8*Ingresos!$A$23,'Flujo de caja mensual'!BG20*((1+HLOOKUP('Flujo de caja mensual'!BG$2,Ingresos!$S$8:$AC$10,3,0))^(1/12)))</f>
        <v>0</v>
      </c>
      <c r="BI20" s="145">
        <f>IF(BI$1=1,Ingresos!$P8*Ingresos!$A$23,'Flujo de caja mensual'!BH20*((1+HLOOKUP('Flujo de caja mensual'!BH$2,Ingresos!$S$8:$AC$10,3,0))^(1/12)))</f>
        <v>0</v>
      </c>
      <c r="BJ20" s="145">
        <f>IF(BJ$1=1,Ingresos!$P8*Ingresos!$A$23,'Flujo de caja mensual'!BI20*((1+HLOOKUP('Flujo de caja mensual'!BI$2,Ingresos!$S$8:$AC$10,3,0))^(1/12)))</f>
        <v>0</v>
      </c>
      <c r="BK20" s="145">
        <f>IF(BK$1=1,Ingresos!$P8*Ingresos!$A$23,'Flujo de caja mensual'!BJ20*((1+HLOOKUP('Flujo de caja mensual'!BJ$2,Ingresos!$S$8:$AC$10,3,0))^(1/12)))</f>
        <v>0</v>
      </c>
      <c r="BL20" s="145">
        <f>IF(BL$1=1,Ingresos!$P8*Ingresos!$A$23,'Flujo de caja mensual'!BK20*((1+HLOOKUP('Flujo de caja mensual'!BK$2,Ingresos!$S$8:$AC$10,3,0))^(1/12)))</f>
        <v>0</v>
      </c>
      <c r="BM20" s="145">
        <f>IF(BM$1=1,Ingresos!$P8*Ingresos!$A$23,'Flujo de caja mensual'!BL20*((1+HLOOKUP('Flujo de caja mensual'!BL$2,Ingresos!$S$8:$AC$10,3,0))^(1/12)))</f>
        <v>0</v>
      </c>
      <c r="BN20" s="145">
        <f>IF(BN$1=1,Ingresos!$P8*Ingresos!$A$23,'Flujo de caja mensual'!BM20*((1+HLOOKUP('Flujo de caja mensual'!BM$2,Ingresos!$S$8:$AC$10,3,0))^(1/12)))</f>
        <v>0</v>
      </c>
      <c r="BO20" s="145">
        <f>IF(BO$1=1,Ingresos!$P8*Ingresos!$A$23,'Flujo de caja mensual'!BN20*((1+HLOOKUP('Flujo de caja mensual'!BN$2,Ingresos!$S$8:$AC$10,3,0))^(1/12)))</f>
        <v>0</v>
      </c>
      <c r="BP20" s="145">
        <f>IF(BP$1=1,Ingresos!$P8*Ingresos!$A$23,'Flujo de caja mensual'!BO20*((1+HLOOKUP('Flujo de caja mensual'!BO$2,Ingresos!$S$8:$AC$10,3,0))^(1/12)))</f>
        <v>0</v>
      </c>
      <c r="BQ20" s="145">
        <f>IF(BQ$1=1,Ingresos!$P8*Ingresos!$A$23,'Flujo de caja mensual'!BP20*((1+HLOOKUP('Flujo de caja mensual'!BP$2,Ingresos!$S$8:$AC$10,3,0))^(1/12)))</f>
        <v>0</v>
      </c>
      <c r="BR20" s="145">
        <f>IF(BR$1=1,Ingresos!$P8*Ingresos!$A$23,'Flujo de caja mensual'!BQ20*((1+HLOOKUP('Flujo de caja mensual'!BQ$2,Ingresos!$S$8:$AC$10,3,0))^(1/12)))</f>
        <v>0</v>
      </c>
      <c r="BS20" s="145">
        <f>IF(BS$1=1,Ingresos!$P8*Ingresos!$A$23,'Flujo de caja mensual'!BR20*((1+HLOOKUP('Flujo de caja mensual'!BR$2,Ingresos!$S$8:$AC$10,3,0))^(1/12)))</f>
        <v>0</v>
      </c>
      <c r="BT20" s="145">
        <f>IF(BT$1=1,Ingresos!$P8*Ingresos!$A$23,'Flujo de caja mensual'!BS20*((1+HLOOKUP('Flujo de caja mensual'!BS$2,Ingresos!$S$8:$AC$10,3,0))^(1/12)))</f>
        <v>0</v>
      </c>
      <c r="BU20" s="145">
        <f>IF(BU$1=1,Ingresos!$P8*Ingresos!$A$23,'Flujo de caja mensual'!BT20*((1+HLOOKUP('Flujo de caja mensual'!BT$2,Ingresos!$S$8:$AC$10,3,0))^(1/12)))</f>
        <v>0</v>
      </c>
      <c r="BV20" s="145">
        <f>IF(BV$1=1,Ingresos!$P8*Ingresos!$A$23,'Flujo de caja mensual'!BU20*((1+HLOOKUP('Flujo de caja mensual'!BU$2,Ingresos!$S$8:$AC$10,3,0))^(1/12)))</f>
        <v>0</v>
      </c>
      <c r="BW20" s="145">
        <f>IF(BW$1=1,Ingresos!$P8*Ingresos!$A$23,'Flujo de caja mensual'!BV20*((1+HLOOKUP('Flujo de caja mensual'!BV$2,Ingresos!$S$8:$AC$10,3,0))^(1/12)))</f>
        <v>0</v>
      </c>
      <c r="BX20" s="145">
        <f>IF(BX$1=1,Ingresos!$P8*Ingresos!$A$23,'Flujo de caja mensual'!BW20*((1+HLOOKUP('Flujo de caja mensual'!BW$2,Ingresos!$S$8:$AC$10,3,0))^(1/12)))</f>
        <v>0</v>
      </c>
      <c r="BY20" s="145">
        <f>IF(BY$1=1,Ingresos!$P8*Ingresos!$A$23,'Flujo de caja mensual'!BX20*((1+HLOOKUP('Flujo de caja mensual'!BX$2,Ingresos!$S$8:$AC$10,3,0))^(1/12)))</f>
        <v>0</v>
      </c>
      <c r="BZ20" s="145">
        <f>IF(BZ$1=1,Ingresos!$P8*Ingresos!$A$23,'Flujo de caja mensual'!BY20*((1+HLOOKUP('Flujo de caja mensual'!BY$2,Ingresos!$S$8:$AC$10,3,0))^(1/12)))</f>
        <v>0</v>
      </c>
      <c r="CA20" s="145">
        <f>IF(CA$1=1,Ingresos!$P8*Ingresos!$A$23,'Flujo de caja mensual'!BZ20*((1+HLOOKUP('Flujo de caja mensual'!BZ$2,Ingresos!$S$8:$AC$10,3,0))^(1/12)))</f>
        <v>0</v>
      </c>
      <c r="CB20" s="145">
        <f>IF(CB$1=1,Ingresos!$P8*Ingresos!$A$23,'Flujo de caja mensual'!CA20*((1+HLOOKUP('Flujo de caja mensual'!CA$2,Ingresos!$S$8:$AC$10,3,0))^(1/12)))</f>
        <v>0</v>
      </c>
      <c r="CC20" s="145">
        <f>IF(CC$1=1,Ingresos!$P8*Ingresos!$A$23,'Flujo de caja mensual'!CB20*((1+HLOOKUP('Flujo de caja mensual'!CB$2,Ingresos!$S$8:$AC$10,3,0))^(1/12)))</f>
        <v>0</v>
      </c>
      <c r="CD20" s="145">
        <f>IF(CD$1=1,Ingresos!$P8*Ingresos!$A$23,'Flujo de caja mensual'!CC20*((1+HLOOKUP('Flujo de caja mensual'!CC$2,Ingresos!$S$8:$AC$10,3,0))^(1/12)))</f>
        <v>0</v>
      </c>
      <c r="CE20" s="145">
        <f>IF(CE$1=1,Ingresos!$P8*Ingresos!$A$23,'Flujo de caja mensual'!CD20*((1+HLOOKUP('Flujo de caja mensual'!CD$2,Ingresos!$S$8:$AC$10,3,0))^(1/12)))</f>
        <v>0</v>
      </c>
      <c r="CF20" s="145">
        <f>IF(CF$1=1,Ingresos!$P8*Ingresos!$A$23,'Flujo de caja mensual'!CE20*((1+HLOOKUP('Flujo de caja mensual'!CE$2,Ingresos!$S$8:$AC$10,3,0))^(1/12)))</f>
        <v>0</v>
      </c>
      <c r="CG20" s="145">
        <f>IF(CG$1=1,Ingresos!$P8*Ingresos!$A$23,'Flujo de caja mensual'!CF20*((1+HLOOKUP('Flujo de caja mensual'!CF$2,Ingresos!$S$8:$AC$10,3,0))^(1/12)))</f>
        <v>0</v>
      </c>
      <c r="CH20" s="145">
        <f>IF(CH$1=1,Ingresos!$P8*Ingresos!$A$23,'Flujo de caja mensual'!CG20*((1+HLOOKUP('Flujo de caja mensual'!CG$2,Ingresos!$S$8:$AC$10,3,0))^(1/12)))</f>
        <v>0</v>
      </c>
      <c r="CI20" s="145">
        <f>IF(CI$1=1,Ingresos!$P8*Ingresos!$A$23,'Flujo de caja mensual'!CH20*((1+HLOOKUP('Flujo de caja mensual'!CH$2,Ingresos!$S$8:$AC$10,3,0))^(1/12)))</f>
        <v>0</v>
      </c>
      <c r="CJ20" s="145">
        <f>IF(CJ$1=1,Ingresos!$P8*Ingresos!$A$23,'Flujo de caja mensual'!CI20*((1+HLOOKUP('Flujo de caja mensual'!CI$2,Ingresos!$S$8:$AC$10,3,0))^(1/12)))</f>
        <v>0</v>
      </c>
      <c r="CK20" s="145">
        <f>IF(CK$1=1,Ingresos!$P8*Ingresos!$A$23,'Flujo de caja mensual'!CJ20*((1+HLOOKUP('Flujo de caja mensual'!CJ$2,Ingresos!$S$8:$AC$10,3,0))^(1/12)))</f>
        <v>0</v>
      </c>
      <c r="CL20" s="145">
        <f>IF(CL$1=1,Ingresos!$P8*Ingresos!$A$23,'Flujo de caja mensual'!CK20*((1+HLOOKUP('Flujo de caja mensual'!CK$2,Ingresos!$S$8:$AC$10,3,0))^(1/12)))</f>
        <v>0</v>
      </c>
      <c r="CM20" s="145">
        <f>IF(CM$1=1,Ingresos!$P8*Ingresos!$A$23,'Flujo de caja mensual'!CL20*((1+HLOOKUP('Flujo de caja mensual'!CL$2,Ingresos!$S$8:$AC$10,3,0))^(1/12)))</f>
        <v>0</v>
      </c>
      <c r="CN20" s="145">
        <f>IF(CN$1=1,Ingresos!$P8*Ingresos!$A$23,'Flujo de caja mensual'!CM20*((1+HLOOKUP('Flujo de caja mensual'!CM$2,Ingresos!$S$8:$AC$10,3,0))^(1/12)))</f>
        <v>0</v>
      </c>
      <c r="CO20" s="145">
        <f>IF(CO$1=1,Ingresos!$P8*Ingresos!$A$23,'Flujo de caja mensual'!CN20*((1+HLOOKUP('Flujo de caja mensual'!CN$2,Ingresos!$S$8:$AC$10,3,0))^(1/12)))</f>
        <v>0</v>
      </c>
      <c r="CP20" s="145">
        <f>IF(CP$1=1,Ingresos!$P8*Ingresos!$A$23,'Flujo de caja mensual'!CO20*((1+HLOOKUP('Flujo de caja mensual'!CO$2,Ingresos!$S$8:$AC$10,3,0))^(1/12)))</f>
        <v>0</v>
      </c>
      <c r="CQ20" s="145">
        <f>IF(CQ$1=1,Ingresos!$P8*Ingresos!$A$23,'Flujo de caja mensual'!CP20*((1+HLOOKUP('Flujo de caja mensual'!CP$2,Ingresos!$S$8:$AC$10,3,0))^(1/12)))</f>
        <v>0</v>
      </c>
      <c r="CR20" s="145">
        <f>IF(CR$1=1,Ingresos!$P8*Ingresos!$A$23,'Flujo de caja mensual'!CQ20*((1+HLOOKUP('Flujo de caja mensual'!CQ$2,Ingresos!$S$8:$AC$10,3,0))^(1/12)))</f>
        <v>0</v>
      </c>
      <c r="CS20" s="145">
        <f>IF(CS$1=1,Ingresos!$P8*Ingresos!$A$23,'Flujo de caja mensual'!CR20*((1+HLOOKUP('Flujo de caja mensual'!CR$2,Ingresos!$S$8:$AC$10,3,0))^(1/12)))</f>
        <v>0</v>
      </c>
      <c r="CT20" s="145">
        <f>IF(CT$1=1,Ingresos!$P8*Ingresos!$A$23,'Flujo de caja mensual'!CS20*((1+HLOOKUP('Flujo de caja mensual'!CS$2,Ingresos!$S$8:$AC$10,3,0))^(1/12)))</f>
        <v>0</v>
      </c>
      <c r="CU20" s="145">
        <f>IF(CU$1=1,Ingresos!$P8*Ingresos!$A$23,'Flujo de caja mensual'!CT20*((1+HLOOKUP('Flujo de caja mensual'!CT$2,Ingresos!$S$8:$AC$10,3,0))^(1/12)))</f>
        <v>0</v>
      </c>
      <c r="CV20" s="145">
        <f>IF(CV$1=1,Ingresos!$P8*Ingresos!$A$23,'Flujo de caja mensual'!CU20*((1+HLOOKUP('Flujo de caja mensual'!CU$2,Ingresos!$S$8:$AC$10,3,0))^(1/12)))</f>
        <v>0</v>
      </c>
      <c r="CW20" s="145">
        <f>IF(CW$1=1,Ingresos!$P8*Ingresos!$A$23,'Flujo de caja mensual'!CV20*((1+HLOOKUP('Flujo de caja mensual'!CV$2,Ingresos!$S$8:$AC$10,3,0))^(1/12)))</f>
        <v>0</v>
      </c>
      <c r="CX20" s="145">
        <f>IF(CX$1=1,Ingresos!$P8*Ingresos!$A$23,'Flujo de caja mensual'!CW20*((1+HLOOKUP('Flujo de caja mensual'!CW$2,Ingresos!$S$8:$AC$10,3,0))^(1/12)))</f>
        <v>0</v>
      </c>
      <c r="CY20" s="145">
        <f>IF(CY$1=1,Ingresos!$P8*Ingresos!$A$23,'Flujo de caja mensual'!CX20*((1+HLOOKUP('Flujo de caja mensual'!CX$2,Ingresos!$S$8:$AC$10,3,0))^(1/12)))</f>
        <v>0</v>
      </c>
      <c r="CZ20" s="145">
        <f>IF(CZ$1=1,Ingresos!$P8*Ingresos!$A$23,'Flujo de caja mensual'!CY20*((1+HLOOKUP('Flujo de caja mensual'!CY$2,Ingresos!$S$8:$AC$10,3,0))^(1/12)))</f>
        <v>0</v>
      </c>
      <c r="DA20" s="145">
        <f>IF(DA$1=1,Ingresos!$P8*Ingresos!$A$23,'Flujo de caja mensual'!CZ20*((1+HLOOKUP('Flujo de caja mensual'!CZ$2,Ingresos!$S$8:$AC$10,3,0))^(1/12)))</f>
        <v>0</v>
      </c>
      <c r="DB20" s="145">
        <f>IF(DB$1=1,Ingresos!$P8*Ingresos!$A$23,'Flujo de caja mensual'!DA20*((1+HLOOKUP('Flujo de caja mensual'!DA$2,Ingresos!$S$8:$AC$10,3,0))^(1/12)))</f>
        <v>0</v>
      </c>
      <c r="DC20" s="145">
        <f>IF(DC$1=1,Ingresos!$P8*Ingresos!$A$23,'Flujo de caja mensual'!DB20*((1+HLOOKUP('Flujo de caja mensual'!DB$2,Ingresos!$S$8:$AC$10,3,0))^(1/12)))</f>
        <v>0</v>
      </c>
      <c r="DD20" s="145">
        <f>IF(DD$1=1,Ingresos!$P8*Ingresos!$A$23,'Flujo de caja mensual'!DC20*((1+HLOOKUP('Flujo de caja mensual'!DC$2,Ingresos!$S$8:$AC$10,3,0))^(1/12)))</f>
        <v>0</v>
      </c>
      <c r="DE20" s="145">
        <f>IF(DE$1=1,Ingresos!$P8*Ingresos!$A$23,'Flujo de caja mensual'!DD20*((1+HLOOKUP('Flujo de caja mensual'!DD$2,Ingresos!$S$8:$AC$10,3,0))^(1/12)))</f>
        <v>0</v>
      </c>
      <c r="DF20" s="145">
        <f>IF(DF$1=1,Ingresos!$P8*Ingresos!$A$23,'Flujo de caja mensual'!DE20*((1+HLOOKUP('Flujo de caja mensual'!DE$2,Ingresos!$S$8:$AC$10,3,0))^(1/12)))</f>
        <v>0</v>
      </c>
      <c r="DG20" s="145">
        <f>IF(DG$1=1,Ingresos!$P8*Ingresos!$A$23,'Flujo de caja mensual'!DF20*((1+HLOOKUP('Flujo de caja mensual'!DF$2,Ingresos!$S$8:$AC$10,3,0))^(1/12)))</f>
        <v>0</v>
      </c>
      <c r="DH20" s="145">
        <f>IF(DH$1=1,Ingresos!$P8*Ingresos!$A$23,'Flujo de caja mensual'!DG20*((1+HLOOKUP('Flujo de caja mensual'!DG$2,Ingresos!$S$8:$AC$10,3,0))^(1/12)))</f>
        <v>0</v>
      </c>
      <c r="DI20" s="145">
        <f>IF(DI$1=1,Ingresos!$P8*Ingresos!$A$23,'Flujo de caja mensual'!DH20*((1+HLOOKUP('Flujo de caja mensual'!DH$2,Ingresos!$S$8:$AC$10,3,0))^(1/12)))</f>
        <v>0</v>
      </c>
      <c r="DJ20" s="145">
        <f>IF(DJ$1=1,Ingresos!$P8*Ingresos!$A$23,'Flujo de caja mensual'!DI20*((1+HLOOKUP('Flujo de caja mensual'!DI$2,Ingresos!$S$8:$AC$10,3,0))^(1/12)))</f>
        <v>0</v>
      </c>
      <c r="DK20" s="145">
        <f>IF(DK$1=1,Ingresos!$P8*Ingresos!$A$23,'Flujo de caja mensual'!DJ20*((1+HLOOKUP('Flujo de caja mensual'!DJ$2,Ingresos!$S$8:$AC$10,3,0))^(1/12)))</f>
        <v>0</v>
      </c>
      <c r="DL20" s="145">
        <f>IF(DL$1=1,Ingresos!$P8*Ingresos!$A$23,'Flujo de caja mensual'!DK20*((1+HLOOKUP('Flujo de caja mensual'!DK$2,Ingresos!$S$8:$AC$10,3,0))^(1/12)))</f>
        <v>0</v>
      </c>
      <c r="DM20" s="145">
        <f>IF(DM$1=1,Ingresos!$P8*Ingresos!$A$23,'Flujo de caja mensual'!DL20*((1+HLOOKUP('Flujo de caja mensual'!DL$2,Ingresos!$S$8:$AC$10,3,0))^(1/12)))</f>
        <v>0</v>
      </c>
      <c r="DN20" s="145">
        <f>IF(DN$1=1,Ingresos!$P8*Ingresos!$A$23,'Flujo de caja mensual'!DM20*((1+HLOOKUP('Flujo de caja mensual'!DM$2,Ingresos!$S$8:$AC$10,3,0))^(1/12)))</f>
        <v>0</v>
      </c>
      <c r="DO20" s="145">
        <f>IF(DO$1=1,Ingresos!$P8*Ingresos!$A$23,'Flujo de caja mensual'!DN20*((1+HLOOKUP('Flujo de caja mensual'!DN$2,Ingresos!$S$8:$AC$10,3,0))^(1/12)))</f>
        <v>0</v>
      </c>
      <c r="DP20" s="145">
        <f>IF(DP$1=1,Ingresos!$P8*Ingresos!$A$23,'Flujo de caja mensual'!DO20*((1+HLOOKUP('Flujo de caja mensual'!DO$2,Ingresos!$S$8:$AC$10,3,0))^(1/12)))</f>
        <v>0</v>
      </c>
      <c r="DQ20" s="145">
        <f>IF(DQ$1=1,Ingresos!$P8*Ingresos!$A$23,'Flujo de caja mensual'!DP20*((1+HLOOKUP('Flujo de caja mensual'!DP$2,Ingresos!$S$8:$AC$10,3,0))^(1/12)))</f>
        <v>0</v>
      </c>
      <c r="DR20" s="145">
        <f>IF(DR$1=1,Ingresos!$P8*Ingresos!$A$23,'Flujo de caja mensual'!DQ20*((1+HLOOKUP('Flujo de caja mensual'!DQ$2,Ingresos!$S$8:$AC$10,3,0))^(1/12)))</f>
        <v>0</v>
      </c>
      <c r="DS20" s="145">
        <f>IF(DS$1=1,Ingresos!$P8*Ingresos!$A$23,'Flujo de caja mensual'!DR20*((1+HLOOKUP('Flujo de caja mensual'!DR$2,Ingresos!$S$8:$AC$10,3,0))^(1/12)))</f>
        <v>0</v>
      </c>
      <c r="DT20" s="145">
        <f>IF(DT$1=1,Ingresos!$P8*Ingresos!$A$23,'Flujo de caja mensual'!DS20*((1+HLOOKUP('Flujo de caja mensual'!DS$2,Ingresos!$S$8:$AC$10,3,0))^(1/12)))</f>
        <v>0</v>
      </c>
      <c r="DU20" s="145">
        <f>IF(DU$1=1,Ingresos!$P8*Ingresos!$A$23,'Flujo de caja mensual'!DT20*((1+HLOOKUP('Flujo de caja mensual'!DT$2,Ingresos!$S$8:$AC$10,3,0))^(1/12)))</f>
        <v>0</v>
      </c>
      <c r="DV20" s="145">
        <f>IF(DV$1=1,Ingresos!$P8*Ingresos!$A$23,'Flujo de caja mensual'!DU20*((1+HLOOKUP('Flujo de caja mensual'!DU$2,Ingresos!$S$8:$AC$10,3,0))^(1/12)))</f>
        <v>0</v>
      </c>
      <c r="DW20" s="145">
        <f>IF(DW$1=1,Ingresos!$P8*Ingresos!$A$23,'Flujo de caja mensual'!DV20*((1+HLOOKUP('Flujo de caja mensual'!DV$2,Ingresos!$S$8:$AC$10,3,0))^(1/12)))</f>
        <v>0</v>
      </c>
      <c r="DX20" s="145">
        <f>IF(DX$1=1,Ingresos!$P8*Ingresos!$A$23,'Flujo de caja mensual'!DW20*((1+HLOOKUP('Flujo de caja mensual'!DW$2,Ingresos!$S$8:$AC$10,3,0))^(1/12)))</f>
        <v>0</v>
      </c>
      <c r="DY20" s="145">
        <f>IF(DY$1=1,Ingresos!$P8*Ingresos!$A$23,'Flujo de caja mensual'!DX20*((1+HLOOKUP('Flujo de caja mensual'!DX$2,Ingresos!$S$8:$AC$10,3,0))^(1/12)))</f>
        <v>0</v>
      </c>
      <c r="DZ20" s="145">
        <f>IF(DZ$1=1,Ingresos!$P8*Ingresos!$A$23,'Flujo de caja mensual'!DY20*((1+HLOOKUP('Flujo de caja mensual'!DY$2,Ingresos!$S$8:$AC$10,3,0))^(1/12)))</f>
        <v>0</v>
      </c>
      <c r="EA20" s="145">
        <f>IF(EA$1=1,Ingresos!$P8*Ingresos!$A$23,'Flujo de caja mensual'!DZ20*((1+HLOOKUP('Flujo de caja mensual'!DZ$2,Ingresos!$S$8:$AC$10,3,0))^(1/12)))</f>
        <v>0</v>
      </c>
      <c r="EB20" s="145">
        <f>IF(EB$1=1,Ingresos!$P8*Ingresos!$A$23,'Flujo de caja mensual'!EA20*((1+HLOOKUP('Flujo de caja mensual'!EA$2,Ingresos!$S$8:$AC$10,3,0))^(1/12)))</f>
        <v>0</v>
      </c>
      <c r="EC20" s="145">
        <f>IF(EC$1=1,Ingresos!$P8*Ingresos!$A$23,'Flujo de caja mensual'!EB20*((1+HLOOKUP('Flujo de caja mensual'!EB$2,Ingresos!$S$8:$AC$10,3,0))^(1/12)))</f>
        <v>0</v>
      </c>
      <c r="ED20" s="145">
        <f>IF(ED$1=1,Ingresos!$P8*Ingresos!$A$23,'Flujo de caja mensual'!EC20*((1+HLOOKUP('Flujo de caja mensual'!EC$2,Ingresos!$S$8:$AC$10,3,0))^(1/12)))</f>
        <v>0</v>
      </c>
      <c r="EE20" s="146">
        <f>IF(EE$1=1,Ingresos!$P8*Ingresos!$A$23,'Flujo de caja mensual'!ED20*((1+HLOOKUP('Flujo de caja mensual'!ED$2,Ingresos!$S$8:$AC$10,3,0))^(1/12)))</f>
        <v>0</v>
      </c>
    </row>
    <row r="21" spans="1:135" x14ac:dyDescent="0.25">
      <c r="A21" s="152">
        <f>SUMIF($C$1:$EE$1,"&lt;="&amp;Resumen!$K$19,'Flujo de caja mensual'!C21:EE21)</f>
        <v>3056492173.1415682</v>
      </c>
      <c r="B21" s="5" t="str">
        <f>Ingresos!O9</f>
        <v>Multas y sanciones</v>
      </c>
      <c r="C21" s="144"/>
      <c r="D21" s="145">
        <f>IF(D$1=1,Ingresos!$P9*Ingresos!$A$23,'Flujo de caja mensual'!C21*((1+HLOOKUP('Flujo de caja mensual'!C$2,Ingresos!$S$8:$AC$10,3,0))^(1/12)))</f>
        <v>21918509</v>
      </c>
      <c r="E21" s="145">
        <f>IF(E$1=1,Ingresos!$P9*Ingresos!$A$23,'Flujo de caja mensual'!D21*((1+HLOOKUP('Flujo de caja mensual'!D$2,Ingresos!$S$8:$AC$10,3,0))^(1/12)))</f>
        <v>21972565.956200667</v>
      </c>
      <c r="F21" s="145">
        <f>IF(F$1=1,Ingresos!$P9*Ingresos!$A$23,'Flujo de caja mensual'!E21*((1+HLOOKUP('Flujo de caja mensual'!E$2,Ingresos!$S$8:$AC$10,3,0))^(1/12)))</f>
        <v>22026756.231438395</v>
      </c>
      <c r="G21" s="145">
        <f>IF(G$1=1,Ingresos!$P9*Ingresos!$A$23,'Flujo de caja mensual'!F21*((1+HLOOKUP('Flujo de caja mensual'!F$2,Ingresos!$S$8:$AC$10,3,0))^(1/12)))</f>
        <v>22081080.154513892</v>
      </c>
      <c r="H21" s="145">
        <f>IF(H$1=1,Ingresos!$P9*Ingresos!$A$23,'Flujo de caja mensual'!G21*((1+HLOOKUP('Flujo de caja mensual'!G$2,Ingresos!$S$8:$AC$10,3,0))^(1/12)))</f>
        <v>22135538.055038784</v>
      </c>
      <c r="I21" s="145">
        <f>IF(I$1=1,Ingresos!$P9*Ingresos!$A$23,'Flujo de caja mensual'!H21*((1+HLOOKUP('Flujo de caja mensual'!H$2,Ingresos!$S$8:$AC$10,3,0))^(1/12)))</f>
        <v>22190130.263437603</v>
      </c>
      <c r="J21" s="145">
        <f>IF(J$1=1,Ingresos!$P9*Ingresos!$A$23,'Flujo de caja mensual'!I21*((1+HLOOKUP('Flujo de caja mensual'!I$2,Ingresos!$S$8:$AC$10,3,0))^(1/12)))</f>
        <v>22244857.110949799</v>
      </c>
      <c r="K21" s="145">
        <f>IF(K$1=1,Ingresos!$P9*Ingresos!$A$23,'Flujo de caja mensual'!J21*((1+HLOOKUP('Flujo de caja mensual'!J$2,Ingresos!$S$8:$AC$10,3,0))^(1/12)))</f>
        <v>22299718.929631751</v>
      </c>
      <c r="L21" s="145">
        <f>IF(L$1=1,Ingresos!$P9*Ingresos!$A$23,'Flujo de caja mensual'!K21*((1+HLOOKUP('Flujo de caja mensual'!K$2,Ingresos!$S$8:$AC$10,3,0))^(1/12)))</f>
        <v>22354716.052358769</v>
      </c>
      <c r="M21" s="145">
        <f>IF(M$1=1,Ingresos!$P9*Ingresos!$A$23,'Flujo de caja mensual'!L21*((1+HLOOKUP('Flujo de caja mensual'!L$2,Ingresos!$S$8:$AC$10,3,0))^(1/12)))</f>
        <v>22409848.812827133</v>
      </c>
      <c r="N21" s="145">
        <f>IF(N$1=1,Ingresos!$P9*Ingresos!$A$23,'Flujo de caja mensual'!M21*((1+HLOOKUP('Flujo de caja mensual'!M$2,Ingresos!$S$8:$AC$10,3,0))^(1/12)))</f>
        <v>22465117.545556106</v>
      </c>
      <c r="O21" s="145">
        <f>IF(O$1=1,Ingresos!$P9*Ingresos!$A$23,'Flujo de caja mensual'!N21*((1+HLOOKUP('Flujo de caja mensual'!N$2,Ingresos!$S$8:$AC$10,3,0))^(1/12)))</f>
        <v>22520522.585889962</v>
      </c>
      <c r="P21" s="145">
        <f>IF(P$1=1,Ingresos!$P9*Ingresos!$A$23,'Flujo de caja mensual'!O21*((1+HLOOKUP('Flujo de caja mensual'!O$2,Ingresos!$S$8:$AC$10,3,0))^(1/12)))</f>
        <v>22576064.270000026</v>
      </c>
      <c r="Q21" s="145">
        <f>IF(Q$1=1,Ingresos!$P9*Ingresos!$A$23,'Flujo de caja mensual'!P21*((1+HLOOKUP('Flujo de caja mensual'!P$2,Ingresos!$S$8:$AC$10,3,0))^(1/12)))</f>
        <v>22631742.934886713</v>
      </c>
      <c r="R21" s="145">
        <f>IF(R$1=1,Ingresos!$P9*Ingresos!$A$23,'Flujo de caja mensual'!Q21*((1+HLOOKUP('Flujo de caja mensual'!Q$2,Ingresos!$S$8:$AC$10,3,0))^(1/12)))</f>
        <v>22687558.918381572</v>
      </c>
      <c r="S21" s="145">
        <f>IF(S$1=1,Ingresos!$P9*Ingresos!$A$23,'Flujo de caja mensual'!R21*((1+HLOOKUP('Flujo de caja mensual'!R$2,Ingresos!$S$8:$AC$10,3,0))^(1/12)))</f>
        <v>22743512.559149336</v>
      </c>
      <c r="T21" s="145">
        <f>IF(T$1=1,Ingresos!$P9*Ingresos!$A$23,'Flujo de caja mensual'!S21*((1+HLOOKUP('Flujo de caja mensual'!S$2,Ingresos!$S$8:$AC$10,3,0))^(1/12)))</f>
        <v>22799604.196689975</v>
      </c>
      <c r="U21" s="145">
        <f>IF(U$1=1,Ingresos!$P9*Ingresos!$A$23,'Flujo de caja mensual'!T21*((1+HLOOKUP('Flujo de caja mensual'!T$2,Ingresos!$S$8:$AC$10,3,0))^(1/12)))</f>
        <v>22855834.17134076</v>
      </c>
      <c r="V21" s="145">
        <f>IF(V$1=1,Ingresos!$P9*Ingresos!$A$23,'Flujo de caja mensual'!U21*((1+HLOOKUP('Flujo de caja mensual'!U$2,Ingresos!$S$8:$AC$10,3,0))^(1/12)))</f>
        <v>22912202.824278325</v>
      </c>
      <c r="W21" s="145">
        <f>IF(W$1=1,Ingresos!$P9*Ingresos!$A$23,'Flujo de caja mensual'!V21*((1+HLOOKUP('Flujo de caja mensual'!V$2,Ingresos!$S$8:$AC$10,3,0))^(1/12)))</f>
        <v>22968710.497520734</v>
      </c>
      <c r="X21" s="145">
        <f>IF(X$1=1,Ingresos!$P9*Ingresos!$A$23,'Flujo de caja mensual'!W21*((1+HLOOKUP('Flujo de caja mensual'!W$2,Ingresos!$S$8:$AC$10,3,0))^(1/12)))</f>
        <v>23025357.533929564</v>
      </c>
      <c r="Y21" s="145">
        <f>IF(Y$1=1,Ingresos!$P9*Ingresos!$A$23,'Flujo de caja mensual'!X21*((1+HLOOKUP('Flujo de caja mensual'!X$2,Ingresos!$S$8:$AC$10,3,0))^(1/12)))</f>
        <v>23082144.277211979</v>
      </c>
      <c r="Z21" s="145">
        <f>IF(Z$1=1,Ingresos!$P9*Ingresos!$A$23,'Flujo de caja mensual'!Y21*((1+HLOOKUP('Flujo de caja mensual'!Y$2,Ingresos!$S$8:$AC$10,3,0))^(1/12)))</f>
        <v>23139071.07192282</v>
      </c>
      <c r="AA21" s="145">
        <f>IF(AA$1=1,Ingresos!$P9*Ingresos!$A$23,'Flujo de caja mensual'!Z21*((1+HLOOKUP('Flujo de caja mensual'!Z$2,Ingresos!$S$8:$AC$10,3,0))^(1/12)))</f>
        <v>23196138.26346669</v>
      </c>
      <c r="AB21" s="145">
        <f>IF(AB$1=1,Ingresos!$P9*Ingresos!$A$23,'Flujo de caja mensual'!AA21*((1+HLOOKUP('Flujo de caja mensual'!AA$2,Ingresos!$S$8:$AC$10,3,0))^(1/12)))</f>
        <v>23253346.198100053</v>
      </c>
      <c r="AC21" s="145">
        <f>IF(AC$1=1,Ingresos!$P9*Ingresos!$A$23,'Flujo de caja mensual'!AB21*((1+HLOOKUP('Flujo de caja mensual'!AB$2,Ingresos!$S$8:$AC$10,3,0))^(1/12)))</f>
        <v>23310695.222933341</v>
      </c>
      <c r="AD21" s="145">
        <f>IF(AD$1=1,Ingresos!$P9*Ingresos!$A$23,'Flujo de caja mensual'!AC21*((1+HLOOKUP('Flujo de caja mensual'!AC$2,Ingresos!$S$8:$AC$10,3,0))^(1/12)))</f>
        <v>23368185.685933046</v>
      </c>
      <c r="AE21" s="145">
        <f>IF(AE$1=1,Ingresos!$P9*Ingresos!$A$23,'Flujo de caja mensual'!AD21*((1+HLOOKUP('Flujo de caja mensual'!AD$2,Ingresos!$S$8:$AC$10,3,0))^(1/12)))</f>
        <v>23425817.935923841</v>
      </c>
      <c r="AF21" s="145">
        <f>IF(AF$1=1,Ingresos!$P9*Ingresos!$A$23,'Flujo de caja mensual'!AE21*((1+HLOOKUP('Flujo de caja mensual'!AE$2,Ingresos!$S$8:$AC$10,3,0))^(1/12)))</f>
        <v>23483592.322590698</v>
      </c>
      <c r="AG21" s="145">
        <f>IF(AG$1=1,Ingresos!$P9*Ingresos!$A$23,'Flujo de caja mensual'!AF21*((1+HLOOKUP('Flujo de caja mensual'!AF$2,Ingresos!$S$8:$AC$10,3,0))^(1/12)))</f>
        <v>23541509.196481004</v>
      </c>
      <c r="AH21" s="145">
        <f>IF(AH$1=1,Ingresos!$P9*Ingresos!$A$23,'Flujo de caja mensual'!AG21*((1+HLOOKUP('Flujo de caja mensual'!AG$2,Ingresos!$S$8:$AC$10,3,0))^(1/12)))</f>
        <v>23599568.909006696</v>
      </c>
      <c r="AI21" s="145">
        <f>IF(AI$1=1,Ingresos!$P9*Ingresos!$A$23,'Flujo de caja mensual'!AH21*((1+HLOOKUP('Flujo de caja mensual'!AH$2,Ingresos!$S$8:$AC$10,3,0))^(1/12)))</f>
        <v>23657771.812446378</v>
      </c>
      <c r="AJ21" s="145">
        <f>IF(AJ$1=1,Ingresos!$P9*Ingresos!$A$23,'Flujo de caja mensual'!AI21*((1+HLOOKUP('Flujo de caja mensual'!AI$2,Ingresos!$S$8:$AC$10,3,0))^(1/12)))</f>
        <v>23716118.259947471</v>
      </c>
      <c r="AK21" s="145">
        <f>IF(AK$1=1,Ingresos!$P9*Ingresos!$A$23,'Flujo de caja mensual'!AJ21*((1+HLOOKUP('Flujo de caja mensual'!AJ$2,Ingresos!$S$8:$AC$10,3,0))^(1/12)))</f>
        <v>23774608.605528358</v>
      </c>
      <c r="AL21" s="145">
        <f>IF(AL$1=1,Ingresos!$P9*Ingresos!$A$23,'Flujo de caja mensual'!AK21*((1+HLOOKUP('Flujo de caja mensual'!AK$2,Ingresos!$S$8:$AC$10,3,0))^(1/12)))</f>
        <v>23833243.204080526</v>
      </c>
      <c r="AM21" s="145">
        <f>IF(AM$1=1,Ingresos!$P9*Ingresos!$A$23,'Flujo de caja mensual'!AL21*((1+HLOOKUP('Flujo de caja mensual'!AL$2,Ingresos!$S$8:$AC$10,3,0))^(1/12)))</f>
        <v>23892022.411370713</v>
      </c>
      <c r="AN21" s="145">
        <f>IF(AN$1=1,Ingresos!$P9*Ingresos!$A$23,'Flujo de caja mensual'!AM21*((1+HLOOKUP('Flujo de caja mensual'!AM$2,Ingresos!$S$8:$AC$10,3,0))^(1/12)))</f>
        <v>23950946.584043078</v>
      </c>
      <c r="AO21" s="145">
        <f>IF(AO$1=1,Ingresos!$P9*Ingresos!$A$23,'Flujo de caja mensual'!AN21*((1+HLOOKUP('Flujo de caja mensual'!AN$2,Ingresos!$S$8:$AC$10,3,0))^(1/12)))</f>
        <v>24010016.079621363</v>
      </c>
      <c r="AP21" s="145">
        <f>IF(AP$1=1,Ingresos!$P9*Ingresos!$A$23,'Flujo de caja mensual'!AO21*((1+HLOOKUP('Flujo de caja mensual'!AO$2,Ingresos!$S$8:$AC$10,3,0))^(1/12)))</f>
        <v>24069231.256511059</v>
      </c>
      <c r="AQ21" s="145">
        <f>IF(AQ$1=1,Ingresos!$P9*Ingresos!$A$23,'Flujo de caja mensual'!AP21*((1+HLOOKUP('Flujo de caja mensual'!AP$2,Ingresos!$S$8:$AC$10,3,0))^(1/12)))</f>
        <v>24128592.474001579</v>
      </c>
      <c r="AR21" s="145">
        <f>IF(AR$1=1,Ingresos!$P9*Ingresos!$A$23,'Flujo de caja mensual'!AQ21*((1+HLOOKUP('Flujo de caja mensual'!AQ$2,Ingresos!$S$8:$AC$10,3,0))^(1/12)))</f>
        <v>24188100.092268445</v>
      </c>
      <c r="AS21" s="145">
        <f>IF(AS$1=1,Ingresos!$P9*Ingresos!$A$23,'Flujo de caja mensual'!AR21*((1+HLOOKUP('Flujo de caja mensual'!AR$2,Ingresos!$S$8:$AC$10,3,0))^(1/12)))</f>
        <v>24247754.472375464</v>
      </c>
      <c r="AT21" s="145">
        <f>IF(AT$1=1,Ingresos!$P9*Ingresos!$A$23,'Flujo de caja mensual'!AS21*((1+HLOOKUP('Flujo de caja mensual'!AS$2,Ingresos!$S$8:$AC$10,3,0))^(1/12)))</f>
        <v>24307555.976276923</v>
      </c>
      <c r="AU21" s="145">
        <f>IF(AU$1=1,Ingresos!$P9*Ingresos!$A$23,'Flujo de caja mensual'!AT21*((1+HLOOKUP('Flujo de caja mensual'!AT$2,Ingresos!$S$8:$AC$10,3,0))^(1/12)))</f>
        <v>24367504.966819793</v>
      </c>
      <c r="AV21" s="145">
        <f>IF(AV$1=1,Ingresos!$P9*Ingresos!$A$23,'Flujo de caja mensual'!AU21*((1+HLOOKUP('Flujo de caja mensual'!AU$2,Ingresos!$S$8:$AC$10,3,0))^(1/12)))</f>
        <v>24427601.807745922</v>
      </c>
      <c r="AW21" s="145">
        <f>IF(AW$1=1,Ingresos!$P9*Ingresos!$A$23,'Flujo de caja mensual'!AV21*((1+HLOOKUP('Flujo de caja mensual'!AV$2,Ingresos!$S$8:$AC$10,3,0))^(1/12)))</f>
        <v>24487846.863694236</v>
      </c>
      <c r="AX21" s="145">
        <f>IF(AX$1=1,Ingresos!$P9*Ingresos!$A$23,'Flujo de caja mensual'!AW21*((1+HLOOKUP('Flujo de caja mensual'!AW$2,Ingresos!$S$8:$AC$10,3,0))^(1/12)))</f>
        <v>24548240.500202965</v>
      </c>
      <c r="AY21" s="145">
        <f>IF(AY$1=1,Ingresos!$P9*Ingresos!$A$23,'Flujo de caja mensual'!AX21*((1+HLOOKUP('Flujo de caja mensual'!AX$2,Ingresos!$S$8:$AC$10,3,0))^(1/12)))</f>
        <v>24608783.083711855</v>
      </c>
      <c r="AZ21" s="145">
        <f>IF(AZ$1=1,Ingresos!$P9*Ingresos!$A$23,'Flujo de caja mensual'!AY21*((1+HLOOKUP('Flujo de caja mensual'!AY$2,Ingresos!$S$8:$AC$10,3,0))^(1/12)))</f>
        <v>24669474.981564391</v>
      </c>
      <c r="BA21" s="145">
        <f>IF(BA$1=1,Ingresos!$P9*Ingresos!$A$23,'Flujo de caja mensual'!AZ21*((1+HLOOKUP('Flujo de caja mensual'!AZ$2,Ingresos!$S$8:$AC$10,3,0))^(1/12)))</f>
        <v>24730316.562010027</v>
      </c>
      <c r="BB21" s="145">
        <f>IF(BB$1=1,Ingresos!$P9*Ingresos!$A$23,'Flujo de caja mensual'!BA21*((1+HLOOKUP('Flujo de caja mensual'!BA$2,Ingresos!$S$8:$AC$10,3,0))^(1/12)))</f>
        <v>24791308.194206413</v>
      </c>
      <c r="BC21" s="145">
        <f>IF(BC$1=1,Ingresos!$P9*Ingresos!$A$23,'Flujo de caja mensual'!BB21*((1+HLOOKUP('Flujo de caja mensual'!BB$2,Ingresos!$S$8:$AC$10,3,0))^(1/12)))</f>
        <v>24852450.248221647</v>
      </c>
      <c r="BD21" s="145">
        <f>IF(BD$1=1,Ingresos!$P9*Ingresos!$A$23,'Flujo de caja mensual'!BC21*((1+HLOOKUP('Flujo de caja mensual'!BC$2,Ingresos!$S$8:$AC$10,3,0))^(1/12)))</f>
        <v>24913743.095036518</v>
      </c>
      <c r="BE21" s="145">
        <f>IF(BE$1=1,Ingresos!$P9*Ingresos!$A$23,'Flujo de caja mensual'!BD21*((1+HLOOKUP('Flujo de caja mensual'!BD$2,Ingresos!$S$8:$AC$10,3,0))^(1/12)))</f>
        <v>24975187.106546745</v>
      </c>
      <c r="BF21" s="145">
        <f>IF(BF$1=1,Ingresos!$P9*Ingresos!$A$23,'Flujo de caja mensual'!BE21*((1+HLOOKUP('Flujo de caja mensual'!BE$2,Ingresos!$S$8:$AC$10,3,0))^(1/12)))</f>
        <v>25036782.655565251</v>
      </c>
      <c r="BG21" s="145">
        <f>IF(BG$1=1,Ingresos!$P9*Ingresos!$A$23,'Flujo de caja mensual'!BF21*((1+HLOOKUP('Flujo de caja mensual'!BF$2,Ingresos!$S$8:$AC$10,3,0))^(1/12)))</f>
        <v>25098530.115824409</v>
      </c>
      <c r="BH21" s="145">
        <f>IF(BH$1=1,Ingresos!$P9*Ingresos!$A$23,'Flujo de caja mensual'!BG21*((1+HLOOKUP('Flujo de caja mensual'!BG$2,Ingresos!$S$8:$AC$10,3,0))^(1/12)))</f>
        <v>25160429.861978319</v>
      </c>
      <c r="BI21" s="145">
        <f>IF(BI$1=1,Ingresos!$P9*Ingresos!$A$23,'Flujo de caja mensual'!BH21*((1+HLOOKUP('Flujo de caja mensual'!BH$2,Ingresos!$S$8:$AC$10,3,0))^(1/12)))</f>
        <v>25222482.269605082</v>
      </c>
      <c r="BJ21" s="145">
        <f>IF(BJ$1=1,Ingresos!$P9*Ingresos!$A$23,'Flujo de caja mensual'!BI21*((1+HLOOKUP('Flujo de caja mensual'!BI$2,Ingresos!$S$8:$AC$10,3,0))^(1/12)))</f>
        <v>25284687.715209074</v>
      </c>
      <c r="BK21" s="145">
        <f>IF(BK$1=1,Ingresos!$P9*Ingresos!$A$23,'Flujo de caja mensual'!BJ21*((1+HLOOKUP('Flujo de caja mensual'!BJ$2,Ingresos!$S$8:$AC$10,3,0))^(1/12)))</f>
        <v>25347046.576223232</v>
      </c>
      <c r="BL21" s="145">
        <f>IF(BL$1=1,Ingresos!$P9*Ingresos!$A$23,'Flujo de caja mensual'!BK21*((1+HLOOKUP('Flujo de caja mensual'!BK$2,Ingresos!$S$8:$AC$10,3,0))^(1/12)))</f>
        <v>25409559.231011346</v>
      </c>
      <c r="BM21" s="145">
        <f>IF(BM$1=1,Ingresos!$P9*Ingresos!$A$23,'Flujo de caja mensual'!BL21*((1+HLOOKUP('Flujo de caja mensual'!BL$2,Ingresos!$S$8:$AC$10,3,0))^(1/12)))</f>
        <v>25472226.058870349</v>
      </c>
      <c r="BN21" s="145">
        <f>IF(BN$1=1,Ingresos!$P9*Ingresos!$A$23,'Flujo de caja mensual'!BM21*((1+HLOOKUP('Flujo de caja mensual'!BM$2,Ingresos!$S$8:$AC$10,3,0))^(1/12)))</f>
        <v>25535047.440032627</v>
      </c>
      <c r="BO21" s="145">
        <f>IF(BO$1=1,Ingresos!$P9*Ingresos!$A$23,'Flujo de caja mensual'!BN21*((1+HLOOKUP('Flujo de caja mensual'!BN$2,Ingresos!$S$8:$AC$10,3,0))^(1/12)))</f>
        <v>25598023.75566832</v>
      </c>
      <c r="BP21" s="145">
        <f>IF(BP$1=1,Ingresos!$P9*Ingresos!$A$23,'Flujo de caja mensual'!BO21*((1+HLOOKUP('Flujo de caja mensual'!BO$2,Ingresos!$S$8:$AC$10,3,0))^(1/12)))</f>
        <v>25661155.387887638</v>
      </c>
      <c r="BQ21" s="145">
        <f>IF(BQ$1=1,Ingresos!$P9*Ingresos!$A$23,'Flujo de caja mensual'!BP21*((1+HLOOKUP('Flujo de caja mensual'!BP$2,Ingresos!$S$8:$AC$10,3,0))^(1/12)))</f>
        <v>25724442.719743174</v>
      </c>
      <c r="BR21" s="145">
        <f>IF(BR$1=1,Ingresos!$P9*Ingresos!$A$23,'Flujo de caja mensual'!BQ21*((1+HLOOKUP('Flujo de caja mensual'!BQ$2,Ingresos!$S$8:$AC$10,3,0))^(1/12)))</f>
        <v>25787886.135232233</v>
      </c>
      <c r="BS21" s="145">
        <f>IF(BS$1=1,Ingresos!$P9*Ingresos!$A$23,'Flujo de caja mensual'!BR21*((1+HLOOKUP('Flujo de caja mensual'!BR$2,Ingresos!$S$8:$AC$10,3,0))^(1/12)))</f>
        <v>25851486.019299164</v>
      </c>
      <c r="BT21" s="145">
        <f>IF(BT$1=1,Ingresos!$P9*Ingresos!$A$23,'Flujo de caja mensual'!BS21*((1+HLOOKUP('Flujo de caja mensual'!BS$2,Ingresos!$S$8:$AC$10,3,0))^(1/12)))</f>
        <v>25915242.757837694</v>
      </c>
      <c r="BU21" s="145">
        <f>IF(BU$1=1,Ingresos!$P9*Ingresos!$A$23,'Flujo de caja mensual'!BT21*((1+HLOOKUP('Flujo de caja mensual'!BT$2,Ingresos!$S$8:$AC$10,3,0))^(1/12)))</f>
        <v>25979156.737693261</v>
      </c>
      <c r="BV21" s="145">
        <f>IF(BV$1=1,Ingresos!$P9*Ingresos!$A$23,'Flujo de caja mensual'!BU21*((1+HLOOKUP('Flujo de caja mensual'!BU$2,Ingresos!$S$8:$AC$10,3,0))^(1/12)))</f>
        <v>26043228.346665375</v>
      </c>
      <c r="BW21" s="145">
        <f>IF(BW$1=1,Ingresos!$P9*Ingresos!$A$23,'Flujo de caja mensual'!BV21*((1+HLOOKUP('Flujo de caja mensual'!BV$2,Ingresos!$S$8:$AC$10,3,0))^(1/12)))</f>
        <v>26107457.97350996</v>
      </c>
      <c r="BX21" s="145">
        <f>IF(BX$1=1,Ingresos!$P9*Ingresos!$A$23,'Flujo de caja mensual'!BW21*((1+HLOOKUP('Flujo de caja mensual'!BW$2,Ingresos!$S$8:$AC$10,3,0))^(1/12)))</f>
        <v>26171846.007941715</v>
      </c>
      <c r="BY21" s="145">
        <f>IF(BY$1=1,Ingresos!$P9*Ingresos!$A$23,'Flujo de caja mensual'!BX21*((1+HLOOKUP('Flujo de caja mensual'!BX$2,Ingresos!$S$8:$AC$10,3,0))^(1/12)))</f>
        <v>26236392.840636488</v>
      </c>
      <c r="BZ21" s="145">
        <f>IF(BZ$1=1,Ingresos!$P9*Ingresos!$A$23,'Flujo de caja mensual'!BY21*((1+HLOOKUP('Flujo de caja mensual'!BY$2,Ingresos!$S$8:$AC$10,3,0))^(1/12)))</f>
        <v>26301098.863233633</v>
      </c>
      <c r="CA21" s="145">
        <f>IF(CA$1=1,Ingresos!$P9*Ingresos!$A$23,'Flujo de caja mensual'!BZ21*((1+HLOOKUP('Flujo de caja mensual'!BZ$2,Ingresos!$S$8:$AC$10,3,0))^(1/12)))</f>
        <v>26365964.468338396</v>
      </c>
      <c r="CB21" s="145">
        <f>IF(CB$1=1,Ingresos!$P9*Ingresos!$A$23,'Flujo de caja mensual'!CA21*((1+HLOOKUP('Flujo de caja mensual'!CA$2,Ingresos!$S$8:$AC$10,3,0))^(1/12)))</f>
        <v>26430990.049524292</v>
      </c>
      <c r="CC21" s="145">
        <f>IF(CC$1=1,Ingresos!$P9*Ingresos!$A$23,'Flujo de caja mensual'!CB21*((1+HLOOKUP('Flujo de caja mensual'!CB$2,Ingresos!$S$8:$AC$10,3,0))^(1/12)))</f>
        <v>26496176.001335494</v>
      </c>
      <c r="CD21" s="145">
        <f>IF(CD$1=1,Ingresos!$P9*Ingresos!$A$23,'Flujo de caja mensual'!CC21*((1+HLOOKUP('Flujo de caja mensual'!CC$2,Ingresos!$S$8:$AC$10,3,0))^(1/12)))</f>
        <v>26561522.719289225</v>
      </c>
      <c r="CE21" s="145">
        <f>IF(CE$1=1,Ingresos!$P9*Ingresos!$A$23,'Flujo de caja mensual'!CD21*((1+HLOOKUP('Flujo de caja mensual'!CD$2,Ingresos!$S$8:$AC$10,3,0))^(1/12)))</f>
        <v>26627030.599878166</v>
      </c>
      <c r="CF21" s="145">
        <f>IF(CF$1=1,Ingresos!$P9*Ingresos!$A$23,'Flujo de caja mensual'!CE21*((1+HLOOKUP('Flujo de caja mensual'!CE$2,Ingresos!$S$8:$AC$10,3,0))^(1/12)))</f>
        <v>26692700.040572852</v>
      </c>
      <c r="CG21" s="145">
        <f>IF(CG$1=1,Ingresos!$P9*Ingresos!$A$23,'Flujo de caja mensual'!CF21*((1+HLOOKUP('Flujo de caja mensual'!CF$2,Ingresos!$S$8:$AC$10,3,0))^(1/12)))</f>
        <v>26758531.439824086</v>
      </c>
      <c r="CH21" s="145">
        <f>IF(CH$1=1,Ingresos!$P9*Ingresos!$A$23,'Flujo de caja mensual'!CG21*((1+HLOOKUP('Flujo de caja mensual'!CG$2,Ingresos!$S$8:$AC$10,3,0))^(1/12)))</f>
        <v>26824525.197065361</v>
      </c>
      <c r="CI21" s="145">
        <f>IF(CI$1=1,Ingresos!$P9*Ingresos!$A$23,'Flujo de caja mensual'!CH21*((1+HLOOKUP('Flujo de caja mensual'!CH$2,Ingresos!$S$8:$AC$10,3,0))^(1/12)))</f>
        <v>26890681.712715283</v>
      </c>
      <c r="CJ21" s="145">
        <f>IF(CJ$1=1,Ingresos!$P9*Ingresos!$A$23,'Flujo de caja mensual'!CI21*((1+HLOOKUP('Flujo de caja mensual'!CI$2,Ingresos!$S$8:$AC$10,3,0))^(1/12)))</f>
        <v>26957001.388179991</v>
      </c>
      <c r="CK21" s="145">
        <f>IF(CK$1=1,Ingresos!$P9*Ingresos!$A$23,'Flujo de caja mensual'!CJ21*((1+HLOOKUP('Flujo de caja mensual'!CJ$2,Ingresos!$S$8:$AC$10,3,0))^(1/12)))</f>
        <v>27023484.62585561</v>
      </c>
      <c r="CL21" s="145">
        <f>IF(CL$1=1,Ingresos!$P9*Ingresos!$A$23,'Flujo de caja mensual'!CK21*((1+HLOOKUP('Flujo de caja mensual'!CK$2,Ingresos!$S$8:$AC$10,3,0))^(1/12)))</f>
        <v>27090131.829130672</v>
      </c>
      <c r="CM21" s="145">
        <f>IF(CM$1=1,Ingresos!$P9*Ingresos!$A$23,'Flujo de caja mensual'!CL21*((1+HLOOKUP('Flujo de caja mensual'!CL$2,Ingresos!$S$8:$AC$10,3,0))^(1/12)))</f>
        <v>27156943.40238858</v>
      </c>
      <c r="CN21" s="145">
        <f>IF(CN$1=1,Ingresos!$P9*Ingresos!$A$23,'Flujo de caja mensual'!CM21*((1+HLOOKUP('Flujo de caja mensual'!CM$2,Ingresos!$S$8:$AC$10,3,0))^(1/12)))</f>
        <v>27223919.751010053</v>
      </c>
      <c r="CO21" s="145">
        <f>IF(CO$1=1,Ingresos!$P9*Ingresos!$A$23,'Flujo de caja mensual'!CN21*((1+HLOOKUP('Flujo de caja mensual'!CN$2,Ingresos!$S$8:$AC$10,3,0))^(1/12)))</f>
        <v>27291061.281375591</v>
      </c>
      <c r="CP21" s="145">
        <f>IF(CP$1=1,Ingresos!$P9*Ingresos!$A$23,'Flujo de caja mensual'!CO21*((1+HLOOKUP('Flujo de caja mensual'!CO$2,Ingresos!$S$8:$AC$10,3,0))^(1/12)))</f>
        <v>27358368.400867935</v>
      </c>
      <c r="CQ21" s="145">
        <f>IF(CQ$1=1,Ingresos!$P9*Ingresos!$A$23,'Flujo de caja mensual'!CP21*((1+HLOOKUP('Flujo de caja mensual'!CP$2,Ingresos!$S$8:$AC$10,3,0))^(1/12)))</f>
        <v>27425841.517874543</v>
      </c>
      <c r="CR21" s="145">
        <f>IF(CR$1=1,Ingresos!$P9*Ingresos!$A$23,'Flujo de caja mensual'!CQ21*((1+HLOOKUP('Flujo de caja mensual'!CQ$2,Ingresos!$S$8:$AC$10,3,0))^(1/12)))</f>
        <v>27493481.041790068</v>
      </c>
      <c r="CS21" s="145">
        <f>IF(CS$1=1,Ingresos!$P9*Ingresos!$A$23,'Flujo de caja mensual'!CR21*((1+HLOOKUP('Flujo de caja mensual'!CR$2,Ingresos!$S$8:$AC$10,3,0))^(1/12)))</f>
        <v>27561287.38301884</v>
      </c>
      <c r="CT21" s="145">
        <f>IF(CT$1=1,Ingresos!$P9*Ingresos!$A$23,'Flujo de caja mensual'!CS21*((1+HLOOKUP('Flujo de caja mensual'!CS$2,Ingresos!$S$8:$AC$10,3,0))^(1/12)))</f>
        <v>27629260.952977356</v>
      </c>
      <c r="CU21" s="145">
        <f>IF(CU$1=1,Ingresos!$P9*Ingresos!$A$23,'Flujo de caja mensual'!CT21*((1+HLOOKUP('Flujo de caja mensual'!CT$2,Ingresos!$S$8:$AC$10,3,0))^(1/12)))</f>
        <v>27697402.164096773</v>
      </c>
      <c r="CV21" s="145">
        <f>IF(CV$1=1,Ingresos!$P9*Ingresos!$A$23,'Flujo de caja mensual'!CU21*((1+HLOOKUP('Flujo de caja mensual'!CU$2,Ingresos!$S$8:$AC$10,3,0))^(1/12)))</f>
        <v>27765711.429825421</v>
      </c>
      <c r="CW21" s="145">
        <f>IF(CW$1=1,Ingresos!$P9*Ingresos!$A$23,'Flujo de caja mensual'!CV21*((1+HLOOKUP('Flujo de caja mensual'!CV$2,Ingresos!$S$8:$AC$10,3,0))^(1/12)))</f>
        <v>27834189.164631307</v>
      </c>
      <c r="CX21" s="145">
        <f>IF(CX$1=1,Ingresos!$P9*Ingresos!$A$23,'Flujo de caja mensual'!CW21*((1+HLOOKUP('Flujo de caja mensual'!CW$2,Ingresos!$S$8:$AC$10,3,0))^(1/12)))</f>
        <v>27902835.784004621</v>
      </c>
      <c r="CY21" s="145">
        <f>IF(CY$1=1,Ingresos!$P9*Ingresos!$A$23,'Flujo de caja mensual'!CX21*((1+HLOOKUP('Flujo de caja mensual'!CX$2,Ingresos!$S$8:$AC$10,3,0))^(1/12)))</f>
        <v>27971651.704460267</v>
      </c>
      <c r="CZ21" s="145">
        <f>IF(CZ$1=1,Ingresos!$P9*Ingresos!$A$23,'Flujo de caja mensual'!CY21*((1+HLOOKUP('Flujo de caja mensual'!CY$2,Ingresos!$S$8:$AC$10,3,0))^(1/12)))</f>
        <v>28040637.343540385</v>
      </c>
      <c r="DA21" s="145">
        <f>IF(DA$1=1,Ingresos!$P9*Ingresos!$A$23,'Flujo de caja mensual'!CZ21*((1+HLOOKUP('Flujo de caja mensual'!CZ$2,Ingresos!$S$8:$AC$10,3,0))^(1/12)))</f>
        <v>28109793.119816888</v>
      </c>
      <c r="DB21" s="145">
        <f>IF(DB$1=1,Ingresos!$P9*Ingresos!$A$23,'Flujo de caja mensual'!DA21*((1+HLOOKUP('Flujo de caja mensual'!DA$2,Ingresos!$S$8:$AC$10,3,0))^(1/12)))</f>
        <v>28179119.452894002</v>
      </c>
      <c r="DC21" s="145">
        <f>IF(DC$1=1,Ingresos!$P9*Ingresos!$A$23,'Flujo de caja mensual'!DB21*((1+HLOOKUP('Flujo de caja mensual'!DB$2,Ingresos!$S$8:$AC$10,3,0))^(1/12)))</f>
        <v>28248616.76341081</v>
      </c>
      <c r="DD21" s="145">
        <f>IF(DD$1=1,Ingresos!$P9*Ingresos!$A$23,'Flujo de caja mensual'!DC21*((1+HLOOKUP('Flujo de caja mensual'!DC$2,Ingresos!$S$8:$AC$10,3,0))^(1/12)))</f>
        <v>28318285.473043803</v>
      </c>
      <c r="DE21" s="145">
        <f>IF(DE$1=1,Ingresos!$P9*Ingresos!$A$23,'Flujo de caja mensual'!DD21*((1+HLOOKUP('Flujo de caja mensual'!DD$2,Ingresos!$S$8:$AC$10,3,0))^(1/12)))</f>
        <v>28388126.004509438</v>
      </c>
      <c r="DF21" s="145">
        <f>IF(DF$1=1,Ingresos!$P9*Ingresos!$A$23,'Flujo de caja mensual'!DE21*((1+HLOOKUP('Flujo de caja mensual'!DE$2,Ingresos!$S$8:$AC$10,3,0))^(1/12)))</f>
        <v>28458138.781566709</v>
      </c>
      <c r="DG21" s="145">
        <f>IF(DG$1=1,Ingresos!$P9*Ingresos!$A$23,'Flujo de caja mensual'!DF21*((1+HLOOKUP('Flujo de caja mensual'!DF$2,Ingresos!$S$8:$AC$10,3,0))^(1/12)))</f>
        <v>28528324.229019709</v>
      </c>
      <c r="DH21" s="145">
        <f>IF(DH$1=1,Ingresos!$P9*Ingresos!$A$23,'Flujo de caja mensual'!DG21*((1+HLOOKUP('Flujo de caja mensual'!DG$2,Ingresos!$S$8:$AC$10,3,0))^(1/12)))</f>
        <v>28598682.772720218</v>
      </c>
      <c r="DI21" s="145">
        <f>IF(DI$1=1,Ingresos!$P9*Ingresos!$A$23,'Flujo de caja mensual'!DH21*((1+HLOOKUP('Flujo de caja mensual'!DH$2,Ingresos!$S$8:$AC$10,3,0))^(1/12)))</f>
        <v>28669214.83957028</v>
      </c>
      <c r="DJ21" s="145">
        <f>IF(DJ$1=1,Ingresos!$P9*Ingresos!$A$23,'Flujo de caja mensual'!DI21*((1+HLOOKUP('Flujo de caja mensual'!DI$2,Ingresos!$S$8:$AC$10,3,0))^(1/12)))</f>
        <v>28739920.857524794</v>
      </c>
      <c r="DK21" s="145">
        <f>IF(DK$1=1,Ingresos!$P9*Ingresos!$A$23,'Flujo de caja mensual'!DJ21*((1+HLOOKUP('Flujo de caja mensual'!DJ$2,Ingresos!$S$8:$AC$10,3,0))^(1/12)))</f>
        <v>28810801.255594108</v>
      </c>
      <c r="DL21" s="145">
        <f>IF(DL$1=1,Ingresos!$P9*Ingresos!$A$23,'Flujo de caja mensual'!DK21*((1+HLOOKUP('Flujo de caja mensual'!DK$2,Ingresos!$S$8:$AC$10,3,0))^(1/12)))</f>
        <v>28881856.463846628</v>
      </c>
      <c r="DM21" s="145">
        <f>IF(DM$1=1,Ingresos!$P9*Ingresos!$A$23,'Flujo de caja mensual'!DL21*((1+HLOOKUP('Flujo de caja mensual'!DL$2,Ingresos!$S$8:$AC$10,3,0))^(1/12)))</f>
        <v>28953086.913411427</v>
      </c>
      <c r="DN21" s="145">
        <f>IF(DN$1=1,Ingresos!$P9*Ingresos!$A$23,'Flujo de caja mensual'!DM21*((1+HLOOKUP('Flujo de caja mensual'!DM$2,Ingresos!$S$8:$AC$10,3,0))^(1/12)))</f>
        <v>29024493.036480855</v>
      </c>
      <c r="DO21" s="145">
        <f>IF(DO$1=1,Ingresos!$P9*Ingresos!$A$23,'Flujo de caja mensual'!DN21*((1+HLOOKUP('Flujo de caja mensual'!DN$2,Ingresos!$S$8:$AC$10,3,0))^(1/12)))</f>
        <v>29096075.266313165</v>
      </c>
      <c r="DP21" s="145">
        <f>IF(DP$1=1,Ingresos!$P9*Ingresos!$A$23,'Flujo de caja mensual'!DO21*((1+HLOOKUP('Flujo de caja mensual'!DO$2,Ingresos!$S$8:$AC$10,3,0))^(1/12)))</f>
        <v>29167834.037235148</v>
      </c>
      <c r="DQ21" s="145">
        <f>IF(DQ$1=1,Ingresos!$P9*Ingresos!$A$23,'Flujo de caja mensual'!DP21*((1+HLOOKUP('Flujo de caja mensual'!DP$2,Ingresos!$S$8:$AC$10,3,0))^(1/12)))</f>
        <v>29239769.784644753</v>
      </c>
      <c r="DR21" s="145">
        <f>IF(DR$1=1,Ingresos!$P9*Ingresos!$A$23,'Flujo de caja mensual'!DQ21*((1+HLOOKUP('Flujo de caja mensual'!DQ$2,Ingresos!$S$8:$AC$10,3,0))^(1/12)))</f>
        <v>29311882.945013739</v>
      </c>
      <c r="DS21" s="145">
        <f>IF(DS$1=1,Ingresos!$P9*Ingresos!$A$23,'Flujo de caja mensual'!DR21*((1+HLOOKUP('Flujo de caja mensual'!DR$2,Ingresos!$S$8:$AC$10,3,0))^(1/12)))</f>
        <v>29384173.955890331</v>
      </c>
      <c r="DT21" s="145">
        <f>IF(DT$1=1,Ingresos!$P9*Ingresos!$A$23,'Flujo de caja mensual'!DS21*((1+HLOOKUP('Flujo de caja mensual'!DS$2,Ingresos!$S$8:$AC$10,3,0))^(1/12)))</f>
        <v>29456643.255901858</v>
      </c>
      <c r="DU21" s="145">
        <f>IF(DU$1=1,Ingresos!$P9*Ingresos!$A$23,'Flujo de caja mensual'!DT21*((1+HLOOKUP('Flujo de caja mensual'!DT$2,Ingresos!$S$8:$AC$10,3,0))^(1/12)))</f>
        <v>29529291.28475742</v>
      </c>
      <c r="DV21" s="145">
        <f>IF(DV$1=1,Ingresos!$P9*Ingresos!$A$23,'Flujo de caja mensual'!DU21*((1+HLOOKUP('Flujo de caja mensual'!DU$2,Ingresos!$S$8:$AC$10,3,0))^(1/12)))</f>
        <v>29602118.48325057</v>
      </c>
      <c r="DW21" s="145">
        <f>IF(DW$1=1,Ingresos!$P9*Ingresos!$A$23,'Flujo de caja mensual'!DV21*((1+HLOOKUP('Flujo de caja mensual'!DV$2,Ingresos!$S$8:$AC$10,3,0))^(1/12)))</f>
        <v>29675125.293261964</v>
      </c>
      <c r="DX21" s="145">
        <f>IF(DX$1=1,Ingresos!$P9*Ingresos!$A$23,'Flujo de caja mensual'!DW21*((1+HLOOKUP('Flujo de caja mensual'!DW$2,Ingresos!$S$8:$AC$10,3,0))^(1/12)))</f>
        <v>29748312.157762062</v>
      </c>
      <c r="DY21" s="145">
        <f>IF(DY$1=1,Ingresos!$P9*Ingresos!$A$23,'Flujo de caja mensual'!DX21*((1+HLOOKUP('Flujo de caja mensual'!DX$2,Ingresos!$S$8:$AC$10,3,0))^(1/12)))</f>
        <v>29821679.520813804</v>
      </c>
      <c r="DZ21" s="145">
        <f>IF(DZ$1=1,Ingresos!$P9*Ingresos!$A$23,'Flujo de caja mensual'!DY21*((1+HLOOKUP('Flujo de caja mensual'!DY$2,Ingresos!$S$8:$AC$10,3,0))^(1/12)))</f>
        <v>29895227.827575315</v>
      </c>
      <c r="EA21" s="145">
        <f>IF(EA$1=1,Ingresos!$P9*Ingresos!$A$23,'Flujo de caja mensual'!DZ21*((1+HLOOKUP('Flujo de caja mensual'!DZ$2,Ingresos!$S$8:$AC$10,3,0))^(1/12)))</f>
        <v>29968957.524302594</v>
      </c>
      <c r="EB21" s="145">
        <f>IF(EB$1=1,Ingresos!$P9*Ingresos!$A$23,'Flujo de caja mensual'!EA21*((1+HLOOKUP('Flujo de caja mensual'!EA$2,Ingresos!$S$8:$AC$10,3,0))^(1/12)))</f>
        <v>30042869.058352236</v>
      </c>
      <c r="EC21" s="145">
        <f>IF(EC$1=1,Ingresos!$P9*Ingresos!$A$23,'Flujo de caja mensual'!EB21*((1+HLOOKUP('Flujo de caja mensual'!EB$2,Ingresos!$S$8:$AC$10,3,0))^(1/12)))</f>
        <v>30116962.878184129</v>
      </c>
      <c r="ED21" s="145">
        <f>IF(ED$1=1,Ingresos!$P9*Ingresos!$A$23,'Flujo de caja mensual'!EC21*((1+HLOOKUP('Flujo de caja mensual'!EC$2,Ingresos!$S$8:$AC$10,3,0))^(1/12)))</f>
        <v>30191239.433364186</v>
      </c>
      <c r="EE21" s="146">
        <f>IF(EE$1=1,Ingresos!$P9*Ingresos!$A$23,'Flujo de caja mensual'!ED21*((1+HLOOKUP('Flujo de caja mensual'!ED$2,Ingresos!$S$8:$AC$10,3,0))^(1/12)))</f>
        <v>30265699.174567077</v>
      </c>
    </row>
    <row r="22" spans="1:135" x14ac:dyDescent="0.25">
      <c r="A22" s="152">
        <f>SUMIF($C$1:$EE$1,"&lt;="&amp;Resumen!$K$19,'Flujo de caja mensual'!C22:EE22)</f>
        <v>6968057604.2568378</v>
      </c>
      <c r="B22" s="5" t="str">
        <f>Ingresos!O10</f>
        <v>Otros ingresos</v>
      </c>
      <c r="C22" s="144"/>
      <c r="D22" s="145">
        <f>IF(D$1=1,Ingresos!$P10*Ingresos!$A$23,'Flujo de caja mensual'!C22*((1+HLOOKUP('Flujo de caja mensual'!C$2,Ingresos!$S$8:$AC$10,3,0))^(1/12)))</f>
        <v>49968861.249999993</v>
      </c>
      <c r="E22" s="145">
        <f>IF(E$1=1,Ingresos!$P10*Ingresos!$A$23,'Flujo de caja mensual'!D22*((1+HLOOKUP('Flujo de caja mensual'!D$2,Ingresos!$S$8:$AC$10,3,0))^(1/12)))</f>
        <v>50092097.942057304</v>
      </c>
      <c r="F22" s="145">
        <f>IF(F$1=1,Ingresos!$P10*Ingresos!$A$23,'Flujo de caja mensual'!E22*((1+HLOOKUP('Flujo de caja mensual'!E$2,Ingresos!$S$8:$AC$10,3,0))^(1/12)))</f>
        <v>50215638.569043078</v>
      </c>
      <c r="G22" s="145">
        <f>IF(G$1=1,Ingresos!$P10*Ingresos!$A$23,'Flujo de caja mensual'!F22*((1+HLOOKUP('Flujo de caja mensual'!F$2,Ingresos!$S$8:$AC$10,3,0))^(1/12)))</f>
        <v>50339483.880542837</v>
      </c>
      <c r="H22" s="145">
        <f>IF(H$1=1,Ingresos!$P10*Ingresos!$A$23,'Flujo de caja mensual'!G22*((1+HLOOKUP('Flujo de caja mensual'!G$2,Ingresos!$S$8:$AC$10,3,0))^(1/12)))</f>
        <v>50463634.62799079</v>
      </c>
      <c r="I22" s="145">
        <f>IF(I$1=1,Ingresos!$P10*Ingresos!$A$23,'Flujo de caja mensual'!H22*((1+HLOOKUP('Flujo de caja mensual'!H$2,Ingresos!$S$8:$AC$10,3,0))^(1/12)))</f>
        <v>50588091.564674377</v>
      </c>
      <c r="J22" s="145">
        <f>IF(J$1=1,Ingresos!$P10*Ingresos!$A$23,'Flujo de caja mensual'!I22*((1+HLOOKUP('Flujo de caja mensual'!I$2,Ingresos!$S$8:$AC$10,3,0))^(1/12)))</f>
        <v>50712855.445738867</v>
      </c>
      <c r="K22" s="145">
        <f>IF(K$1=1,Ingresos!$P10*Ingresos!$A$23,'Flujo de caja mensual'!J22*((1+HLOOKUP('Flujo de caja mensual'!J$2,Ingresos!$S$8:$AC$10,3,0))^(1/12)))</f>
        <v>50837927.028191902</v>
      </c>
      <c r="L22" s="145">
        <f>IF(L$1=1,Ingresos!$P10*Ingresos!$A$23,'Flujo de caja mensual'!K22*((1+HLOOKUP('Flujo de caja mensual'!K$2,Ingresos!$S$8:$AC$10,3,0))^(1/12)))</f>
        <v>50963307.070908114</v>
      </c>
      <c r="M22" s="145">
        <f>IF(M$1=1,Ingresos!$P10*Ingresos!$A$23,'Flujo de caja mensual'!L22*((1+HLOOKUP('Flujo de caja mensual'!L$2,Ingresos!$S$8:$AC$10,3,0))^(1/12)))</f>
        <v>51088996.334633723</v>
      </c>
      <c r="N22" s="145">
        <f>IF(N$1=1,Ingresos!$P10*Ingresos!$A$23,'Flujo de caja mensual'!M22*((1+HLOOKUP('Flujo de caja mensual'!M$2,Ingresos!$S$8:$AC$10,3,0))^(1/12)))</f>
        <v>51214995.581991166</v>
      </c>
      <c r="O22" s="145">
        <f>IF(O$1=1,Ingresos!$P10*Ingresos!$A$23,'Flujo de caja mensual'!N22*((1+HLOOKUP('Flujo de caja mensual'!N$2,Ingresos!$S$8:$AC$10,3,0))^(1/12)))</f>
        <v>51341305.577483699</v>
      </c>
      <c r="P22" s="145">
        <f>IF(P$1=1,Ingresos!$P10*Ingresos!$A$23,'Flujo de caja mensual'!O22*((1+HLOOKUP('Flujo de caja mensual'!O$2,Ingresos!$S$8:$AC$10,3,0))^(1/12)))</f>
        <v>51467927.087500051</v>
      </c>
      <c r="Q22" s="145">
        <f>IF(Q$1=1,Ingresos!$P10*Ingresos!$A$23,'Flujo de caja mensual'!P22*((1+HLOOKUP('Flujo de caja mensual'!P$2,Ingresos!$S$8:$AC$10,3,0))^(1/12)))</f>
        <v>51594860.880319081</v>
      </c>
      <c r="R22" s="145">
        <f>IF(R$1=1,Ingresos!$P10*Ingresos!$A$23,'Flujo de caja mensual'!Q22*((1+HLOOKUP('Flujo de caja mensual'!Q$2,Ingresos!$S$8:$AC$10,3,0))^(1/12)))</f>
        <v>51722107.72611443</v>
      </c>
      <c r="S22" s="145">
        <f>IF(S$1=1,Ingresos!$P10*Ingresos!$A$23,'Flujo de caja mensual'!R22*((1+HLOOKUP('Flujo de caja mensual'!R$2,Ingresos!$S$8:$AC$10,3,0))^(1/12)))</f>
        <v>51849668.396959178</v>
      </c>
      <c r="T22" s="145">
        <f>IF(T$1=1,Ingresos!$P10*Ingresos!$A$23,'Flujo de caja mensual'!S22*((1+HLOOKUP('Flujo de caja mensual'!S$2,Ingresos!$S$8:$AC$10,3,0))^(1/12)))</f>
        <v>51977543.66683057</v>
      </c>
      <c r="U22" s="145">
        <f>IF(U$1=1,Ingresos!$P10*Ingresos!$A$23,'Flujo de caja mensual'!T22*((1+HLOOKUP('Flujo de caja mensual'!T$2,Ingresos!$S$8:$AC$10,3,0))^(1/12)))</f>
        <v>52105734.31161467</v>
      </c>
      <c r="V22" s="145">
        <f>IF(V$1=1,Ingresos!$P10*Ingresos!$A$23,'Flujo de caja mensual'!U22*((1+HLOOKUP('Flujo de caja mensual'!U$2,Ingresos!$S$8:$AC$10,3,0))^(1/12)))</f>
        <v>52234241.109111093</v>
      </c>
      <c r="W22" s="145">
        <f>IF(W$1=1,Ingresos!$P10*Ingresos!$A$23,'Flujo de caja mensual'!V22*((1+HLOOKUP('Flujo de caja mensual'!V$2,Ingresos!$S$8:$AC$10,3,0))^(1/12)))</f>
        <v>52363064.839037716</v>
      </c>
      <c r="X22" s="145">
        <f>IF(X$1=1,Ingresos!$P10*Ingresos!$A$23,'Flujo de caja mensual'!W22*((1+HLOOKUP('Flujo de caja mensual'!W$2,Ingresos!$S$8:$AC$10,3,0))^(1/12)))</f>
        <v>52492206.283035412</v>
      </c>
      <c r="Y22" s="145">
        <f>IF(Y$1=1,Ingresos!$P10*Ingresos!$A$23,'Flujo de caja mensual'!X22*((1+HLOOKUP('Flujo de caja mensual'!X$2,Ingresos!$S$8:$AC$10,3,0))^(1/12)))</f>
        <v>52621666.224672794</v>
      </c>
      <c r="Z22" s="145">
        <f>IF(Z$1=1,Ingresos!$P10*Ingresos!$A$23,'Flujo de caja mensual'!Y22*((1+HLOOKUP('Flujo de caja mensual'!Y$2,Ingresos!$S$8:$AC$10,3,0))^(1/12)))</f>
        <v>52751445.449450962</v>
      </c>
      <c r="AA22" s="145">
        <f>IF(AA$1=1,Ingresos!$P10*Ingresos!$A$23,'Flujo de caja mensual'!Z22*((1+HLOOKUP('Flujo de caja mensual'!Z$2,Ingresos!$S$8:$AC$10,3,0))^(1/12)))</f>
        <v>52881544.744808272</v>
      </c>
      <c r="AB22" s="145">
        <f>IF(AB$1=1,Ingresos!$P10*Ingresos!$A$23,'Flujo de caja mensual'!AA22*((1+HLOOKUP('Flujo de caja mensual'!AA$2,Ingresos!$S$8:$AC$10,3,0))^(1/12)))</f>
        <v>53011964.900125116</v>
      </c>
      <c r="AC22" s="145">
        <f>IF(AC$1=1,Ingresos!$P10*Ingresos!$A$23,'Flujo de caja mensual'!AB22*((1+HLOOKUP('Flujo de caja mensual'!AB$2,Ingresos!$S$8:$AC$10,3,0))^(1/12)))</f>
        <v>53142706.706728719</v>
      </c>
      <c r="AD22" s="145">
        <f>IF(AD$1=1,Ingresos!$P10*Ingresos!$A$23,'Flujo de caja mensual'!AC22*((1+HLOOKUP('Flujo de caja mensual'!AC$2,Ingresos!$S$8:$AC$10,3,0))^(1/12)))</f>
        <v>53273770.957897924</v>
      </c>
      <c r="AE22" s="145">
        <f>IF(AE$1=1,Ingresos!$P10*Ingresos!$A$23,'Flujo de caja mensual'!AD22*((1+HLOOKUP('Flujo de caja mensual'!AD$2,Ingresos!$S$8:$AC$10,3,0))^(1/12)))</f>
        <v>53405158.448868014</v>
      </c>
      <c r="AF22" s="145">
        <f>IF(AF$1=1,Ingresos!$P10*Ingresos!$A$23,'Flujo de caja mensual'!AE22*((1+HLOOKUP('Flujo de caja mensual'!AE$2,Ingresos!$S$8:$AC$10,3,0))^(1/12)))</f>
        <v>53536869.976835549</v>
      </c>
      <c r="AG22" s="145">
        <f>IF(AG$1=1,Ingresos!$P10*Ingresos!$A$23,'Flujo de caja mensual'!AF22*((1+HLOOKUP('Flujo de caja mensual'!AF$2,Ingresos!$S$8:$AC$10,3,0))^(1/12)))</f>
        <v>53668906.34096317</v>
      </c>
      <c r="AH22" s="145">
        <f>IF(AH$1=1,Ingresos!$P10*Ingresos!$A$23,'Flujo de caja mensual'!AG22*((1+HLOOKUP('Flujo de caja mensual'!AG$2,Ingresos!$S$8:$AC$10,3,0))^(1/12)))</f>
        <v>53801268.342384487</v>
      </c>
      <c r="AI22" s="145">
        <f>IF(AI$1=1,Ingresos!$P10*Ingresos!$A$23,'Flujo de caja mensual'!AH22*((1+HLOOKUP('Flujo de caja mensual'!AH$2,Ingresos!$S$8:$AC$10,3,0))^(1/12)))</f>
        <v>53933956.784208909</v>
      </c>
      <c r="AJ22" s="145">
        <f>IF(AJ$1=1,Ingresos!$P10*Ingresos!$A$23,'Flujo de caja mensual'!AI22*((1+HLOOKUP('Flujo de caja mensual'!AI$2,Ingresos!$S$8:$AC$10,3,0))^(1/12)))</f>
        <v>54066972.471526533</v>
      </c>
      <c r="AK22" s="145">
        <f>IF(AK$1=1,Ingresos!$P10*Ingresos!$A$23,'Flujo de caja mensual'!AJ22*((1+HLOOKUP('Flujo de caja mensual'!AJ$2,Ingresos!$S$8:$AC$10,3,0))^(1/12)))</f>
        <v>54200316.211413033</v>
      </c>
      <c r="AL22" s="145">
        <f>IF(AL$1=1,Ingresos!$P10*Ingresos!$A$23,'Flujo de caja mensual'!AK22*((1+HLOOKUP('Flujo de caja mensual'!AK$2,Ingresos!$S$8:$AC$10,3,0))^(1/12)))</f>
        <v>54333988.81293454</v>
      </c>
      <c r="AM22" s="145">
        <f>IF(AM$1=1,Ingresos!$P10*Ingresos!$A$23,'Flujo de caja mensual'!AL22*((1+HLOOKUP('Flujo de caja mensual'!AL$2,Ingresos!$S$8:$AC$10,3,0))^(1/12)))</f>
        <v>54467991.08715257</v>
      </c>
      <c r="AN22" s="145">
        <f>IF(AN$1=1,Ingresos!$P10*Ingresos!$A$23,'Flujo de caja mensual'!AM22*((1+HLOOKUP('Flujo de caja mensual'!AM$2,Ingresos!$S$8:$AC$10,3,0))^(1/12)))</f>
        <v>54602323.84712892</v>
      </c>
      <c r="AO22" s="145">
        <f>IF(AO$1=1,Ingresos!$P10*Ingresos!$A$23,'Flujo de caja mensual'!AN22*((1+HLOOKUP('Flujo de caja mensual'!AN$2,Ingresos!$S$8:$AC$10,3,0))^(1/12)))</f>
        <v>54736987.907930627</v>
      </c>
      <c r="AP22" s="145">
        <f>IF(AP$1=1,Ingresos!$P10*Ingresos!$A$23,'Flujo de caja mensual'!AO22*((1+HLOOKUP('Flujo de caja mensual'!AO$2,Ingresos!$S$8:$AC$10,3,0))^(1/12)))</f>
        <v>54871984.086634912</v>
      </c>
      <c r="AQ22" s="145">
        <f>IF(AQ$1=1,Ingresos!$P10*Ingresos!$A$23,'Flujo de caja mensual'!AP22*((1+HLOOKUP('Flujo de caja mensual'!AP$2,Ingresos!$S$8:$AC$10,3,0))^(1/12)))</f>
        <v>55007313.202334106</v>
      </c>
      <c r="AR22" s="145">
        <f>IF(AR$1=1,Ingresos!$P10*Ingresos!$A$23,'Flujo de caja mensual'!AQ22*((1+HLOOKUP('Flujo de caja mensual'!AQ$2,Ingresos!$S$8:$AC$10,3,0))^(1/12)))</f>
        <v>55142976.076140665</v>
      </c>
      <c r="AS22" s="145">
        <f>IF(AS$1=1,Ingresos!$P10*Ingresos!$A$23,'Flujo de caja mensual'!AR22*((1+HLOOKUP('Flujo de caja mensual'!AR$2,Ingresos!$S$8:$AC$10,3,0))^(1/12)))</f>
        <v>55278973.531192116</v>
      </c>
      <c r="AT22" s="145">
        <f>IF(AT$1=1,Ingresos!$P10*Ingresos!$A$23,'Flujo de caja mensual'!AS22*((1+HLOOKUP('Flujo de caja mensual'!AS$2,Ingresos!$S$8:$AC$10,3,0))^(1/12)))</f>
        <v>55415306.392656073</v>
      </c>
      <c r="AU22" s="145">
        <f>IF(AU$1=1,Ingresos!$P10*Ingresos!$A$23,'Flujo de caja mensual'!AT22*((1+HLOOKUP('Flujo de caja mensual'!AT$2,Ingresos!$S$8:$AC$10,3,0))^(1/12)))</f>
        <v>55551975.487735227</v>
      </c>
      <c r="AV22" s="145">
        <f>IF(AV$1=1,Ingresos!$P10*Ingresos!$A$23,'Flujo de caja mensual'!AU22*((1+HLOOKUP('Flujo de caja mensual'!AU$2,Ingresos!$S$8:$AC$10,3,0))^(1/12)))</f>
        <v>55688981.645672381</v>
      </c>
      <c r="AW22" s="145">
        <f>IF(AW$1=1,Ingresos!$P10*Ingresos!$A$23,'Flujo de caja mensual'!AV22*((1+HLOOKUP('Flujo de caja mensual'!AV$2,Ingresos!$S$8:$AC$10,3,0))^(1/12)))</f>
        <v>55826325.697755478</v>
      </c>
      <c r="AX22" s="145">
        <f>IF(AX$1=1,Ingresos!$P10*Ingresos!$A$23,'Flujo de caja mensual'!AW22*((1+HLOOKUP('Flujo de caja mensual'!AW$2,Ingresos!$S$8:$AC$10,3,0))^(1/12)))</f>
        <v>55964008.477322631</v>
      </c>
      <c r="AY22" s="145">
        <f>IF(AY$1=1,Ingresos!$P10*Ingresos!$A$23,'Flujo de caja mensual'!AX22*((1+HLOOKUP('Flujo de caja mensual'!AX$2,Ingresos!$S$8:$AC$10,3,0))^(1/12)))</f>
        <v>56102030.819767199</v>
      </c>
      <c r="AZ22" s="145">
        <f>IF(AZ$1=1,Ingresos!$P10*Ingresos!$A$23,'Flujo de caja mensual'!AY22*((1+HLOOKUP('Flujo de caja mensual'!AY$2,Ingresos!$S$8:$AC$10,3,0))^(1/12)))</f>
        <v>56240393.562542841</v>
      </c>
      <c r="BA22" s="145">
        <f>IF(BA$1=1,Ingresos!$P10*Ingresos!$A$23,'Flujo de caja mensual'!AZ22*((1+HLOOKUP('Flujo de caja mensual'!AZ$2,Ingresos!$S$8:$AC$10,3,0))^(1/12)))</f>
        <v>56379097.545168601</v>
      </c>
      <c r="BB22" s="145">
        <f>IF(BB$1=1,Ingresos!$P10*Ingresos!$A$23,'Flujo de caja mensual'!BA22*((1+HLOOKUP('Flujo de caja mensual'!BA$2,Ingresos!$S$8:$AC$10,3,0))^(1/12)))</f>
        <v>56518143.609234013</v>
      </c>
      <c r="BC22" s="145">
        <f>IF(BC$1=1,Ingresos!$P10*Ingresos!$A$23,'Flujo de caja mensual'!BB22*((1+HLOOKUP('Flujo de caja mensual'!BB$2,Ingresos!$S$8:$AC$10,3,0))^(1/12)))</f>
        <v>56657532.598404184</v>
      </c>
      <c r="BD22" s="145">
        <f>IF(BD$1=1,Ingresos!$P10*Ingresos!$A$23,'Flujo de caja mensual'!BC22*((1+HLOOKUP('Flujo de caja mensual'!BC$2,Ingresos!$S$8:$AC$10,3,0))^(1/12)))</f>
        <v>56797265.358424939</v>
      </c>
      <c r="BE22" s="145">
        <f>IF(BE$1=1,Ingresos!$P10*Ingresos!$A$23,'Flujo de caja mensual'!BD22*((1+HLOOKUP('Flujo de caja mensual'!BD$2,Ingresos!$S$8:$AC$10,3,0))^(1/12)))</f>
        <v>56937342.737127937</v>
      </c>
      <c r="BF22" s="145">
        <f>IF(BF$1=1,Ingresos!$P10*Ingresos!$A$23,'Flujo de caja mensual'!BE22*((1+HLOOKUP('Flujo de caja mensual'!BE$2,Ingresos!$S$8:$AC$10,3,0))^(1/12)))</f>
        <v>57077765.584435813</v>
      </c>
      <c r="BG22" s="145">
        <f>IF(BG$1=1,Ingresos!$P10*Ingresos!$A$23,'Flujo de caja mensual'!BF22*((1+HLOOKUP('Flujo de caja mensual'!BF$2,Ingresos!$S$8:$AC$10,3,0))^(1/12)))</f>
        <v>57218534.75236734</v>
      </c>
      <c r="BH22" s="145">
        <f>IF(BH$1=1,Ingresos!$P10*Ingresos!$A$23,'Flujo de caja mensual'!BG22*((1+HLOOKUP('Flujo de caja mensual'!BG$2,Ingresos!$S$8:$AC$10,3,0))^(1/12)))</f>
        <v>57359651.095042609</v>
      </c>
      <c r="BI22" s="145">
        <f>IF(BI$1=1,Ingresos!$P10*Ingresos!$A$23,'Flujo de caja mensual'!BH22*((1+HLOOKUP('Flujo de caja mensual'!BH$2,Ingresos!$S$8:$AC$10,3,0))^(1/12)))</f>
        <v>57501115.468688197</v>
      </c>
      <c r="BJ22" s="145">
        <f>IF(BJ$1=1,Ingresos!$P10*Ingresos!$A$23,'Flujo de caja mensual'!BI22*((1+HLOOKUP('Flujo de caja mensual'!BI$2,Ingresos!$S$8:$AC$10,3,0))^(1/12)))</f>
        <v>57642928.731642365</v>
      </c>
      <c r="BK22" s="145">
        <f>IF(BK$1=1,Ingresos!$P10*Ingresos!$A$23,'Flujo de caja mensual'!BJ22*((1+HLOOKUP('Flujo de caja mensual'!BJ$2,Ingresos!$S$8:$AC$10,3,0))^(1/12)))</f>
        <v>57785091.744360268</v>
      </c>
      <c r="BL22" s="145">
        <f>IF(BL$1=1,Ingresos!$P10*Ingresos!$A$23,'Flujo de caja mensual'!BK22*((1+HLOOKUP('Flujo de caja mensual'!BK$2,Ingresos!$S$8:$AC$10,3,0))^(1/12)))</f>
        <v>57927605.36941918</v>
      </c>
      <c r="BM22" s="145">
        <f>IF(BM$1=1,Ingresos!$P10*Ingresos!$A$23,'Flujo de caja mensual'!BL22*((1+HLOOKUP('Flujo de caja mensual'!BL$2,Ingresos!$S$8:$AC$10,3,0))^(1/12)))</f>
        <v>58070470.471523717</v>
      </c>
      <c r="BN22" s="145">
        <f>IF(BN$1=1,Ingresos!$P10*Ingresos!$A$23,'Flujo de caja mensual'!BM22*((1+HLOOKUP('Flujo de caja mensual'!BM$2,Ingresos!$S$8:$AC$10,3,0))^(1/12)))</f>
        <v>58213687.917511091</v>
      </c>
      <c r="BO22" s="145">
        <f>IF(BO$1=1,Ingresos!$P10*Ingresos!$A$23,'Flujo de caja mensual'!BN22*((1+HLOOKUP('Flujo de caja mensual'!BN$2,Ingresos!$S$8:$AC$10,3,0))^(1/12)))</f>
        <v>58357258.576356366</v>
      </c>
      <c r="BP22" s="145">
        <f>IF(BP$1=1,Ingresos!$P10*Ingresos!$A$23,'Flujo de caja mensual'!BO22*((1+HLOOKUP('Flujo de caja mensual'!BO$2,Ingresos!$S$8:$AC$10,3,0))^(1/12)))</f>
        <v>58501183.319177747</v>
      </c>
      <c r="BQ22" s="145">
        <f>IF(BQ$1=1,Ingresos!$P10*Ingresos!$A$23,'Flujo de caja mensual'!BP22*((1+HLOOKUP('Flujo de caja mensual'!BP$2,Ingresos!$S$8:$AC$10,3,0))^(1/12)))</f>
        <v>58645463.019241832</v>
      </c>
      <c r="BR22" s="145">
        <f>IF(BR$1=1,Ingresos!$P10*Ingresos!$A$23,'Flujo de caja mensual'!BQ22*((1+HLOOKUP('Flujo de caja mensual'!BQ$2,Ingresos!$S$8:$AC$10,3,0))^(1/12)))</f>
        <v>58790098.55196894</v>
      </c>
      <c r="BS22" s="145">
        <f>IF(BS$1=1,Ingresos!$P10*Ingresos!$A$23,'Flujo de caja mensual'!BR22*((1+HLOOKUP('Flujo de caja mensual'!BR$2,Ingresos!$S$8:$AC$10,3,0))^(1/12)))</f>
        <v>58935090.794938415</v>
      </c>
      <c r="BT22" s="145">
        <f>IF(BT$1=1,Ingresos!$P10*Ingresos!$A$23,'Flujo de caja mensual'!BS22*((1+HLOOKUP('Flujo de caja mensual'!BS$2,Ingresos!$S$8:$AC$10,3,0))^(1/12)))</f>
        <v>59080440.627893947</v>
      </c>
      <c r="BU22" s="145">
        <f>IF(BU$1=1,Ingresos!$P10*Ingresos!$A$23,'Flujo de caja mensual'!BT22*((1+HLOOKUP('Flujo de caja mensual'!BT$2,Ingresos!$S$8:$AC$10,3,0))^(1/12)))</f>
        <v>59226148.932748906</v>
      </c>
      <c r="BV22" s="145">
        <f>IF(BV$1=1,Ingresos!$P10*Ingresos!$A$23,'Flujo de caja mensual'!BU22*((1+HLOOKUP('Flujo de caja mensual'!BU$2,Ingresos!$S$8:$AC$10,3,0))^(1/12)))</f>
        <v>59372216.593591698</v>
      </c>
      <c r="BW22" s="145">
        <f>IF(BW$1=1,Ingresos!$P10*Ingresos!$A$23,'Flujo de caja mensual'!BV22*((1+HLOOKUP('Flujo de caja mensual'!BV$2,Ingresos!$S$8:$AC$10,3,0))^(1/12)))</f>
        <v>59518644.496691138</v>
      </c>
      <c r="BX22" s="145">
        <f>IF(BX$1=1,Ingresos!$P10*Ingresos!$A$23,'Flujo de caja mensual'!BW22*((1+HLOOKUP('Flujo de caja mensual'!BW$2,Ingresos!$S$8:$AC$10,3,0))^(1/12)))</f>
        <v>59665433.530501813</v>
      </c>
      <c r="BY22" s="145">
        <f>IF(BY$1=1,Ingresos!$P10*Ingresos!$A$23,'Flujo de caja mensual'!BX22*((1+HLOOKUP('Flujo de caja mensual'!BX$2,Ingresos!$S$8:$AC$10,3,0))^(1/12)))</f>
        <v>59812584.585669488</v>
      </c>
      <c r="BZ22" s="145">
        <f>IF(BZ$1=1,Ingresos!$P10*Ingresos!$A$23,'Flujo de caja mensual'!BY22*((1+HLOOKUP('Flujo de caja mensual'!BY$2,Ingresos!$S$8:$AC$10,3,0))^(1/12)))</f>
        <v>59960098.555036485</v>
      </c>
      <c r="CA22" s="145">
        <f>IF(CA$1=1,Ingresos!$P10*Ingresos!$A$23,'Flujo de caja mensual'!BZ22*((1+HLOOKUP('Flujo de caja mensual'!BZ$2,Ingresos!$S$8:$AC$10,3,0))^(1/12)))</f>
        <v>60107976.333647124</v>
      </c>
      <c r="CB22" s="145">
        <f>IF(CB$1=1,Ingresos!$P10*Ingresos!$A$23,'Flujo de caja mensual'!CA22*((1+HLOOKUP('Flujo de caja mensual'!CA$2,Ingresos!$S$8:$AC$10,3,0))^(1/12)))</f>
        <v>60256218.818753146</v>
      </c>
      <c r="CC22" s="145">
        <f>IF(CC$1=1,Ingresos!$P10*Ingresos!$A$23,'Flujo de caja mensual'!CB22*((1+HLOOKUP('Flujo de caja mensual'!CB$2,Ingresos!$S$8:$AC$10,3,0))^(1/12)))</f>
        <v>60404826.909819156</v>
      </c>
      <c r="CD22" s="145">
        <f>IF(CD$1=1,Ingresos!$P10*Ingresos!$A$23,'Flujo de caja mensual'!CC22*((1+HLOOKUP('Flujo de caja mensual'!CC$2,Ingresos!$S$8:$AC$10,3,0))^(1/12)))</f>
        <v>60553801.508528076</v>
      </c>
      <c r="CE22" s="145">
        <f>IF(CE$1=1,Ingresos!$P10*Ingresos!$A$23,'Flujo de caja mensual'!CD22*((1+HLOOKUP('Flujo de caja mensual'!CD$2,Ingresos!$S$8:$AC$10,3,0))^(1/12)))</f>
        <v>60703143.518786639</v>
      </c>
      <c r="CF22" s="145">
        <f>IF(CF$1=1,Ingresos!$P10*Ingresos!$A$23,'Flujo de caja mensual'!CE22*((1+HLOOKUP('Flujo de caja mensual'!CE$2,Ingresos!$S$8:$AC$10,3,0))^(1/12)))</f>
        <v>60852853.846730836</v>
      </c>
      <c r="CG22" s="145">
        <f>IF(CG$1=1,Ingresos!$P10*Ingresos!$A$23,'Flujo de caja mensual'!CF22*((1+HLOOKUP('Flujo de caja mensual'!CF$2,Ingresos!$S$8:$AC$10,3,0))^(1/12)))</f>
        <v>61002933.400731444</v>
      </c>
      <c r="CH22" s="145">
        <f>IF(CH$1=1,Ingresos!$P10*Ingresos!$A$23,'Flujo de caja mensual'!CG22*((1+HLOOKUP('Flujo de caja mensual'!CG$2,Ingresos!$S$8:$AC$10,3,0))^(1/12)))</f>
        <v>61153383.091399521</v>
      </c>
      <c r="CI22" s="145">
        <f>IF(CI$1=1,Ingresos!$P10*Ingresos!$A$23,'Flujo de caja mensual'!CH22*((1+HLOOKUP('Flujo de caja mensual'!CH$2,Ingresos!$S$8:$AC$10,3,0))^(1/12)))</f>
        <v>61304203.831591949</v>
      </c>
      <c r="CJ22" s="145">
        <f>IF(CJ$1=1,Ingresos!$P10*Ingresos!$A$23,'Flujo de caja mensual'!CI22*((1+HLOOKUP('Flujo de caja mensual'!CI$2,Ingresos!$S$8:$AC$10,3,0))^(1/12)))</f>
        <v>61455396.536416948</v>
      </c>
      <c r="CK22" s="145">
        <f>IF(CK$1=1,Ingresos!$P10*Ingresos!$A$23,'Flujo de caja mensual'!CJ22*((1+HLOOKUP('Flujo de caja mensual'!CJ$2,Ingresos!$S$8:$AC$10,3,0))^(1/12)))</f>
        <v>61606962.123239651</v>
      </c>
      <c r="CL22" s="145">
        <f>IF(CL$1=1,Ingresos!$P10*Ingresos!$A$23,'Flujo de caja mensual'!CK22*((1+HLOOKUP('Flujo de caja mensual'!CK$2,Ingresos!$S$8:$AC$10,3,0))^(1/12)))</f>
        <v>61758901.511687659</v>
      </c>
      <c r="CM22" s="145">
        <f>IF(CM$1=1,Ingresos!$P10*Ingresos!$A$23,'Flujo de caja mensual'!CL22*((1+HLOOKUP('Flujo de caja mensual'!CL$2,Ingresos!$S$8:$AC$10,3,0))^(1/12)))</f>
        <v>61911215.623656616</v>
      </c>
      <c r="CN22" s="145">
        <f>IF(CN$1=1,Ingresos!$P10*Ingresos!$A$23,'Flujo de caja mensual'!CM22*((1+HLOOKUP('Flujo de caja mensual'!CM$2,Ingresos!$S$8:$AC$10,3,0))^(1/12)))</f>
        <v>62063905.383315817</v>
      </c>
      <c r="CO22" s="145">
        <f>IF(CO$1=1,Ingresos!$P10*Ingresos!$A$23,'Flujo de caja mensual'!CN22*((1+HLOOKUP('Flujo de caja mensual'!CN$2,Ingresos!$S$8:$AC$10,3,0))^(1/12)))</f>
        <v>62216971.717113808</v>
      </c>
      <c r="CP22" s="145">
        <f>IF(CP$1=1,Ingresos!$P10*Ingresos!$A$23,'Flujo de caja mensual'!CO22*((1+HLOOKUP('Flujo de caja mensual'!CO$2,Ingresos!$S$8:$AC$10,3,0))^(1/12)))</f>
        <v>62370415.553783998</v>
      </c>
      <c r="CQ22" s="145">
        <f>IF(CQ$1=1,Ingresos!$P10*Ingresos!$A$23,'Flujo de caja mensual'!CP22*((1+HLOOKUP('Flujo de caja mensual'!CP$2,Ingresos!$S$8:$AC$10,3,0))^(1/12)))</f>
        <v>62524237.824350312</v>
      </c>
      <c r="CR22" s="145">
        <f>IF(CR$1=1,Ingresos!$P10*Ingresos!$A$23,'Flujo de caja mensual'!CQ22*((1+HLOOKUP('Flujo de caja mensual'!CQ$2,Ingresos!$S$8:$AC$10,3,0))^(1/12)))</f>
        <v>62678439.462132834</v>
      </c>
      <c r="CS22" s="145">
        <f>IF(CS$1=1,Ingresos!$P10*Ingresos!$A$23,'Flujo de caja mensual'!CR22*((1+HLOOKUP('Flujo de caja mensual'!CR$2,Ingresos!$S$8:$AC$10,3,0))^(1/12)))</f>
        <v>62833021.402753457</v>
      </c>
      <c r="CT22" s="145">
        <f>IF(CT$1=1,Ingresos!$P10*Ingresos!$A$23,'Flujo de caja mensual'!CS22*((1+HLOOKUP('Flujo de caja mensual'!CS$2,Ingresos!$S$8:$AC$10,3,0))^(1/12)))</f>
        <v>62987984.584141582</v>
      </c>
      <c r="CU22" s="145">
        <f>IF(CU$1=1,Ingresos!$P10*Ingresos!$A$23,'Flujo de caja mensual'!CT22*((1+HLOOKUP('Flujo de caja mensual'!CT$2,Ingresos!$S$8:$AC$10,3,0))^(1/12)))</f>
        <v>63143329.946539782</v>
      </c>
      <c r="CV22" s="145">
        <f>IF(CV$1=1,Ingresos!$P10*Ingresos!$A$23,'Flujo de caja mensual'!CU22*((1+HLOOKUP('Flujo de caja mensual'!CU$2,Ingresos!$S$8:$AC$10,3,0))^(1/12)))</f>
        <v>63299058.432509534</v>
      </c>
      <c r="CW22" s="145">
        <f>IF(CW$1=1,Ingresos!$P10*Ingresos!$A$23,'Flujo de caja mensual'!CV22*((1+HLOOKUP('Flujo de caja mensual'!CV$2,Ingresos!$S$8:$AC$10,3,0))^(1/12)))</f>
        <v>63455170.986936919</v>
      </c>
      <c r="CX22" s="145">
        <f>IF(CX$1=1,Ingresos!$P10*Ingresos!$A$23,'Flujo de caja mensual'!CW22*((1+HLOOKUP('Flujo de caja mensual'!CW$2,Ingresos!$S$8:$AC$10,3,0))^(1/12)))</f>
        <v>63611668.557038367</v>
      </c>
      <c r="CY22" s="145">
        <f>IF(CY$1=1,Ingresos!$P10*Ingresos!$A$23,'Flujo de caja mensual'!CX22*((1+HLOOKUP('Flujo de caja mensual'!CX$2,Ingresos!$S$8:$AC$10,3,0))^(1/12)))</f>
        <v>63768552.09236639</v>
      </c>
      <c r="CZ22" s="145">
        <f>IF(CZ$1=1,Ingresos!$P10*Ingresos!$A$23,'Flujo de caja mensual'!CY22*((1+HLOOKUP('Flujo de caja mensual'!CY$2,Ingresos!$S$8:$AC$10,3,0))^(1/12)))</f>
        <v>63925822.544815369</v>
      </c>
      <c r="DA22" s="145">
        <f>IF(DA$1=1,Ingresos!$P10*Ingresos!$A$23,'Flujo de caja mensual'!CZ22*((1+HLOOKUP('Flujo de caja mensual'!CZ$2,Ingresos!$S$8:$AC$10,3,0))^(1/12)))</f>
        <v>64083480.868627295</v>
      </c>
      <c r="DB22" s="145">
        <f>IF(DB$1=1,Ingresos!$P10*Ingresos!$A$23,'Flujo de caja mensual'!DA22*((1+HLOOKUP('Flujo de caja mensual'!DA$2,Ingresos!$S$8:$AC$10,3,0))^(1/12)))</f>
        <v>64241528.020397589</v>
      </c>
      <c r="DC22" s="145">
        <f>IF(DC$1=1,Ingresos!$P10*Ingresos!$A$23,'Flujo de caja mensual'!DB22*((1+HLOOKUP('Flujo de caja mensual'!DB$2,Ingresos!$S$8:$AC$10,3,0))^(1/12)))</f>
        <v>64399964.959080897</v>
      </c>
      <c r="DD22" s="145">
        <f>IF(DD$1=1,Ingresos!$P10*Ingresos!$A$23,'Flujo de caja mensual'!DC22*((1+HLOOKUP('Flujo de caja mensual'!DC$2,Ingresos!$S$8:$AC$10,3,0))^(1/12)))</f>
        <v>64558792.645996898</v>
      </c>
      <c r="DE22" s="145">
        <f>IF(DE$1=1,Ingresos!$P10*Ingresos!$A$23,'Flujo de caja mensual'!DD22*((1+HLOOKUP('Flujo de caja mensual'!DD$2,Ingresos!$S$8:$AC$10,3,0))^(1/12)))</f>
        <v>64718012.044836141</v>
      </c>
      <c r="DF22" s="145">
        <f>IF(DF$1=1,Ingresos!$P10*Ingresos!$A$23,'Flujo de caja mensual'!DE22*((1+HLOOKUP('Flujo de caja mensual'!DE$2,Ingresos!$S$8:$AC$10,3,0))^(1/12)))</f>
        <v>64877624.12166591</v>
      </c>
      <c r="DG22" s="145">
        <f>IF(DG$1=1,Ingresos!$P10*Ingresos!$A$23,'Flujo de caja mensual'!DF22*((1+HLOOKUP('Flujo de caja mensual'!DF$2,Ingresos!$S$8:$AC$10,3,0))^(1/12)))</f>
        <v>65037629.844936058</v>
      </c>
      <c r="DH22" s="145">
        <f>IF(DH$1=1,Ingresos!$P10*Ingresos!$A$23,'Flujo de caja mensual'!DG22*((1+HLOOKUP('Flujo de caja mensual'!DG$2,Ingresos!$S$8:$AC$10,3,0))^(1/12)))</f>
        <v>65198030.185484901</v>
      </c>
      <c r="DI22" s="145">
        <f>IF(DI$1=1,Ingresos!$P10*Ingresos!$A$23,'Flujo de caja mensual'!DH22*((1+HLOOKUP('Flujo de caja mensual'!DH$2,Ingresos!$S$8:$AC$10,3,0))^(1/12)))</f>
        <v>65358826.116545103</v>
      </c>
      <c r="DJ22" s="145">
        <f>IF(DJ$1=1,Ingresos!$P10*Ingresos!$A$23,'Flujo de caja mensual'!DI22*((1+HLOOKUP('Flujo de caja mensual'!DI$2,Ingresos!$S$8:$AC$10,3,0))^(1/12)))</f>
        <v>65520018.613749593</v>
      </c>
      <c r="DK22" s="145">
        <f>IF(DK$1=1,Ingresos!$P10*Ingresos!$A$23,'Flujo de caja mensual'!DJ22*((1+HLOOKUP('Flujo de caja mensual'!DJ$2,Ingresos!$S$8:$AC$10,3,0))^(1/12)))</f>
        <v>65681608.655137457</v>
      </c>
      <c r="DL22" s="145">
        <f>IF(DL$1=1,Ingresos!$P10*Ingresos!$A$23,'Flujo de caja mensual'!DK22*((1+HLOOKUP('Flujo de caja mensual'!DK$2,Ingresos!$S$8:$AC$10,3,0))^(1/12)))</f>
        <v>65843597.221159905</v>
      </c>
      <c r="DM22" s="145">
        <f>IF(DM$1=1,Ingresos!$P10*Ingresos!$A$23,'Flujo de caja mensual'!DL22*((1+HLOOKUP('Flujo de caja mensual'!DL$2,Ingresos!$S$8:$AC$10,3,0))^(1/12)))</f>
        <v>66005985.294686191</v>
      </c>
      <c r="DN22" s="145">
        <f>IF(DN$1=1,Ingresos!$P10*Ingresos!$A$23,'Flujo de caja mensual'!DM22*((1+HLOOKUP('Flujo de caja mensual'!DM$2,Ingresos!$S$8:$AC$10,3,0))^(1/12)))</f>
        <v>66168773.861009598</v>
      </c>
      <c r="DO22" s="145">
        <f>IF(DO$1=1,Ingresos!$P10*Ingresos!$A$23,'Flujo de caja mensual'!DN22*((1+HLOOKUP('Flujo de caja mensual'!DN$2,Ingresos!$S$8:$AC$10,3,0))^(1/12)))</f>
        <v>66331963.907853402</v>
      </c>
      <c r="DP22" s="145">
        <f>IF(DP$1=1,Ingresos!$P10*Ingresos!$A$23,'Flujo de caja mensual'!DO22*((1+HLOOKUP('Flujo de caja mensual'!DO$2,Ingresos!$S$8:$AC$10,3,0))^(1/12)))</f>
        <v>66495556.425376877</v>
      </c>
      <c r="DQ22" s="145">
        <f>IF(DQ$1=1,Ingresos!$P10*Ingresos!$A$23,'Flujo de caja mensual'!DP22*((1+HLOOKUP('Flujo de caja mensual'!DP$2,Ingresos!$S$8:$AC$10,3,0))^(1/12)))</f>
        <v>66659552.406181298</v>
      </c>
      <c r="DR22" s="145">
        <f>IF(DR$1=1,Ingresos!$P10*Ingresos!$A$23,'Flujo de caja mensual'!DQ22*((1+HLOOKUP('Flujo de caja mensual'!DQ$2,Ingresos!$S$8:$AC$10,3,0))^(1/12)))</f>
        <v>66823952.845315956</v>
      </c>
      <c r="DS22" s="145">
        <f>IF(DS$1=1,Ingresos!$P10*Ingresos!$A$23,'Flujo de caja mensual'!DR22*((1+HLOOKUP('Flujo de caja mensual'!DR$2,Ingresos!$S$8:$AC$10,3,0))^(1/12)))</f>
        <v>66988758.740284204</v>
      </c>
      <c r="DT22" s="145">
        <f>IF(DT$1=1,Ingresos!$P10*Ingresos!$A$23,'Flujo de caja mensual'!DS22*((1+HLOOKUP('Flujo de caja mensual'!DS$2,Ingresos!$S$8:$AC$10,3,0))^(1/12)))</f>
        <v>67153971.091049507</v>
      </c>
      <c r="DU22" s="145">
        <f>IF(DU$1=1,Ingresos!$P10*Ingresos!$A$23,'Flujo de caja mensual'!DT22*((1+HLOOKUP('Flujo de caja mensual'!DT$2,Ingresos!$S$8:$AC$10,3,0))^(1/12)))</f>
        <v>67319590.900041521</v>
      </c>
      <c r="DV22" s="145">
        <f>IF(DV$1=1,Ingresos!$P10*Ingresos!$A$23,'Flujo de caja mensual'!DU22*((1+HLOOKUP('Flujo de caja mensual'!DU$2,Ingresos!$S$8:$AC$10,3,0))^(1/12)))</f>
        <v>67485619.172162145</v>
      </c>
      <c r="DW22" s="145">
        <f>IF(DW$1=1,Ingresos!$P10*Ingresos!$A$23,'Flujo de caja mensual'!DV22*((1+HLOOKUP('Flujo de caja mensual'!DV$2,Ingresos!$S$8:$AC$10,3,0))^(1/12)))</f>
        <v>67652056.914791644</v>
      </c>
      <c r="DX22" s="145">
        <f>IF(DX$1=1,Ingresos!$P10*Ingresos!$A$23,'Flujo de caja mensual'!DW22*((1+HLOOKUP('Flujo de caja mensual'!DW$2,Ingresos!$S$8:$AC$10,3,0))^(1/12)))</f>
        <v>67818905.137794763</v>
      </c>
      <c r="DY22" s="145">
        <f>IF(DY$1=1,Ingresos!$P10*Ingresos!$A$23,'Flujo de caja mensual'!DX22*((1+HLOOKUP('Flujo de caja mensual'!DX$2,Ingresos!$S$8:$AC$10,3,0))^(1/12)))</f>
        <v>67986164.853526831</v>
      </c>
      <c r="DZ22" s="145">
        <f>IF(DZ$1=1,Ingresos!$P10*Ingresos!$A$23,'Flujo de caja mensual'!DY22*((1+HLOOKUP('Flujo de caja mensual'!DY$2,Ingresos!$S$8:$AC$10,3,0))^(1/12)))</f>
        <v>68153837.076839939</v>
      </c>
      <c r="EA22" s="145">
        <f>IF(EA$1=1,Ingresos!$P10*Ingresos!$A$23,'Flujo de caja mensual'!DZ22*((1+HLOOKUP('Flujo de caja mensual'!DZ$2,Ingresos!$S$8:$AC$10,3,0))^(1/12)))</f>
        <v>68321922.825089052</v>
      </c>
      <c r="EB22" s="145">
        <f>IF(EB$1=1,Ingresos!$P10*Ingresos!$A$23,'Flujo de caja mensual'!EA22*((1+HLOOKUP('Flujo de caja mensual'!EA$2,Ingresos!$S$8:$AC$10,3,0))^(1/12)))</f>
        <v>68490423.118138239</v>
      </c>
      <c r="EC22" s="145">
        <f>IF(EC$1=1,Ingresos!$P10*Ingresos!$A$23,'Flujo de caja mensual'!EB22*((1+HLOOKUP('Flujo de caja mensual'!EB$2,Ingresos!$S$8:$AC$10,3,0))^(1/12)))</f>
        <v>68659338.978366792</v>
      </c>
      <c r="ED22" s="145">
        <f>IF(ED$1=1,Ingresos!$P10*Ingresos!$A$23,'Flujo de caja mensual'!EC22*((1+HLOOKUP('Flujo de caja mensual'!EC$2,Ingresos!$S$8:$AC$10,3,0))^(1/12)))</f>
        <v>68828671.430675492</v>
      </c>
      <c r="EE22" s="146">
        <f>IF(EE$1=1,Ingresos!$P10*Ingresos!$A$23,'Flujo de caja mensual'!ED22*((1+HLOOKUP('Flujo de caja mensual'!ED$2,Ingresos!$S$8:$AC$10,3,0))^(1/12)))</f>
        <v>68998421.502492785</v>
      </c>
    </row>
    <row r="23" spans="1:135" x14ac:dyDescent="0.25">
      <c r="A23" s="152">
        <f>SUMIF($C$1:$EE$1,"&lt;="&amp;Resumen!$K$19,'Flujo de caja mensual'!C23:EE23)</f>
        <v>0</v>
      </c>
      <c r="B23" s="5"/>
      <c r="C23" s="144"/>
      <c r="D23" s="145">
        <f>IF(D$1=1,Ingresos!$P11*Ingresos!$A$23,'Flujo de caja mensual'!C23*((1+HLOOKUP('Flujo de caja mensual'!C$2,Ingresos!$S$8:$AC$10,3,0))^(1/12)))</f>
        <v>0</v>
      </c>
      <c r="E23" s="145">
        <f>IF(E$1=1,Ingresos!$P11*Ingresos!$A$23,'Flujo de caja mensual'!D23*((1+HLOOKUP('Flujo de caja mensual'!D$2,Ingresos!$S$8:$AC$10,3,0))^(1/12)))</f>
        <v>0</v>
      </c>
      <c r="F23" s="145">
        <f>IF(F$1=1,Ingresos!$P11*Ingresos!$A$23,'Flujo de caja mensual'!E23*((1+HLOOKUP('Flujo de caja mensual'!E$2,Ingresos!$S$8:$AC$10,3,0))^(1/12)))</f>
        <v>0</v>
      </c>
      <c r="G23" s="145">
        <f>IF(G$1=1,Ingresos!$P11*Ingresos!$A$23,'Flujo de caja mensual'!F23*((1+HLOOKUP('Flujo de caja mensual'!F$2,Ingresos!$S$8:$AC$10,3,0))^(1/12)))</f>
        <v>0</v>
      </c>
      <c r="H23" s="145">
        <f>IF(H$1=1,Ingresos!$P11*Ingresos!$A$23,'Flujo de caja mensual'!G23*((1+HLOOKUP('Flujo de caja mensual'!G$2,Ingresos!$S$8:$AC$10,3,0))^(1/12)))</f>
        <v>0</v>
      </c>
      <c r="I23" s="145">
        <f>IF(I$1=1,Ingresos!$P11*Ingresos!$A$23,'Flujo de caja mensual'!H23*((1+HLOOKUP('Flujo de caja mensual'!H$2,Ingresos!$S$8:$AC$10,3,0))^(1/12)))</f>
        <v>0</v>
      </c>
      <c r="J23" s="145">
        <f>IF(J$1=1,Ingresos!$P11*Ingresos!$A$23,'Flujo de caja mensual'!I23*((1+HLOOKUP('Flujo de caja mensual'!I$2,Ingresos!$S$8:$AC$10,3,0))^(1/12)))</f>
        <v>0</v>
      </c>
      <c r="K23" s="145">
        <f>IF(K$1=1,Ingresos!$P11*Ingresos!$A$23,'Flujo de caja mensual'!J23*((1+HLOOKUP('Flujo de caja mensual'!J$2,Ingresos!$S$8:$AC$10,3,0))^(1/12)))</f>
        <v>0</v>
      </c>
      <c r="L23" s="145">
        <f>IF(L$1=1,Ingresos!$P11*Ingresos!$A$23,'Flujo de caja mensual'!K23*((1+HLOOKUP('Flujo de caja mensual'!K$2,Ingresos!$S$8:$AC$10,3,0))^(1/12)))</f>
        <v>0</v>
      </c>
      <c r="M23" s="145">
        <f>IF(M$1=1,Ingresos!$P11*Ingresos!$A$23,'Flujo de caja mensual'!L23*((1+HLOOKUP('Flujo de caja mensual'!L$2,Ingresos!$S$8:$AC$10,3,0))^(1/12)))</f>
        <v>0</v>
      </c>
      <c r="N23" s="145">
        <f>IF(N$1=1,Ingresos!$P11*Ingresos!$A$23,'Flujo de caja mensual'!M23*((1+HLOOKUP('Flujo de caja mensual'!M$2,Ingresos!$S$8:$AC$10,3,0))^(1/12)))</f>
        <v>0</v>
      </c>
      <c r="O23" s="145">
        <f>IF(O$1=1,Ingresos!$P11*Ingresos!$A$23,'Flujo de caja mensual'!N23*((1+HLOOKUP('Flujo de caja mensual'!N$2,Ingresos!$S$8:$AC$10,3,0))^(1/12)))</f>
        <v>0</v>
      </c>
      <c r="P23" s="145">
        <f>IF(P$1=1,Ingresos!$P11*Ingresos!$A$23,'Flujo de caja mensual'!O23*((1+HLOOKUP('Flujo de caja mensual'!O$2,Ingresos!$S$8:$AC$10,3,0))^(1/12)))</f>
        <v>0</v>
      </c>
      <c r="Q23" s="145">
        <f>IF(Q$1=1,Ingresos!$P11*Ingresos!$A$23,'Flujo de caja mensual'!P23*((1+HLOOKUP('Flujo de caja mensual'!P$2,Ingresos!$S$8:$AC$10,3,0))^(1/12)))</f>
        <v>0</v>
      </c>
      <c r="R23" s="145">
        <f>IF(R$1=1,Ingresos!$P11*Ingresos!$A$23,'Flujo de caja mensual'!Q23*((1+HLOOKUP('Flujo de caja mensual'!Q$2,Ingresos!$S$8:$AC$10,3,0))^(1/12)))</f>
        <v>0</v>
      </c>
      <c r="S23" s="145">
        <f>IF(S$1=1,Ingresos!$P11*Ingresos!$A$23,'Flujo de caja mensual'!R23*((1+HLOOKUP('Flujo de caja mensual'!R$2,Ingresos!$S$8:$AC$10,3,0))^(1/12)))</f>
        <v>0</v>
      </c>
      <c r="T23" s="145">
        <f>IF(T$1=1,Ingresos!$P11*Ingresos!$A$23,'Flujo de caja mensual'!S23*((1+HLOOKUP('Flujo de caja mensual'!S$2,Ingresos!$S$8:$AC$10,3,0))^(1/12)))</f>
        <v>0</v>
      </c>
      <c r="U23" s="145">
        <f>IF(U$1=1,Ingresos!$P11*Ingresos!$A$23,'Flujo de caja mensual'!T23*((1+HLOOKUP('Flujo de caja mensual'!T$2,Ingresos!$S$8:$AC$10,3,0))^(1/12)))</f>
        <v>0</v>
      </c>
      <c r="V23" s="145">
        <f>IF(V$1=1,Ingresos!$P11*Ingresos!$A$23,'Flujo de caja mensual'!U23*((1+HLOOKUP('Flujo de caja mensual'!U$2,Ingresos!$S$8:$AC$10,3,0))^(1/12)))</f>
        <v>0</v>
      </c>
      <c r="W23" s="145">
        <f>IF(W$1=1,Ingresos!$P11*Ingresos!$A$23,'Flujo de caja mensual'!V23*((1+HLOOKUP('Flujo de caja mensual'!V$2,Ingresos!$S$8:$AC$10,3,0))^(1/12)))</f>
        <v>0</v>
      </c>
      <c r="X23" s="145">
        <f>IF(X$1=1,Ingresos!$P11*Ingresos!$A$23,'Flujo de caja mensual'!W23*((1+HLOOKUP('Flujo de caja mensual'!W$2,Ingresos!$S$8:$AC$10,3,0))^(1/12)))</f>
        <v>0</v>
      </c>
      <c r="Y23" s="145">
        <f>IF(Y$1=1,Ingresos!$P11*Ingresos!$A$23,'Flujo de caja mensual'!X23*((1+HLOOKUP('Flujo de caja mensual'!X$2,Ingresos!$S$8:$AC$10,3,0))^(1/12)))</f>
        <v>0</v>
      </c>
      <c r="Z23" s="145">
        <f>IF(Z$1=1,Ingresos!$P11*Ingresos!$A$23,'Flujo de caja mensual'!Y23*((1+HLOOKUP('Flujo de caja mensual'!Y$2,Ingresos!$S$8:$AC$10,3,0))^(1/12)))</f>
        <v>0</v>
      </c>
      <c r="AA23" s="145">
        <f>IF(AA$1=1,Ingresos!$P11*Ingresos!$A$23,'Flujo de caja mensual'!Z23*((1+HLOOKUP('Flujo de caja mensual'!Z$2,Ingresos!$S$8:$AC$10,3,0))^(1/12)))</f>
        <v>0</v>
      </c>
      <c r="AB23" s="145">
        <f>IF(AB$1=1,Ingresos!$P11*Ingresos!$A$23,'Flujo de caja mensual'!AA23*((1+HLOOKUP('Flujo de caja mensual'!AA$2,Ingresos!$S$8:$AC$10,3,0))^(1/12)))</f>
        <v>0</v>
      </c>
      <c r="AC23" s="145">
        <f>IF(AC$1=1,Ingresos!$P11*Ingresos!$A$23,'Flujo de caja mensual'!AB23*((1+HLOOKUP('Flujo de caja mensual'!AB$2,Ingresos!$S$8:$AC$10,3,0))^(1/12)))</f>
        <v>0</v>
      </c>
      <c r="AD23" s="145">
        <f>IF(AD$1=1,Ingresos!$P11*Ingresos!$A$23,'Flujo de caja mensual'!AC23*((1+HLOOKUP('Flujo de caja mensual'!AC$2,Ingresos!$S$8:$AC$10,3,0))^(1/12)))</f>
        <v>0</v>
      </c>
      <c r="AE23" s="145">
        <f>IF(AE$1=1,Ingresos!$P11*Ingresos!$A$23,'Flujo de caja mensual'!AD23*((1+HLOOKUP('Flujo de caja mensual'!AD$2,Ingresos!$S$8:$AC$10,3,0))^(1/12)))</f>
        <v>0</v>
      </c>
      <c r="AF23" s="145">
        <f>IF(AF$1=1,Ingresos!$P11*Ingresos!$A$23,'Flujo de caja mensual'!AE23*((1+HLOOKUP('Flujo de caja mensual'!AE$2,Ingresos!$S$8:$AC$10,3,0))^(1/12)))</f>
        <v>0</v>
      </c>
      <c r="AG23" s="145">
        <f>IF(AG$1=1,Ingresos!$P11*Ingresos!$A$23,'Flujo de caja mensual'!AF23*((1+HLOOKUP('Flujo de caja mensual'!AF$2,Ingresos!$S$8:$AC$10,3,0))^(1/12)))</f>
        <v>0</v>
      </c>
      <c r="AH23" s="145">
        <f>IF(AH$1=1,Ingresos!$P11*Ingresos!$A$23,'Flujo de caja mensual'!AG23*((1+HLOOKUP('Flujo de caja mensual'!AG$2,Ingresos!$S$8:$AC$10,3,0))^(1/12)))</f>
        <v>0</v>
      </c>
      <c r="AI23" s="145">
        <f>IF(AI$1=1,Ingresos!$P11*Ingresos!$A$23,'Flujo de caja mensual'!AH23*((1+HLOOKUP('Flujo de caja mensual'!AH$2,Ingresos!$S$8:$AC$10,3,0))^(1/12)))</f>
        <v>0</v>
      </c>
      <c r="AJ23" s="145">
        <f>IF(AJ$1=1,Ingresos!$P11*Ingresos!$A$23,'Flujo de caja mensual'!AI23*((1+HLOOKUP('Flujo de caja mensual'!AI$2,Ingresos!$S$8:$AC$10,3,0))^(1/12)))</f>
        <v>0</v>
      </c>
      <c r="AK23" s="145">
        <f>IF(AK$1=1,Ingresos!$P11*Ingresos!$A$23,'Flujo de caja mensual'!AJ23*((1+HLOOKUP('Flujo de caja mensual'!AJ$2,Ingresos!$S$8:$AC$10,3,0))^(1/12)))</f>
        <v>0</v>
      </c>
      <c r="AL23" s="145">
        <f>IF(AL$1=1,Ingresos!$P11*Ingresos!$A$23,'Flujo de caja mensual'!AK23*((1+HLOOKUP('Flujo de caja mensual'!AK$2,Ingresos!$S$8:$AC$10,3,0))^(1/12)))</f>
        <v>0</v>
      </c>
      <c r="AM23" s="145">
        <f>IF(AM$1=1,Ingresos!$P11*Ingresos!$A$23,'Flujo de caja mensual'!AL23*((1+HLOOKUP('Flujo de caja mensual'!AL$2,Ingresos!$S$8:$AC$10,3,0))^(1/12)))</f>
        <v>0</v>
      </c>
      <c r="AN23" s="145">
        <f>IF(AN$1=1,Ingresos!$P11*Ingresos!$A$23,'Flujo de caja mensual'!AM23*((1+HLOOKUP('Flujo de caja mensual'!AM$2,Ingresos!$S$8:$AC$10,3,0))^(1/12)))</f>
        <v>0</v>
      </c>
      <c r="AO23" s="145">
        <f>IF(AO$1=1,Ingresos!$P11*Ingresos!$A$23,'Flujo de caja mensual'!AN23*((1+HLOOKUP('Flujo de caja mensual'!AN$2,Ingresos!$S$8:$AC$10,3,0))^(1/12)))</f>
        <v>0</v>
      </c>
      <c r="AP23" s="145">
        <f>IF(AP$1=1,Ingresos!$P11*Ingresos!$A$23,'Flujo de caja mensual'!AO23*((1+HLOOKUP('Flujo de caja mensual'!AO$2,Ingresos!$S$8:$AC$10,3,0))^(1/12)))</f>
        <v>0</v>
      </c>
      <c r="AQ23" s="145">
        <f>IF(AQ$1=1,Ingresos!$P11*Ingresos!$A$23,'Flujo de caja mensual'!AP23*((1+HLOOKUP('Flujo de caja mensual'!AP$2,Ingresos!$S$8:$AC$10,3,0))^(1/12)))</f>
        <v>0</v>
      </c>
      <c r="AR23" s="145">
        <f>IF(AR$1=1,Ingresos!$P11*Ingresos!$A$23,'Flujo de caja mensual'!AQ23*((1+HLOOKUP('Flujo de caja mensual'!AQ$2,Ingresos!$S$8:$AC$10,3,0))^(1/12)))</f>
        <v>0</v>
      </c>
      <c r="AS23" s="145">
        <f>IF(AS$1=1,Ingresos!$P11*Ingresos!$A$23,'Flujo de caja mensual'!AR23*((1+HLOOKUP('Flujo de caja mensual'!AR$2,Ingresos!$S$8:$AC$10,3,0))^(1/12)))</f>
        <v>0</v>
      </c>
      <c r="AT23" s="145">
        <f>IF(AT$1=1,Ingresos!$P11*Ingresos!$A$23,'Flujo de caja mensual'!AS23*((1+HLOOKUP('Flujo de caja mensual'!AS$2,Ingresos!$S$8:$AC$10,3,0))^(1/12)))</f>
        <v>0</v>
      </c>
      <c r="AU23" s="145">
        <f>IF(AU$1=1,Ingresos!$P11*Ingresos!$A$23,'Flujo de caja mensual'!AT23*((1+HLOOKUP('Flujo de caja mensual'!AT$2,Ingresos!$S$8:$AC$10,3,0))^(1/12)))</f>
        <v>0</v>
      </c>
      <c r="AV23" s="145">
        <f>IF(AV$1=1,Ingresos!$P11*Ingresos!$A$23,'Flujo de caja mensual'!AU23*((1+HLOOKUP('Flujo de caja mensual'!AU$2,Ingresos!$S$8:$AC$10,3,0))^(1/12)))</f>
        <v>0</v>
      </c>
      <c r="AW23" s="145">
        <f>IF(AW$1=1,Ingresos!$P11*Ingresos!$A$23,'Flujo de caja mensual'!AV23*((1+HLOOKUP('Flujo de caja mensual'!AV$2,Ingresos!$S$8:$AC$10,3,0))^(1/12)))</f>
        <v>0</v>
      </c>
      <c r="AX23" s="145">
        <f>IF(AX$1=1,Ingresos!$P11*Ingresos!$A$23,'Flujo de caja mensual'!AW23*((1+HLOOKUP('Flujo de caja mensual'!AW$2,Ingresos!$S$8:$AC$10,3,0))^(1/12)))</f>
        <v>0</v>
      </c>
      <c r="AY23" s="145">
        <f>IF(AY$1=1,Ingresos!$P11*Ingresos!$A$23,'Flujo de caja mensual'!AX23*((1+HLOOKUP('Flujo de caja mensual'!AX$2,Ingresos!$S$8:$AC$10,3,0))^(1/12)))</f>
        <v>0</v>
      </c>
      <c r="AZ23" s="145">
        <f>IF(AZ$1=1,Ingresos!$P11*Ingresos!$A$23,'Flujo de caja mensual'!AY23*((1+HLOOKUP('Flujo de caja mensual'!AY$2,Ingresos!$S$8:$AC$10,3,0))^(1/12)))</f>
        <v>0</v>
      </c>
      <c r="BA23" s="145">
        <f>IF(BA$1=1,Ingresos!$P11*Ingresos!$A$23,'Flujo de caja mensual'!AZ23*((1+HLOOKUP('Flujo de caja mensual'!AZ$2,Ingresos!$S$8:$AC$10,3,0))^(1/12)))</f>
        <v>0</v>
      </c>
      <c r="BB23" s="145">
        <f>IF(BB$1=1,Ingresos!$P11*Ingresos!$A$23,'Flujo de caja mensual'!BA23*((1+HLOOKUP('Flujo de caja mensual'!BA$2,Ingresos!$S$8:$AC$10,3,0))^(1/12)))</f>
        <v>0</v>
      </c>
      <c r="BC23" s="145">
        <f>IF(BC$1=1,Ingresos!$P11*Ingresos!$A$23,'Flujo de caja mensual'!BB23*((1+HLOOKUP('Flujo de caja mensual'!BB$2,Ingresos!$S$8:$AC$10,3,0))^(1/12)))</f>
        <v>0</v>
      </c>
      <c r="BD23" s="145">
        <f>IF(BD$1=1,Ingresos!$P11*Ingresos!$A$23,'Flujo de caja mensual'!BC23*((1+HLOOKUP('Flujo de caja mensual'!BC$2,Ingresos!$S$8:$AC$10,3,0))^(1/12)))</f>
        <v>0</v>
      </c>
      <c r="BE23" s="145">
        <f>IF(BE$1=1,Ingresos!$P11*Ingresos!$A$23,'Flujo de caja mensual'!BD23*((1+HLOOKUP('Flujo de caja mensual'!BD$2,Ingresos!$S$8:$AC$10,3,0))^(1/12)))</f>
        <v>0</v>
      </c>
      <c r="BF23" s="145">
        <f>IF(BF$1=1,Ingresos!$P11*Ingresos!$A$23,'Flujo de caja mensual'!BE23*((1+HLOOKUP('Flujo de caja mensual'!BE$2,Ingresos!$S$8:$AC$10,3,0))^(1/12)))</f>
        <v>0</v>
      </c>
      <c r="BG23" s="145">
        <f>IF(BG$1=1,Ingresos!$P11*Ingresos!$A$23,'Flujo de caja mensual'!BF23*((1+HLOOKUP('Flujo de caja mensual'!BF$2,Ingresos!$S$8:$AC$10,3,0))^(1/12)))</f>
        <v>0</v>
      </c>
      <c r="BH23" s="145">
        <f>IF(BH$1=1,Ingresos!$P11*Ingresos!$A$23,'Flujo de caja mensual'!BG23*((1+HLOOKUP('Flujo de caja mensual'!BG$2,Ingresos!$S$8:$AC$10,3,0))^(1/12)))</f>
        <v>0</v>
      </c>
      <c r="BI23" s="145">
        <f>IF(BI$1=1,Ingresos!$P11*Ingresos!$A$23,'Flujo de caja mensual'!BH23*((1+HLOOKUP('Flujo de caja mensual'!BH$2,Ingresos!$S$8:$AC$10,3,0))^(1/12)))</f>
        <v>0</v>
      </c>
      <c r="BJ23" s="145">
        <f>IF(BJ$1=1,Ingresos!$P11*Ingresos!$A$23,'Flujo de caja mensual'!BI23*((1+HLOOKUP('Flujo de caja mensual'!BI$2,Ingresos!$S$8:$AC$10,3,0))^(1/12)))</f>
        <v>0</v>
      </c>
      <c r="BK23" s="145">
        <f>IF(BK$1=1,Ingresos!$P11*Ingresos!$A$23,'Flujo de caja mensual'!BJ23*((1+HLOOKUP('Flujo de caja mensual'!BJ$2,Ingresos!$S$8:$AC$10,3,0))^(1/12)))</f>
        <v>0</v>
      </c>
      <c r="BL23" s="145">
        <f>IF(BL$1=1,Ingresos!$P11*Ingresos!$A$23,'Flujo de caja mensual'!BK23*((1+HLOOKUP('Flujo de caja mensual'!BK$2,Ingresos!$S$8:$AC$10,3,0))^(1/12)))</f>
        <v>0</v>
      </c>
      <c r="BM23" s="145">
        <f>IF(BM$1=1,Ingresos!$P11*Ingresos!$A$23,'Flujo de caja mensual'!BL23*((1+HLOOKUP('Flujo de caja mensual'!BL$2,Ingresos!$S$8:$AC$10,3,0))^(1/12)))</f>
        <v>0</v>
      </c>
      <c r="BN23" s="145">
        <f>IF(BN$1=1,Ingresos!$P11*Ingresos!$A$23,'Flujo de caja mensual'!BM23*((1+HLOOKUP('Flujo de caja mensual'!BM$2,Ingresos!$S$8:$AC$10,3,0))^(1/12)))</f>
        <v>0</v>
      </c>
      <c r="BO23" s="145">
        <f>IF(BO$1=1,Ingresos!$P11*Ingresos!$A$23,'Flujo de caja mensual'!BN23*((1+HLOOKUP('Flujo de caja mensual'!BN$2,Ingresos!$S$8:$AC$10,3,0))^(1/12)))</f>
        <v>0</v>
      </c>
      <c r="BP23" s="145">
        <f>IF(BP$1=1,Ingresos!$P11*Ingresos!$A$23,'Flujo de caja mensual'!BO23*((1+HLOOKUP('Flujo de caja mensual'!BO$2,Ingresos!$S$8:$AC$10,3,0))^(1/12)))</f>
        <v>0</v>
      </c>
      <c r="BQ23" s="145">
        <f>IF(BQ$1=1,Ingresos!$P11*Ingresos!$A$23,'Flujo de caja mensual'!BP23*((1+HLOOKUP('Flujo de caja mensual'!BP$2,Ingresos!$S$8:$AC$10,3,0))^(1/12)))</f>
        <v>0</v>
      </c>
      <c r="BR23" s="145">
        <f>IF(BR$1=1,Ingresos!$P11*Ingresos!$A$23,'Flujo de caja mensual'!BQ23*((1+HLOOKUP('Flujo de caja mensual'!BQ$2,Ingresos!$S$8:$AC$10,3,0))^(1/12)))</f>
        <v>0</v>
      </c>
      <c r="BS23" s="145">
        <f>IF(BS$1=1,Ingresos!$P11*Ingresos!$A$23,'Flujo de caja mensual'!BR23*((1+HLOOKUP('Flujo de caja mensual'!BR$2,Ingresos!$S$8:$AC$10,3,0))^(1/12)))</f>
        <v>0</v>
      </c>
      <c r="BT23" s="145">
        <f>IF(BT$1=1,Ingresos!$P11*Ingresos!$A$23,'Flujo de caja mensual'!BS23*((1+HLOOKUP('Flujo de caja mensual'!BS$2,Ingresos!$S$8:$AC$10,3,0))^(1/12)))</f>
        <v>0</v>
      </c>
      <c r="BU23" s="145">
        <f>IF(BU$1=1,Ingresos!$P11*Ingresos!$A$23,'Flujo de caja mensual'!BT23*((1+HLOOKUP('Flujo de caja mensual'!BT$2,Ingresos!$S$8:$AC$10,3,0))^(1/12)))</f>
        <v>0</v>
      </c>
      <c r="BV23" s="145">
        <f>IF(BV$1=1,Ingresos!$P11*Ingresos!$A$23,'Flujo de caja mensual'!BU23*((1+HLOOKUP('Flujo de caja mensual'!BU$2,Ingresos!$S$8:$AC$10,3,0))^(1/12)))</f>
        <v>0</v>
      </c>
      <c r="BW23" s="145">
        <f>IF(BW$1=1,Ingresos!$P11*Ingresos!$A$23,'Flujo de caja mensual'!BV23*((1+HLOOKUP('Flujo de caja mensual'!BV$2,Ingresos!$S$8:$AC$10,3,0))^(1/12)))</f>
        <v>0</v>
      </c>
      <c r="BX23" s="145">
        <f>IF(BX$1=1,Ingresos!$P11*Ingresos!$A$23,'Flujo de caja mensual'!BW23*((1+HLOOKUP('Flujo de caja mensual'!BW$2,Ingresos!$S$8:$AC$10,3,0))^(1/12)))</f>
        <v>0</v>
      </c>
      <c r="BY23" s="145">
        <f>IF(BY$1=1,Ingresos!$P11*Ingresos!$A$23,'Flujo de caja mensual'!BX23*((1+HLOOKUP('Flujo de caja mensual'!BX$2,Ingresos!$S$8:$AC$10,3,0))^(1/12)))</f>
        <v>0</v>
      </c>
      <c r="BZ23" s="145">
        <f>IF(BZ$1=1,Ingresos!$P11*Ingresos!$A$23,'Flujo de caja mensual'!BY23*((1+HLOOKUP('Flujo de caja mensual'!BY$2,Ingresos!$S$8:$AC$10,3,0))^(1/12)))</f>
        <v>0</v>
      </c>
      <c r="CA23" s="145">
        <f>IF(CA$1=1,Ingresos!$P11*Ingresos!$A$23,'Flujo de caja mensual'!BZ23*((1+HLOOKUP('Flujo de caja mensual'!BZ$2,Ingresos!$S$8:$AC$10,3,0))^(1/12)))</f>
        <v>0</v>
      </c>
      <c r="CB23" s="145">
        <f>IF(CB$1=1,Ingresos!$P11*Ingresos!$A$23,'Flujo de caja mensual'!CA23*((1+HLOOKUP('Flujo de caja mensual'!CA$2,Ingresos!$S$8:$AC$10,3,0))^(1/12)))</f>
        <v>0</v>
      </c>
      <c r="CC23" s="145">
        <f>IF(CC$1=1,Ingresos!$P11*Ingresos!$A$23,'Flujo de caja mensual'!CB23*((1+HLOOKUP('Flujo de caja mensual'!CB$2,Ingresos!$S$8:$AC$10,3,0))^(1/12)))</f>
        <v>0</v>
      </c>
      <c r="CD23" s="145">
        <f>IF(CD$1=1,Ingresos!$P11*Ingresos!$A$23,'Flujo de caja mensual'!CC23*((1+HLOOKUP('Flujo de caja mensual'!CC$2,Ingresos!$S$8:$AC$10,3,0))^(1/12)))</f>
        <v>0</v>
      </c>
      <c r="CE23" s="145">
        <f>IF(CE$1=1,Ingresos!$P11*Ingresos!$A$23,'Flujo de caja mensual'!CD23*((1+HLOOKUP('Flujo de caja mensual'!CD$2,Ingresos!$S$8:$AC$10,3,0))^(1/12)))</f>
        <v>0</v>
      </c>
      <c r="CF23" s="145">
        <f>IF(CF$1=1,Ingresos!$P11*Ingresos!$A$23,'Flujo de caja mensual'!CE23*((1+HLOOKUP('Flujo de caja mensual'!CE$2,Ingresos!$S$8:$AC$10,3,0))^(1/12)))</f>
        <v>0</v>
      </c>
      <c r="CG23" s="145">
        <f>IF(CG$1=1,Ingresos!$P11*Ingresos!$A$23,'Flujo de caja mensual'!CF23*((1+HLOOKUP('Flujo de caja mensual'!CF$2,Ingresos!$S$8:$AC$10,3,0))^(1/12)))</f>
        <v>0</v>
      </c>
      <c r="CH23" s="145">
        <f>IF(CH$1=1,Ingresos!$P11*Ingresos!$A$23,'Flujo de caja mensual'!CG23*((1+HLOOKUP('Flujo de caja mensual'!CG$2,Ingresos!$S$8:$AC$10,3,0))^(1/12)))</f>
        <v>0</v>
      </c>
      <c r="CI23" s="145">
        <f>IF(CI$1=1,Ingresos!$P11*Ingresos!$A$23,'Flujo de caja mensual'!CH23*((1+HLOOKUP('Flujo de caja mensual'!CH$2,Ingresos!$S$8:$AC$10,3,0))^(1/12)))</f>
        <v>0</v>
      </c>
      <c r="CJ23" s="145">
        <f>IF(CJ$1=1,Ingresos!$P11*Ingresos!$A$23,'Flujo de caja mensual'!CI23*((1+HLOOKUP('Flujo de caja mensual'!CI$2,Ingresos!$S$8:$AC$10,3,0))^(1/12)))</f>
        <v>0</v>
      </c>
      <c r="CK23" s="145">
        <f>IF(CK$1=1,Ingresos!$P11*Ingresos!$A$23,'Flujo de caja mensual'!CJ23*((1+HLOOKUP('Flujo de caja mensual'!CJ$2,Ingresos!$S$8:$AC$10,3,0))^(1/12)))</f>
        <v>0</v>
      </c>
      <c r="CL23" s="145">
        <f>IF(CL$1=1,Ingresos!$P11*Ingresos!$A$23,'Flujo de caja mensual'!CK23*((1+HLOOKUP('Flujo de caja mensual'!CK$2,Ingresos!$S$8:$AC$10,3,0))^(1/12)))</f>
        <v>0</v>
      </c>
      <c r="CM23" s="145">
        <f>IF(CM$1=1,Ingresos!$P11*Ingresos!$A$23,'Flujo de caja mensual'!CL23*((1+HLOOKUP('Flujo de caja mensual'!CL$2,Ingresos!$S$8:$AC$10,3,0))^(1/12)))</f>
        <v>0</v>
      </c>
      <c r="CN23" s="145">
        <f>IF(CN$1=1,Ingresos!$P11*Ingresos!$A$23,'Flujo de caja mensual'!CM23*((1+HLOOKUP('Flujo de caja mensual'!CM$2,Ingresos!$S$8:$AC$10,3,0))^(1/12)))</f>
        <v>0</v>
      </c>
      <c r="CO23" s="145">
        <f>IF(CO$1=1,Ingresos!$P11*Ingresos!$A$23,'Flujo de caja mensual'!CN23*((1+HLOOKUP('Flujo de caja mensual'!CN$2,Ingresos!$S$8:$AC$10,3,0))^(1/12)))</f>
        <v>0</v>
      </c>
      <c r="CP23" s="145">
        <f>IF(CP$1=1,Ingresos!$P11*Ingresos!$A$23,'Flujo de caja mensual'!CO23*((1+HLOOKUP('Flujo de caja mensual'!CO$2,Ingresos!$S$8:$AC$10,3,0))^(1/12)))</f>
        <v>0</v>
      </c>
      <c r="CQ23" s="145">
        <f>IF(CQ$1=1,Ingresos!$P11*Ingresos!$A$23,'Flujo de caja mensual'!CP23*((1+HLOOKUP('Flujo de caja mensual'!CP$2,Ingresos!$S$8:$AC$10,3,0))^(1/12)))</f>
        <v>0</v>
      </c>
      <c r="CR23" s="145">
        <f>IF(CR$1=1,Ingresos!$P11*Ingresos!$A$23,'Flujo de caja mensual'!CQ23*((1+HLOOKUP('Flujo de caja mensual'!CQ$2,Ingresos!$S$8:$AC$10,3,0))^(1/12)))</f>
        <v>0</v>
      </c>
      <c r="CS23" s="145">
        <f>IF(CS$1=1,Ingresos!$P11*Ingresos!$A$23,'Flujo de caja mensual'!CR23*((1+HLOOKUP('Flujo de caja mensual'!CR$2,Ingresos!$S$8:$AC$10,3,0))^(1/12)))</f>
        <v>0</v>
      </c>
      <c r="CT23" s="145">
        <f>IF(CT$1=1,Ingresos!$P11*Ingresos!$A$23,'Flujo de caja mensual'!CS23*((1+HLOOKUP('Flujo de caja mensual'!CS$2,Ingresos!$S$8:$AC$10,3,0))^(1/12)))</f>
        <v>0</v>
      </c>
      <c r="CU23" s="145">
        <f>IF(CU$1=1,Ingresos!$P11*Ingresos!$A$23,'Flujo de caja mensual'!CT23*((1+HLOOKUP('Flujo de caja mensual'!CT$2,Ingresos!$S$8:$AC$10,3,0))^(1/12)))</f>
        <v>0</v>
      </c>
      <c r="CV23" s="145">
        <f>IF(CV$1=1,Ingresos!$P11*Ingresos!$A$23,'Flujo de caja mensual'!CU23*((1+HLOOKUP('Flujo de caja mensual'!CU$2,Ingresos!$S$8:$AC$10,3,0))^(1/12)))</f>
        <v>0</v>
      </c>
      <c r="CW23" s="145">
        <f>IF(CW$1=1,Ingresos!$P11*Ingresos!$A$23,'Flujo de caja mensual'!CV23*((1+HLOOKUP('Flujo de caja mensual'!CV$2,Ingresos!$S$8:$AC$10,3,0))^(1/12)))</f>
        <v>0</v>
      </c>
      <c r="CX23" s="145">
        <f>IF(CX$1=1,Ingresos!$P11*Ingresos!$A$23,'Flujo de caja mensual'!CW23*((1+HLOOKUP('Flujo de caja mensual'!CW$2,Ingresos!$S$8:$AC$10,3,0))^(1/12)))</f>
        <v>0</v>
      </c>
      <c r="CY23" s="145">
        <f>IF(CY$1=1,Ingresos!$P11*Ingresos!$A$23,'Flujo de caja mensual'!CX23*((1+HLOOKUP('Flujo de caja mensual'!CX$2,Ingresos!$S$8:$AC$10,3,0))^(1/12)))</f>
        <v>0</v>
      </c>
      <c r="CZ23" s="145">
        <f>IF(CZ$1=1,Ingresos!$P11*Ingresos!$A$23,'Flujo de caja mensual'!CY23*((1+HLOOKUP('Flujo de caja mensual'!CY$2,Ingresos!$S$8:$AC$10,3,0))^(1/12)))</f>
        <v>0</v>
      </c>
      <c r="DA23" s="145">
        <f>IF(DA$1=1,Ingresos!$P11*Ingresos!$A$23,'Flujo de caja mensual'!CZ23*((1+HLOOKUP('Flujo de caja mensual'!CZ$2,Ingresos!$S$8:$AC$10,3,0))^(1/12)))</f>
        <v>0</v>
      </c>
      <c r="DB23" s="145">
        <f>IF(DB$1=1,Ingresos!$P11*Ingresos!$A$23,'Flujo de caja mensual'!DA23*((1+HLOOKUP('Flujo de caja mensual'!DA$2,Ingresos!$S$8:$AC$10,3,0))^(1/12)))</f>
        <v>0</v>
      </c>
      <c r="DC23" s="145">
        <f>IF(DC$1=1,Ingresos!$P11*Ingresos!$A$23,'Flujo de caja mensual'!DB23*((1+HLOOKUP('Flujo de caja mensual'!DB$2,Ingresos!$S$8:$AC$10,3,0))^(1/12)))</f>
        <v>0</v>
      </c>
      <c r="DD23" s="145">
        <f>IF(DD$1=1,Ingresos!$P11*Ingresos!$A$23,'Flujo de caja mensual'!DC23*((1+HLOOKUP('Flujo de caja mensual'!DC$2,Ingresos!$S$8:$AC$10,3,0))^(1/12)))</f>
        <v>0</v>
      </c>
      <c r="DE23" s="145">
        <f>IF(DE$1=1,Ingresos!$P11*Ingresos!$A$23,'Flujo de caja mensual'!DD23*((1+HLOOKUP('Flujo de caja mensual'!DD$2,Ingresos!$S$8:$AC$10,3,0))^(1/12)))</f>
        <v>0</v>
      </c>
      <c r="DF23" s="145">
        <f>IF(DF$1=1,Ingresos!$P11*Ingresos!$A$23,'Flujo de caja mensual'!DE23*((1+HLOOKUP('Flujo de caja mensual'!DE$2,Ingresos!$S$8:$AC$10,3,0))^(1/12)))</f>
        <v>0</v>
      </c>
      <c r="DG23" s="145">
        <f>IF(DG$1=1,Ingresos!$P11*Ingresos!$A$23,'Flujo de caja mensual'!DF23*((1+HLOOKUP('Flujo de caja mensual'!DF$2,Ingresos!$S$8:$AC$10,3,0))^(1/12)))</f>
        <v>0</v>
      </c>
      <c r="DH23" s="145">
        <f>IF(DH$1=1,Ingresos!$P11*Ingresos!$A$23,'Flujo de caja mensual'!DG23*((1+HLOOKUP('Flujo de caja mensual'!DG$2,Ingresos!$S$8:$AC$10,3,0))^(1/12)))</f>
        <v>0</v>
      </c>
      <c r="DI23" s="145">
        <f>IF(DI$1=1,Ingresos!$P11*Ingresos!$A$23,'Flujo de caja mensual'!DH23*((1+HLOOKUP('Flujo de caja mensual'!DH$2,Ingresos!$S$8:$AC$10,3,0))^(1/12)))</f>
        <v>0</v>
      </c>
      <c r="DJ23" s="145">
        <f>IF(DJ$1=1,Ingresos!$P11*Ingresos!$A$23,'Flujo de caja mensual'!DI23*((1+HLOOKUP('Flujo de caja mensual'!DI$2,Ingresos!$S$8:$AC$10,3,0))^(1/12)))</f>
        <v>0</v>
      </c>
      <c r="DK23" s="145">
        <f>IF(DK$1=1,Ingresos!$P11*Ingresos!$A$23,'Flujo de caja mensual'!DJ23*((1+HLOOKUP('Flujo de caja mensual'!DJ$2,Ingresos!$S$8:$AC$10,3,0))^(1/12)))</f>
        <v>0</v>
      </c>
      <c r="DL23" s="145">
        <f>IF(DL$1=1,Ingresos!$P11*Ingresos!$A$23,'Flujo de caja mensual'!DK23*((1+HLOOKUP('Flujo de caja mensual'!DK$2,Ingresos!$S$8:$AC$10,3,0))^(1/12)))</f>
        <v>0</v>
      </c>
      <c r="DM23" s="145">
        <f>IF(DM$1=1,Ingresos!$P11*Ingresos!$A$23,'Flujo de caja mensual'!DL23*((1+HLOOKUP('Flujo de caja mensual'!DL$2,Ingresos!$S$8:$AC$10,3,0))^(1/12)))</f>
        <v>0</v>
      </c>
      <c r="DN23" s="145">
        <f>IF(DN$1=1,Ingresos!$P11*Ingresos!$A$23,'Flujo de caja mensual'!DM23*((1+HLOOKUP('Flujo de caja mensual'!DM$2,Ingresos!$S$8:$AC$10,3,0))^(1/12)))</f>
        <v>0</v>
      </c>
      <c r="DO23" s="145">
        <f>IF(DO$1=1,Ingresos!$P11*Ingresos!$A$23,'Flujo de caja mensual'!DN23*((1+HLOOKUP('Flujo de caja mensual'!DN$2,Ingresos!$S$8:$AC$10,3,0))^(1/12)))</f>
        <v>0</v>
      </c>
      <c r="DP23" s="145">
        <f>IF(DP$1=1,Ingresos!$P11*Ingresos!$A$23,'Flujo de caja mensual'!DO23*((1+HLOOKUP('Flujo de caja mensual'!DO$2,Ingresos!$S$8:$AC$10,3,0))^(1/12)))</f>
        <v>0</v>
      </c>
      <c r="DQ23" s="145">
        <f>IF(DQ$1=1,Ingresos!$P11*Ingresos!$A$23,'Flujo de caja mensual'!DP23*((1+HLOOKUP('Flujo de caja mensual'!DP$2,Ingresos!$S$8:$AC$10,3,0))^(1/12)))</f>
        <v>0</v>
      </c>
      <c r="DR23" s="145">
        <f>IF(DR$1=1,Ingresos!$P11*Ingresos!$A$23,'Flujo de caja mensual'!DQ23*((1+HLOOKUP('Flujo de caja mensual'!DQ$2,Ingresos!$S$8:$AC$10,3,0))^(1/12)))</f>
        <v>0</v>
      </c>
      <c r="DS23" s="145">
        <f>IF(DS$1=1,Ingresos!$P11*Ingresos!$A$23,'Flujo de caja mensual'!DR23*((1+HLOOKUP('Flujo de caja mensual'!DR$2,Ingresos!$S$8:$AC$10,3,0))^(1/12)))</f>
        <v>0</v>
      </c>
      <c r="DT23" s="145">
        <f>IF(DT$1=1,Ingresos!$P11*Ingresos!$A$23,'Flujo de caja mensual'!DS23*((1+HLOOKUP('Flujo de caja mensual'!DS$2,Ingresos!$S$8:$AC$10,3,0))^(1/12)))</f>
        <v>0</v>
      </c>
      <c r="DU23" s="145">
        <f>IF(DU$1=1,Ingresos!$P11*Ingresos!$A$23,'Flujo de caja mensual'!DT23*((1+HLOOKUP('Flujo de caja mensual'!DT$2,Ingresos!$S$8:$AC$10,3,0))^(1/12)))</f>
        <v>0</v>
      </c>
      <c r="DV23" s="145">
        <f>IF(DV$1=1,Ingresos!$P11*Ingresos!$A$23,'Flujo de caja mensual'!DU23*((1+HLOOKUP('Flujo de caja mensual'!DU$2,Ingresos!$S$8:$AC$10,3,0))^(1/12)))</f>
        <v>0</v>
      </c>
      <c r="DW23" s="145">
        <f>IF(DW$1=1,Ingresos!$P11*Ingresos!$A$23,'Flujo de caja mensual'!DV23*((1+HLOOKUP('Flujo de caja mensual'!DV$2,Ingresos!$S$8:$AC$10,3,0))^(1/12)))</f>
        <v>0</v>
      </c>
      <c r="DX23" s="145">
        <f>IF(DX$1=1,Ingresos!$P11*Ingresos!$A$23,'Flujo de caja mensual'!DW23*((1+HLOOKUP('Flujo de caja mensual'!DW$2,Ingresos!$S$8:$AC$10,3,0))^(1/12)))</f>
        <v>0</v>
      </c>
      <c r="DY23" s="145">
        <f>IF(DY$1=1,Ingresos!$P11*Ingresos!$A$23,'Flujo de caja mensual'!DX23*((1+HLOOKUP('Flujo de caja mensual'!DX$2,Ingresos!$S$8:$AC$10,3,0))^(1/12)))</f>
        <v>0</v>
      </c>
      <c r="DZ23" s="145">
        <f>IF(DZ$1=1,Ingresos!$P11*Ingresos!$A$23,'Flujo de caja mensual'!DY23*((1+HLOOKUP('Flujo de caja mensual'!DY$2,Ingresos!$S$8:$AC$10,3,0))^(1/12)))</f>
        <v>0</v>
      </c>
      <c r="EA23" s="145">
        <f>IF(EA$1=1,Ingresos!$P11*Ingresos!$A$23,'Flujo de caja mensual'!DZ23*((1+HLOOKUP('Flujo de caja mensual'!DZ$2,Ingresos!$S$8:$AC$10,3,0))^(1/12)))</f>
        <v>0</v>
      </c>
      <c r="EB23" s="145">
        <f>IF(EB$1=1,Ingresos!$P11*Ingresos!$A$23,'Flujo de caja mensual'!EA23*((1+HLOOKUP('Flujo de caja mensual'!EA$2,Ingresos!$S$8:$AC$10,3,0))^(1/12)))</f>
        <v>0</v>
      </c>
      <c r="EC23" s="145">
        <f>IF(EC$1=1,Ingresos!$P11*Ingresos!$A$23,'Flujo de caja mensual'!EB23*((1+HLOOKUP('Flujo de caja mensual'!EB$2,Ingresos!$S$8:$AC$10,3,0))^(1/12)))</f>
        <v>0</v>
      </c>
      <c r="ED23" s="145">
        <f>IF(ED$1=1,Ingresos!$P11*Ingresos!$A$23,'Flujo de caja mensual'!EC23*((1+HLOOKUP('Flujo de caja mensual'!EC$2,Ingresos!$S$8:$AC$10,3,0))^(1/12)))</f>
        <v>0</v>
      </c>
      <c r="EE23" s="146">
        <f>IF(EE$1=1,Ingresos!$P11*Ingresos!$A$23,'Flujo de caja mensual'!ED23*((1+HLOOKUP('Flujo de caja mensual'!ED$2,Ingresos!$S$8:$AC$10,3,0))^(1/12)))</f>
        <v>0</v>
      </c>
    </row>
    <row r="24" spans="1:135" x14ac:dyDescent="0.25">
      <c r="A24" s="152">
        <f>SUMIF($C$1:$EE$1,"&lt;="&amp;Resumen!$K$19,'Flujo de caja mensual'!C24:EE24)</f>
        <v>31915921848.985397</v>
      </c>
      <c r="B24" s="14" t="s">
        <v>168</v>
      </c>
      <c r="C24" s="150"/>
      <c r="D24" s="148">
        <f>SUM(D14:D23)</f>
        <v>228873290.25</v>
      </c>
      <c r="E24" s="148">
        <f t="shared" ref="E24:BP24" si="8">SUM(E14:E23)</f>
        <v>229437753.52743125</v>
      </c>
      <c r="F24" s="148">
        <f t="shared" si="8"/>
        <v>230003608.92358121</v>
      </c>
      <c r="G24" s="148">
        <f t="shared" si="8"/>
        <v>230570859.8717902</v>
      </c>
      <c r="H24" s="148">
        <f t="shared" si="8"/>
        <v>231139509.81386605</v>
      </c>
      <c r="I24" s="148">
        <f t="shared" si="8"/>
        <v>231709562.20010507</v>
      </c>
      <c r="J24" s="148">
        <f t="shared" si="8"/>
        <v>232281020.48931295</v>
      </c>
      <c r="K24" s="148">
        <f t="shared" si="8"/>
        <v>232853888.14882556</v>
      </c>
      <c r="L24" s="148">
        <f t="shared" si="8"/>
        <v>233428168.65453041</v>
      </c>
      <c r="M24" s="148">
        <f t="shared" si="8"/>
        <v>234003865.49088728</v>
      </c>
      <c r="N24" s="148">
        <f t="shared" si="8"/>
        <v>234580982.15094966</v>
      </c>
      <c r="O24" s="148">
        <f t="shared" si="8"/>
        <v>235159522.13638586</v>
      </c>
      <c r="P24" s="148">
        <f t="shared" si="8"/>
        <v>235739488.95750022</v>
      </c>
      <c r="Q24" s="148">
        <f t="shared" si="8"/>
        <v>236320886.13325444</v>
      </c>
      <c r="R24" s="148">
        <f t="shared" si="8"/>
        <v>236903717.19128889</v>
      </c>
      <c r="S24" s="148">
        <f t="shared" si="8"/>
        <v>237487985.66794413</v>
      </c>
      <c r="T24" s="148">
        <f t="shared" si="8"/>
        <v>238073695.1082823</v>
      </c>
      <c r="U24" s="148">
        <f t="shared" si="8"/>
        <v>238660849.06610849</v>
      </c>
      <c r="V24" s="148">
        <f t="shared" si="8"/>
        <v>239249451.10399258</v>
      </c>
      <c r="W24" s="148">
        <f t="shared" si="8"/>
        <v>239839504.79329062</v>
      </c>
      <c r="X24" s="148">
        <f t="shared" si="8"/>
        <v>240431013.71416658</v>
      </c>
      <c r="Y24" s="148">
        <f t="shared" si="8"/>
        <v>241023981.45561415</v>
      </c>
      <c r="Z24" s="148">
        <f t="shared" si="8"/>
        <v>241618411.61547843</v>
      </c>
      <c r="AA24" s="148">
        <f t="shared" si="8"/>
        <v>242214307.80047774</v>
      </c>
      <c r="AB24" s="148">
        <f t="shared" si="8"/>
        <v>242811673.6262255</v>
      </c>
      <c r="AC24" s="148">
        <f t="shared" si="8"/>
        <v>243410512.71725234</v>
      </c>
      <c r="AD24" s="148">
        <f t="shared" si="8"/>
        <v>244010828.70702782</v>
      </c>
      <c r="AE24" s="148">
        <f t="shared" si="8"/>
        <v>244612625.23798275</v>
      </c>
      <c r="AF24" s="148">
        <f t="shared" si="8"/>
        <v>245215905.96153104</v>
      </c>
      <c r="AG24" s="148">
        <f t="shared" si="8"/>
        <v>245820674.53809202</v>
      </c>
      <c r="AH24" s="148">
        <f t="shared" si="8"/>
        <v>246426934.63711262</v>
      </c>
      <c r="AI24" s="148">
        <f t="shared" si="8"/>
        <v>247034689.93708962</v>
      </c>
      <c r="AJ24" s="148">
        <f t="shared" si="8"/>
        <v>247643944.12559184</v>
      </c>
      <c r="AK24" s="148">
        <f t="shared" si="8"/>
        <v>248254700.89928284</v>
      </c>
      <c r="AL24" s="148">
        <f t="shared" si="8"/>
        <v>248866963.96394303</v>
      </c>
      <c r="AM24" s="148">
        <f t="shared" si="8"/>
        <v>249480737.03449231</v>
      </c>
      <c r="AN24" s="148">
        <f t="shared" si="8"/>
        <v>250096023.8350125</v>
      </c>
      <c r="AO24" s="148">
        <f t="shared" si="8"/>
        <v>250712828.09877014</v>
      </c>
      <c r="AP24" s="148">
        <f t="shared" si="8"/>
        <v>251331153.56823891</v>
      </c>
      <c r="AQ24" s="148">
        <f t="shared" si="8"/>
        <v>251951003.99512249</v>
      </c>
      <c r="AR24" s="148">
        <f t="shared" si="8"/>
        <v>252572383.14037722</v>
      </c>
      <c r="AS24" s="148">
        <f t="shared" si="8"/>
        <v>253195294.77423501</v>
      </c>
      <c r="AT24" s="148">
        <f t="shared" si="8"/>
        <v>253819742.67622626</v>
      </c>
      <c r="AU24" s="148">
        <f t="shared" si="8"/>
        <v>254445730.63520253</v>
      </c>
      <c r="AV24" s="148">
        <f t="shared" si="8"/>
        <v>255073262.44935983</v>
      </c>
      <c r="AW24" s="148">
        <f t="shared" si="8"/>
        <v>255702341.92626157</v>
      </c>
      <c r="AX24" s="148">
        <f t="shared" si="8"/>
        <v>256332972.88286155</v>
      </c>
      <c r="AY24" s="148">
        <f t="shared" si="8"/>
        <v>256965159.14552733</v>
      </c>
      <c r="AZ24" s="148">
        <f t="shared" si="8"/>
        <v>257598904.55006313</v>
      </c>
      <c r="BA24" s="148">
        <f t="shared" si="8"/>
        <v>258234212.94173351</v>
      </c>
      <c r="BB24" s="148">
        <f t="shared" si="8"/>
        <v>258871088.17528632</v>
      </c>
      <c r="BC24" s="148">
        <f t="shared" si="8"/>
        <v>259509534.11497641</v>
      </c>
      <c r="BD24" s="148">
        <f t="shared" si="8"/>
        <v>260149554.63458875</v>
      </c>
      <c r="BE24" s="148">
        <f t="shared" si="8"/>
        <v>260791153.61746237</v>
      </c>
      <c r="BF24" s="148">
        <f t="shared" si="8"/>
        <v>261434334.95651335</v>
      </c>
      <c r="BG24" s="148">
        <f t="shared" si="8"/>
        <v>262079102.55425888</v>
      </c>
      <c r="BH24" s="148">
        <f t="shared" si="8"/>
        <v>262725460.32284093</v>
      </c>
      <c r="BI24" s="148">
        <f t="shared" si="8"/>
        <v>263373412.1840497</v>
      </c>
      <c r="BJ24" s="148">
        <f t="shared" si="8"/>
        <v>264022962.06934768</v>
      </c>
      <c r="BK24" s="148">
        <f t="shared" si="8"/>
        <v>264674113.91989341</v>
      </c>
      <c r="BL24" s="148">
        <f t="shared" si="8"/>
        <v>265326871.68656531</v>
      </c>
      <c r="BM24" s="148">
        <f t="shared" si="8"/>
        <v>265981239.3299858</v>
      </c>
      <c r="BN24" s="148">
        <f t="shared" si="8"/>
        <v>266637220.8205452</v>
      </c>
      <c r="BO24" s="148">
        <f t="shared" si="8"/>
        <v>267294820.13842595</v>
      </c>
      <c r="BP24" s="148">
        <f t="shared" si="8"/>
        <v>267954041.27362671</v>
      </c>
      <c r="BQ24" s="148">
        <f t="shared" ref="BQ24:EB24" si="9">SUM(BQ14:BQ23)</f>
        <v>268614888.22598648</v>
      </c>
      <c r="BR24" s="148">
        <f t="shared" si="9"/>
        <v>269277365.00520897</v>
      </c>
      <c r="BS24" s="148">
        <f t="shared" si="9"/>
        <v>269941475.63088691</v>
      </c>
      <c r="BT24" s="148">
        <f t="shared" si="9"/>
        <v>270607224.1325264</v>
      </c>
      <c r="BU24" s="148">
        <f t="shared" si="9"/>
        <v>271274614.54957145</v>
      </c>
      <c r="BV24" s="148">
        <f t="shared" si="9"/>
        <v>271943650.93142837</v>
      </c>
      <c r="BW24" s="148">
        <f t="shared" si="9"/>
        <v>272614337.33749044</v>
      </c>
      <c r="BX24" s="148">
        <f t="shared" si="9"/>
        <v>273286677.83716249</v>
      </c>
      <c r="BY24" s="148">
        <f t="shared" si="9"/>
        <v>273960676.50988561</v>
      </c>
      <c r="BZ24" s="148">
        <f t="shared" si="9"/>
        <v>274636337.44516182</v>
      </c>
      <c r="CA24" s="148">
        <f t="shared" si="9"/>
        <v>275313664.74257898</v>
      </c>
      <c r="CB24" s="148">
        <f t="shared" si="9"/>
        <v>275992662.51183575</v>
      </c>
      <c r="CC24" s="148">
        <f t="shared" si="9"/>
        <v>276673334.87276638</v>
      </c>
      <c r="CD24" s="148">
        <f t="shared" si="9"/>
        <v>277355685.95536548</v>
      </c>
      <c r="CE24" s="148">
        <f t="shared" si="9"/>
        <v>278039719.89981377</v>
      </c>
      <c r="CF24" s="148">
        <f t="shared" si="9"/>
        <v>278725440.85650247</v>
      </c>
      <c r="CG24" s="148">
        <f t="shared" si="9"/>
        <v>279412852.98605883</v>
      </c>
      <c r="CH24" s="148">
        <f t="shared" si="9"/>
        <v>280101960.45937145</v>
      </c>
      <c r="CI24" s="148">
        <f t="shared" si="9"/>
        <v>280792767.45761549</v>
      </c>
      <c r="CJ24" s="148">
        <f t="shared" si="9"/>
        <v>281485278.17227769</v>
      </c>
      <c r="CK24" s="148">
        <f t="shared" si="9"/>
        <v>282179496.80518246</v>
      </c>
      <c r="CL24" s="148">
        <f t="shared" si="9"/>
        <v>282875427.56851697</v>
      </c>
      <c r="CM24" s="148">
        <f t="shared" si="9"/>
        <v>283573074.68485665</v>
      </c>
      <c r="CN24" s="148">
        <f t="shared" si="9"/>
        <v>284272442.38719118</v>
      </c>
      <c r="CO24" s="148">
        <f t="shared" si="9"/>
        <v>284973534.9189496</v>
      </c>
      <c r="CP24" s="148">
        <f t="shared" si="9"/>
        <v>285676356.5340268</v>
      </c>
      <c r="CQ24" s="148">
        <f t="shared" si="9"/>
        <v>286380911.49680847</v>
      </c>
      <c r="CR24" s="148">
        <f t="shared" si="9"/>
        <v>287087204.08219784</v>
      </c>
      <c r="CS24" s="148">
        <f t="shared" si="9"/>
        <v>287795238.57564098</v>
      </c>
      <c r="CT24" s="148">
        <f t="shared" si="9"/>
        <v>288505019.27315295</v>
      </c>
      <c r="CU24" s="148">
        <f t="shared" si="9"/>
        <v>289216550.48134422</v>
      </c>
      <c r="CV24" s="148">
        <f t="shared" si="9"/>
        <v>289929836.51744634</v>
      </c>
      <c r="CW24" s="148">
        <f t="shared" si="9"/>
        <v>290644881.70933825</v>
      </c>
      <c r="CX24" s="148">
        <f t="shared" si="9"/>
        <v>291361690.39557278</v>
      </c>
      <c r="CY24" s="148">
        <f t="shared" si="9"/>
        <v>292080266.9254027</v>
      </c>
      <c r="CZ24" s="148">
        <f t="shared" si="9"/>
        <v>292800615.65880722</v>
      </c>
      <c r="DA24" s="148">
        <f t="shared" si="9"/>
        <v>293522740.96651846</v>
      </c>
      <c r="DB24" s="148">
        <f t="shared" si="9"/>
        <v>294246647.23004788</v>
      </c>
      <c r="DC24" s="148">
        <f t="shared" si="9"/>
        <v>294972338.84171307</v>
      </c>
      <c r="DD24" s="148">
        <f t="shared" si="9"/>
        <v>295699820.20466411</v>
      </c>
      <c r="DE24" s="148">
        <f t="shared" si="9"/>
        <v>296429095.73291051</v>
      </c>
      <c r="DF24" s="148">
        <f t="shared" si="9"/>
        <v>297160169.85134792</v>
      </c>
      <c r="DG24" s="148">
        <f t="shared" si="9"/>
        <v>297893046.99578494</v>
      </c>
      <c r="DH24" s="148">
        <f t="shared" si="9"/>
        <v>298627731.61297005</v>
      </c>
      <c r="DI24" s="148">
        <f t="shared" si="9"/>
        <v>299364228.16061872</v>
      </c>
      <c r="DJ24" s="148">
        <f t="shared" si="9"/>
        <v>300102541.10744029</v>
      </c>
      <c r="DK24" s="148">
        <f t="shared" si="9"/>
        <v>300842674.93316513</v>
      </c>
      <c r="DL24" s="148">
        <f t="shared" si="9"/>
        <v>301584634.12857175</v>
      </c>
      <c r="DM24" s="148">
        <f t="shared" si="9"/>
        <v>302328423.19551432</v>
      </c>
      <c r="DN24" s="148">
        <f t="shared" si="9"/>
        <v>303074046.64694965</v>
      </c>
      <c r="DO24" s="148">
        <f t="shared" si="9"/>
        <v>303821509.0069648</v>
      </c>
      <c r="DP24" s="148">
        <f t="shared" si="9"/>
        <v>304570814.81080437</v>
      </c>
      <c r="DQ24" s="148">
        <f t="shared" si="9"/>
        <v>305321968.60489815</v>
      </c>
      <c r="DR24" s="148">
        <f t="shared" si="9"/>
        <v>306074974.94688863</v>
      </c>
      <c r="DS24" s="148">
        <f t="shared" si="9"/>
        <v>306829838.40565878</v>
      </c>
      <c r="DT24" s="148">
        <f t="shared" si="9"/>
        <v>307586563.56135947</v>
      </c>
      <c r="DU24" s="148">
        <f t="shared" si="9"/>
        <v>308345155.00543761</v>
      </c>
      <c r="DV24" s="148">
        <f t="shared" si="9"/>
        <v>309105617.34066379</v>
      </c>
      <c r="DW24" s="148">
        <f t="shared" si="9"/>
        <v>309867955.18116039</v>
      </c>
      <c r="DX24" s="148">
        <f t="shared" si="9"/>
        <v>310632173.15242922</v>
      </c>
      <c r="DY24" s="148">
        <f t="shared" si="9"/>
        <v>311398275.89138007</v>
      </c>
      <c r="DZ24" s="148">
        <f t="shared" si="9"/>
        <v>312166268.04635847</v>
      </c>
      <c r="EA24" s="148">
        <f t="shared" si="9"/>
        <v>312936154.27717406</v>
      </c>
      <c r="EB24" s="148">
        <f t="shared" si="9"/>
        <v>313707939.2551288</v>
      </c>
      <c r="EC24" s="148">
        <f>SUM(EC14:EC23)</f>
        <v>314481627.66304541</v>
      </c>
      <c r="ED24" s="148">
        <f>SUM(ED14:ED23)</f>
        <v>315257224.19529563</v>
      </c>
      <c r="EE24" s="149">
        <f>SUM(EE14:EE23)</f>
        <v>316034733.55782884</v>
      </c>
    </row>
    <row r="25" spans="1:135" x14ac:dyDescent="0.25">
      <c r="B25" s="5"/>
      <c r="C25" s="144"/>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c r="BJ25" s="145"/>
      <c r="BK25" s="145"/>
      <c r="BL25" s="145"/>
      <c r="BM25" s="145"/>
      <c r="BN25" s="145"/>
      <c r="BO25" s="145"/>
      <c r="BP25" s="145"/>
      <c r="BQ25" s="145"/>
      <c r="BR25" s="145"/>
      <c r="BS25" s="145"/>
      <c r="BT25" s="145"/>
      <c r="BU25" s="145"/>
      <c r="BV25" s="145"/>
      <c r="BW25" s="145"/>
      <c r="BX25" s="145"/>
      <c r="BY25" s="145"/>
      <c r="BZ25" s="145"/>
      <c r="CA25" s="145"/>
      <c r="CB25" s="145"/>
      <c r="CC25" s="145"/>
      <c r="CD25" s="145"/>
      <c r="CE25" s="145"/>
      <c r="CF25" s="145"/>
      <c r="CG25" s="145"/>
      <c r="CH25" s="145"/>
      <c r="CI25" s="145"/>
      <c r="CJ25" s="145"/>
      <c r="CK25" s="145"/>
      <c r="CL25" s="145"/>
      <c r="CM25" s="145"/>
      <c r="CN25" s="145"/>
      <c r="CO25" s="145"/>
      <c r="CP25" s="145"/>
      <c r="CQ25" s="145"/>
      <c r="CR25" s="145"/>
      <c r="CS25" s="145"/>
      <c r="CT25" s="145"/>
      <c r="CU25" s="145"/>
      <c r="CV25" s="145"/>
      <c r="CW25" s="145"/>
      <c r="CX25" s="145"/>
      <c r="CY25" s="145"/>
      <c r="CZ25" s="145"/>
      <c r="DA25" s="145"/>
      <c r="DB25" s="145"/>
      <c r="DC25" s="145"/>
      <c r="DD25" s="145"/>
      <c r="DE25" s="145"/>
      <c r="DF25" s="145"/>
      <c r="DG25" s="145"/>
      <c r="DH25" s="145"/>
      <c r="DI25" s="145"/>
      <c r="DJ25" s="145"/>
      <c r="DK25" s="145"/>
      <c r="DL25" s="145"/>
      <c r="DM25" s="145"/>
      <c r="DN25" s="145"/>
      <c r="DO25" s="145"/>
      <c r="DP25" s="145"/>
      <c r="DQ25" s="145"/>
      <c r="DR25" s="145"/>
      <c r="DS25" s="145"/>
      <c r="DT25" s="145"/>
      <c r="DU25" s="145"/>
      <c r="DV25" s="145"/>
      <c r="DW25" s="145"/>
      <c r="DX25" s="145"/>
      <c r="DY25" s="145"/>
      <c r="DZ25" s="145"/>
      <c r="EA25" s="145"/>
      <c r="EB25" s="145"/>
      <c r="EC25" s="145"/>
      <c r="ED25" s="145"/>
      <c r="EE25" s="146"/>
    </row>
    <row r="26" spans="1:135" x14ac:dyDescent="0.25">
      <c r="A26" s="152">
        <f>SUMIF($C$1:$EE$1,"&lt;="&amp;Resumen!$K$19,'Flujo de caja mensual'!C26:EE26)</f>
        <v>180641388091.35489</v>
      </c>
      <c r="B26" s="14" t="s">
        <v>169</v>
      </c>
      <c r="C26" s="150"/>
      <c r="D26" s="148">
        <f>SUM(D11,D24)</f>
        <v>1107325871.0249999</v>
      </c>
      <c r="E26" s="148">
        <f t="shared" ref="E26:BP26" si="10">SUM(E11,E24)</f>
        <v>1111469258.8545737</v>
      </c>
      <c r="F26" s="148">
        <f t="shared" si="10"/>
        <v>1115628619.7845042</v>
      </c>
      <c r="G26" s="148">
        <f t="shared" si="10"/>
        <v>1119804016.6528554</v>
      </c>
      <c r="H26" s="148">
        <f t="shared" si="10"/>
        <v>1123995512.548182</v>
      </c>
      <c r="I26" s="148">
        <f t="shared" si="10"/>
        <v>1128203170.810534</v>
      </c>
      <c r="J26" s="148">
        <f t="shared" si="10"/>
        <v>1132427055.0324705</v>
      </c>
      <c r="K26" s="148">
        <f t="shared" si="10"/>
        <v>1136667229.0600719</v>
      </c>
      <c r="L26" s="148">
        <f t="shared" si="10"/>
        <v>1140923756.9939623</v>
      </c>
      <c r="M26" s="148">
        <f t="shared" si="10"/>
        <v>1145196703.1903284</v>
      </c>
      <c r="N26" s="148">
        <f t="shared" si="10"/>
        <v>1149486132.2619524</v>
      </c>
      <c r="O26" s="148">
        <f t="shared" si="10"/>
        <v>1165275016.4160237</v>
      </c>
      <c r="P26" s="148">
        <f t="shared" si="10"/>
        <v>1237642015.2829225</v>
      </c>
      <c r="Q26" s="148">
        <f t="shared" si="10"/>
        <v>1253761703.7204542</v>
      </c>
      <c r="R26" s="148">
        <f t="shared" si="10"/>
        <v>1269973824.9225237</v>
      </c>
      <c r="S26" s="148">
        <f t="shared" si="10"/>
        <v>1286278811.7091439</v>
      </c>
      <c r="T26" s="148">
        <f t="shared" si="10"/>
        <v>1302677098.7445056</v>
      </c>
      <c r="U26" s="148">
        <f t="shared" si="10"/>
        <v>1319169122.5444169</v>
      </c>
      <c r="V26" s="148">
        <f t="shared" si="10"/>
        <v>1335755321.4837704</v>
      </c>
      <c r="W26" s="148">
        <f t="shared" si="10"/>
        <v>1339935050.0623453</v>
      </c>
      <c r="X26" s="148">
        <f t="shared" si="10"/>
        <v>1344127985.5339885</v>
      </c>
      <c r="Y26" s="148">
        <f t="shared" si="10"/>
        <v>1348334169.9595749</v>
      </c>
      <c r="Z26" s="148">
        <f t="shared" si="10"/>
        <v>1352553645.5347791</v>
      </c>
      <c r="AA26" s="148">
        <f t="shared" si="10"/>
        <v>1356786454.5905063</v>
      </c>
      <c r="AB26" s="148">
        <f t="shared" si="10"/>
        <v>1376038288.6267066</v>
      </c>
      <c r="AC26" s="148">
        <f t="shared" si="10"/>
        <v>1379890506.5551617</v>
      </c>
      <c r="AD26" s="148">
        <f t="shared" si="10"/>
        <v>1383753541.5035031</v>
      </c>
      <c r="AE26" s="148">
        <f t="shared" si="10"/>
        <v>1387627423.9287019</v>
      </c>
      <c r="AF26" s="148">
        <f t="shared" si="10"/>
        <v>1391512184.3736973</v>
      </c>
      <c r="AG26" s="148">
        <f t="shared" si="10"/>
        <v>1395407853.4676337</v>
      </c>
      <c r="AH26" s="148">
        <f t="shared" si="10"/>
        <v>1399314461.9261103</v>
      </c>
      <c r="AI26" s="148">
        <f t="shared" si="10"/>
        <v>1403232040.5514207</v>
      </c>
      <c r="AJ26" s="148">
        <f t="shared" si="10"/>
        <v>1407160620.2328014</v>
      </c>
      <c r="AK26" s="148">
        <f t="shared" si="10"/>
        <v>1411100231.9466765</v>
      </c>
      <c r="AL26" s="148">
        <f t="shared" si="10"/>
        <v>1415050906.7569046</v>
      </c>
      <c r="AM26" s="148">
        <f t="shared" si="10"/>
        <v>1419012675.815026</v>
      </c>
      <c r="AN26" s="148">
        <f t="shared" si="10"/>
        <v>1422985570.3605106</v>
      </c>
      <c r="AO26" s="148">
        <f t="shared" si="10"/>
        <v>1426969621.7210069</v>
      </c>
      <c r="AP26" s="148">
        <f t="shared" si="10"/>
        <v>1430964861.3125906</v>
      </c>
      <c r="AQ26" s="148">
        <f t="shared" si="10"/>
        <v>1434971320.640017</v>
      </c>
      <c r="AR26" s="148">
        <f t="shared" si="10"/>
        <v>1438989031.2969694</v>
      </c>
      <c r="AS26" s="148">
        <f t="shared" si="10"/>
        <v>1443018024.9663112</v>
      </c>
      <c r="AT26" s="148">
        <f t="shared" si="10"/>
        <v>1447058333.4203391</v>
      </c>
      <c r="AU26" s="148">
        <f t="shared" si="10"/>
        <v>1451109988.5210357</v>
      </c>
      <c r="AV26" s="148">
        <f t="shared" si="10"/>
        <v>1455173022.2203221</v>
      </c>
      <c r="AW26" s="148">
        <f t="shared" si="10"/>
        <v>1459247466.5603147</v>
      </c>
      <c r="AX26" s="148">
        <f t="shared" si="10"/>
        <v>1463333353.6735773</v>
      </c>
      <c r="AY26" s="148">
        <f t="shared" si="10"/>
        <v>1467430715.78338</v>
      </c>
      <c r="AZ26" s="148">
        <f t="shared" si="10"/>
        <v>1471539585.2039537</v>
      </c>
      <c r="BA26" s="148">
        <f t="shared" si="10"/>
        <v>1475659994.3407485</v>
      </c>
      <c r="BB26" s="148">
        <f t="shared" si="10"/>
        <v>1479791975.6906908</v>
      </c>
      <c r="BC26" s="148">
        <f t="shared" si="10"/>
        <v>1483935561.8424425</v>
      </c>
      <c r="BD26" s="148">
        <f t="shared" si="10"/>
        <v>1488090785.4766617</v>
      </c>
      <c r="BE26" s="148">
        <f t="shared" si="10"/>
        <v>1492257679.3662615</v>
      </c>
      <c r="BF26" s="148">
        <f t="shared" si="10"/>
        <v>1496436276.3766704</v>
      </c>
      <c r="BG26" s="148">
        <f t="shared" si="10"/>
        <v>1500626609.4660959</v>
      </c>
      <c r="BH26" s="148">
        <f t="shared" si="10"/>
        <v>1504828711.6857867</v>
      </c>
      <c r="BI26" s="148">
        <f t="shared" si="10"/>
        <v>1509042616.1802945</v>
      </c>
      <c r="BJ26" s="148">
        <f t="shared" si="10"/>
        <v>1513268356.1877387</v>
      </c>
      <c r="BK26" s="148">
        <f t="shared" si="10"/>
        <v>1517505965.0400712</v>
      </c>
      <c r="BL26" s="148">
        <f t="shared" si="10"/>
        <v>1521755476.1633425</v>
      </c>
      <c r="BM26" s="148">
        <f t="shared" si="10"/>
        <v>1526016923.0779667</v>
      </c>
      <c r="BN26" s="148">
        <f t="shared" si="10"/>
        <v>1530290339.398989</v>
      </c>
      <c r="BO26" s="148">
        <f t="shared" si="10"/>
        <v>1534575758.8363533</v>
      </c>
      <c r="BP26" s="148">
        <f t="shared" si="10"/>
        <v>1538873215.1951728</v>
      </c>
      <c r="BQ26" s="148">
        <f t="shared" ref="BQ26:EB26" si="11">SUM(BQ11,BQ24)</f>
        <v>1543182742.3759937</v>
      </c>
      <c r="BR26" s="148">
        <f t="shared" si="11"/>
        <v>1547504374.3750718</v>
      </c>
      <c r="BS26" s="148">
        <f t="shared" si="11"/>
        <v>1551838145.2846389</v>
      </c>
      <c r="BT26" s="148">
        <f t="shared" si="11"/>
        <v>1556184089.2931755</v>
      </c>
      <c r="BU26" s="148">
        <f t="shared" si="11"/>
        <v>1560542240.6856852</v>
      </c>
      <c r="BV26" s="148">
        <f t="shared" si="11"/>
        <v>1564912633.8439631</v>
      </c>
      <c r="BW26" s="148">
        <f t="shared" si="11"/>
        <v>1569295303.2468743</v>
      </c>
      <c r="BX26" s="148">
        <f t="shared" si="11"/>
        <v>1573690283.4706268</v>
      </c>
      <c r="BY26" s="148">
        <f t="shared" si="11"/>
        <v>1578097609.1890457</v>
      </c>
      <c r="BZ26" s="148">
        <f t="shared" si="11"/>
        <v>1582517315.173851</v>
      </c>
      <c r="CA26" s="148">
        <f t="shared" si="11"/>
        <v>1586949436.294934</v>
      </c>
      <c r="CB26" s="148">
        <f t="shared" si="11"/>
        <v>1591394007.5206361</v>
      </c>
      <c r="CC26" s="148">
        <f t="shared" si="11"/>
        <v>1595851063.9180241</v>
      </c>
      <c r="CD26" s="148">
        <f t="shared" si="11"/>
        <v>1600320640.6531734</v>
      </c>
      <c r="CE26" s="148">
        <f t="shared" si="11"/>
        <v>1604802772.991447</v>
      </c>
      <c r="CF26" s="148">
        <f t="shared" si="11"/>
        <v>1609297496.2977748</v>
      </c>
      <c r="CG26" s="148">
        <f t="shared" si="11"/>
        <v>1613804846.0369368</v>
      </c>
      <c r="CH26" s="148">
        <f t="shared" si="11"/>
        <v>1618324857.7738452</v>
      </c>
      <c r="CI26" s="148">
        <f t="shared" si="11"/>
        <v>1622857567.1738286</v>
      </c>
      <c r="CJ26" s="148">
        <f t="shared" si="11"/>
        <v>1627403010.0029137</v>
      </c>
      <c r="CK26" s="148">
        <f t="shared" si="11"/>
        <v>1631961222.1281135</v>
      </c>
      <c r="CL26" s="148">
        <f t="shared" si="11"/>
        <v>1636532239.5177107</v>
      </c>
      <c r="CM26" s="148">
        <f t="shared" si="11"/>
        <v>1641116098.241545</v>
      </c>
      <c r="CN26" s="148">
        <f t="shared" si="11"/>
        <v>1645712834.4712996</v>
      </c>
      <c r="CO26" s="148">
        <f t="shared" si="11"/>
        <v>1650322484.4807913</v>
      </c>
      <c r="CP26" s="148">
        <f t="shared" si="11"/>
        <v>1654945084.6462586</v>
      </c>
      <c r="CQ26" s="148">
        <f t="shared" si="11"/>
        <v>1659580671.4466491</v>
      </c>
      <c r="CR26" s="148">
        <f t="shared" si="11"/>
        <v>1664229281.4639149</v>
      </c>
      <c r="CS26" s="148">
        <f t="shared" si="11"/>
        <v>1668890951.3832996</v>
      </c>
      <c r="CT26" s="148">
        <f t="shared" si="11"/>
        <v>1673565717.9936333</v>
      </c>
      <c r="CU26" s="148">
        <f t="shared" si="11"/>
        <v>1678253618.1876247</v>
      </c>
      <c r="CV26" s="148">
        <f t="shared" si="11"/>
        <v>1682954688.9621546</v>
      </c>
      <c r="CW26" s="148">
        <f t="shared" si="11"/>
        <v>1687668967.4185722</v>
      </c>
      <c r="CX26" s="148">
        <f t="shared" si="11"/>
        <v>1692396490.7629886</v>
      </c>
      <c r="CY26" s="148">
        <f t="shared" si="11"/>
        <v>1697137296.3065748</v>
      </c>
      <c r="CZ26" s="148">
        <f t="shared" si="11"/>
        <v>1701891421.4658597</v>
      </c>
      <c r="DA26" s="148">
        <f t="shared" si="11"/>
        <v>1706658903.7630248</v>
      </c>
      <c r="DB26" s="148">
        <f t="shared" si="11"/>
        <v>1711439780.8262079</v>
      </c>
      <c r="DC26" s="148">
        <f t="shared" si="11"/>
        <v>1716234090.3897982</v>
      </c>
      <c r="DD26" s="148">
        <f t="shared" si="11"/>
        <v>1721041870.2947416</v>
      </c>
      <c r="DE26" s="148">
        <f t="shared" si="11"/>
        <v>1725863158.4888377</v>
      </c>
      <c r="DF26" s="148">
        <f t="shared" si="11"/>
        <v>1730697993.0270455</v>
      </c>
      <c r="DG26" s="148">
        <f t="shared" si="11"/>
        <v>1735546412.0717857</v>
      </c>
      <c r="DH26" s="148">
        <f t="shared" si="11"/>
        <v>1740408453.8932438</v>
      </c>
      <c r="DI26" s="148">
        <f t="shared" si="11"/>
        <v>1745284156.8696764</v>
      </c>
      <c r="DJ26" s="148">
        <f t="shared" si="11"/>
        <v>1750173559.487716</v>
      </c>
      <c r="DK26" s="148">
        <f t="shared" si="11"/>
        <v>1755076700.3426788</v>
      </c>
      <c r="DL26" s="148">
        <f t="shared" si="11"/>
        <v>1759993618.1388714</v>
      </c>
      <c r="DM26" s="148">
        <f t="shared" si="11"/>
        <v>1764924351.689899</v>
      </c>
      <c r="DN26" s="148">
        <f t="shared" si="11"/>
        <v>1769868939.9189758</v>
      </c>
      <c r="DO26" s="148">
        <f t="shared" si="11"/>
        <v>1774827421.8592339</v>
      </c>
      <c r="DP26" s="148">
        <f t="shared" si="11"/>
        <v>1779799836.6540346</v>
      </c>
      <c r="DQ26" s="148">
        <f t="shared" si="11"/>
        <v>1784786223.5572829</v>
      </c>
      <c r="DR26" s="148">
        <f t="shared" si="11"/>
        <v>1789786621.9337358</v>
      </c>
      <c r="DS26" s="148">
        <f t="shared" si="11"/>
        <v>1794801071.2593195</v>
      </c>
      <c r="DT26" s="148">
        <f t="shared" si="11"/>
        <v>1799829611.1214426</v>
      </c>
      <c r="DU26" s="148">
        <f t="shared" si="11"/>
        <v>1804872281.2193124</v>
      </c>
      <c r="DV26" s="148">
        <f t="shared" si="11"/>
        <v>1809929121.3642492</v>
      </c>
      <c r="DW26" s="148">
        <f t="shared" si="11"/>
        <v>1815000171.4800076</v>
      </c>
      <c r="DX26" s="148">
        <f t="shared" si="11"/>
        <v>1820085471.6030893</v>
      </c>
      <c r="DY26" s="148">
        <f t="shared" si="11"/>
        <v>1825185061.8830681</v>
      </c>
      <c r="DZ26" s="148">
        <f t="shared" si="11"/>
        <v>1830298982.5829053</v>
      </c>
      <c r="EA26" s="148">
        <f t="shared" si="11"/>
        <v>1835427274.079272</v>
      </c>
      <c r="EB26" s="148">
        <f t="shared" si="11"/>
        <v>1840569976.8628721</v>
      </c>
      <c r="EC26" s="148">
        <f>SUM(EC11,EC24)</f>
        <v>1845727131.5387635</v>
      </c>
      <c r="ED26" s="148">
        <f>SUM(ED11,ED24)</f>
        <v>1850898778.8266823</v>
      </c>
      <c r="EE26" s="149">
        <f>SUM(EE11,EE24)</f>
        <v>1856084959.561368</v>
      </c>
    </row>
    <row r="27" spans="1:135" x14ac:dyDescent="0.25">
      <c r="B27" s="5"/>
      <c r="C27" s="144"/>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c r="BJ27" s="145"/>
      <c r="BK27" s="145"/>
      <c r="BL27" s="145"/>
      <c r="BM27" s="145"/>
      <c r="BN27" s="145"/>
      <c r="BO27" s="145"/>
      <c r="BP27" s="145"/>
      <c r="BQ27" s="145"/>
      <c r="BR27" s="145"/>
      <c r="BS27" s="145"/>
      <c r="BT27" s="145"/>
      <c r="BU27" s="145"/>
      <c r="BV27" s="145"/>
      <c r="BW27" s="145"/>
      <c r="BX27" s="145"/>
      <c r="BY27" s="145"/>
      <c r="BZ27" s="145"/>
      <c r="CA27" s="145"/>
      <c r="CB27" s="145"/>
      <c r="CC27" s="145"/>
      <c r="CD27" s="145"/>
      <c r="CE27" s="145"/>
      <c r="CF27" s="145"/>
      <c r="CG27" s="145"/>
      <c r="CH27" s="145"/>
      <c r="CI27" s="145"/>
      <c r="CJ27" s="145"/>
      <c r="CK27" s="145"/>
      <c r="CL27" s="145"/>
      <c r="CM27" s="145"/>
      <c r="CN27" s="145"/>
      <c r="CO27" s="145"/>
      <c r="CP27" s="145"/>
      <c r="CQ27" s="145"/>
      <c r="CR27" s="145"/>
      <c r="CS27" s="145"/>
      <c r="CT27" s="145"/>
      <c r="CU27" s="145"/>
      <c r="CV27" s="145"/>
      <c r="CW27" s="145"/>
      <c r="CX27" s="145"/>
      <c r="CY27" s="145"/>
      <c r="CZ27" s="145"/>
      <c r="DA27" s="145"/>
      <c r="DB27" s="145"/>
      <c r="DC27" s="145"/>
      <c r="DD27" s="145"/>
      <c r="DE27" s="145"/>
      <c r="DF27" s="145"/>
      <c r="DG27" s="145"/>
      <c r="DH27" s="145"/>
      <c r="DI27" s="145"/>
      <c r="DJ27" s="145"/>
      <c r="DK27" s="145"/>
      <c r="DL27" s="145"/>
      <c r="DM27" s="145"/>
      <c r="DN27" s="145"/>
      <c r="DO27" s="145"/>
      <c r="DP27" s="145"/>
      <c r="DQ27" s="145"/>
      <c r="DR27" s="145"/>
      <c r="DS27" s="145"/>
      <c r="DT27" s="145"/>
      <c r="DU27" s="145"/>
      <c r="DV27" s="145"/>
      <c r="DW27" s="145"/>
      <c r="DX27" s="145"/>
      <c r="DY27" s="145"/>
      <c r="DZ27" s="145"/>
      <c r="EA27" s="145"/>
      <c r="EB27" s="145"/>
      <c r="EC27" s="145"/>
      <c r="ED27" s="145"/>
      <c r="EE27" s="146"/>
    </row>
    <row r="28" spans="1:135" x14ac:dyDescent="0.25">
      <c r="B28" s="140" t="s">
        <v>170</v>
      </c>
      <c r="C28" s="144"/>
      <c r="D28" s="145"/>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c r="BJ28" s="145"/>
      <c r="BK28" s="145"/>
      <c r="BL28" s="145"/>
      <c r="BM28" s="145"/>
      <c r="BN28" s="145"/>
      <c r="BO28" s="145"/>
      <c r="BP28" s="145"/>
      <c r="BQ28" s="145"/>
      <c r="BR28" s="145"/>
      <c r="BS28" s="145"/>
      <c r="BT28" s="145"/>
      <c r="BU28" s="145"/>
      <c r="BV28" s="145"/>
      <c r="BW28" s="145"/>
      <c r="BX28" s="145"/>
      <c r="BY28" s="145"/>
      <c r="BZ28" s="145"/>
      <c r="CA28" s="145"/>
      <c r="CB28" s="145"/>
      <c r="CC28" s="145"/>
      <c r="CD28" s="145"/>
      <c r="CE28" s="145"/>
      <c r="CF28" s="145"/>
      <c r="CG28" s="145"/>
      <c r="CH28" s="145"/>
      <c r="CI28" s="145"/>
      <c r="CJ28" s="145"/>
      <c r="CK28" s="145"/>
      <c r="CL28" s="145"/>
      <c r="CM28" s="145"/>
      <c r="CN28" s="145"/>
      <c r="CO28" s="145"/>
      <c r="CP28" s="145"/>
      <c r="CQ28" s="145"/>
      <c r="CR28" s="145"/>
      <c r="CS28" s="145"/>
      <c r="CT28" s="145"/>
      <c r="CU28" s="145"/>
      <c r="CV28" s="145"/>
      <c r="CW28" s="145"/>
      <c r="CX28" s="145"/>
      <c r="CY28" s="145"/>
      <c r="CZ28" s="145"/>
      <c r="DA28" s="145"/>
      <c r="DB28" s="145"/>
      <c r="DC28" s="145"/>
      <c r="DD28" s="145"/>
      <c r="DE28" s="145"/>
      <c r="DF28" s="145"/>
      <c r="DG28" s="145"/>
      <c r="DH28" s="145"/>
      <c r="DI28" s="145"/>
      <c r="DJ28" s="145"/>
      <c r="DK28" s="145"/>
      <c r="DL28" s="145"/>
      <c r="DM28" s="145"/>
      <c r="DN28" s="145"/>
      <c r="DO28" s="145"/>
      <c r="DP28" s="145"/>
      <c r="DQ28" s="145"/>
      <c r="DR28" s="145"/>
      <c r="DS28" s="145"/>
      <c r="DT28" s="145"/>
      <c r="DU28" s="145"/>
      <c r="DV28" s="145"/>
      <c r="DW28" s="145"/>
      <c r="DX28" s="145"/>
      <c r="DY28" s="145"/>
      <c r="DZ28" s="145"/>
      <c r="EA28" s="145"/>
      <c r="EB28" s="145"/>
      <c r="EC28" s="145"/>
      <c r="ED28" s="145"/>
      <c r="EE28" s="146"/>
    </row>
    <row r="29" spans="1:135" x14ac:dyDescent="0.25">
      <c r="A29" s="152">
        <f>SUMIF($C$1:$EE$1,"&lt;="&amp;Resumen!$K$19,'Flujo de caja mensual'!C29:EE29)</f>
        <v>-1201953424.9594941</v>
      </c>
      <c r="B29" s="5" t="s">
        <v>74</v>
      </c>
      <c r="C29" s="144"/>
      <c r="D29" s="145">
        <f>-Gastos!$F3/12*(1+Gastos!$F$17)^((D$1-1)/12)</f>
        <v>-7786530.25</v>
      </c>
      <c r="E29" s="145">
        <f>-Gastos!$F3/12*(1+Gastos!$F$17)^((E$1-1)/12)</f>
        <v>-7818253.5380836222</v>
      </c>
      <c r="F29" s="145">
        <f>-Gastos!$F3/12*(1+Gastos!$F$17)^((F$1-1)/12)</f>
        <v>-7850106.0707697207</v>
      </c>
      <c r="G29" s="145">
        <f>-Gastos!$F3/12*(1+Gastos!$F$17)^((G$1-1)/12)</f>
        <v>-7882088.3746168064</v>
      </c>
      <c r="H29" s="145">
        <f>-Gastos!$F3/12*(1+Gastos!$F$17)^((H$1-1)/12)</f>
        <v>-7914200.9783286508</v>
      </c>
      <c r="I29" s="145">
        <f>-Gastos!$F3/12*(1+Gastos!$F$17)^((I$1-1)/12)</f>
        <v>-7946444.4127630312</v>
      </c>
      <c r="J29" s="145">
        <f>-Gastos!$F3/12*(1+Gastos!$F$17)^((J$1-1)/12)</f>
        <v>-7978819.2109405091</v>
      </c>
      <c r="K29" s="145">
        <f>-Gastos!$F3/12*(1+Gastos!$F$17)^((K$1-1)/12)</f>
        <v>-8011325.9080532314</v>
      </c>
      <c r="L29" s="145">
        <f>-Gastos!$F3/12*(1+Gastos!$F$17)^((L$1-1)/12)</f>
        <v>-8043965.0414737891</v>
      </c>
      <c r="M29" s="145">
        <f>-Gastos!$F3/12*(1+Gastos!$F$17)^((M$1-1)/12)</f>
        <v>-8076737.1507640919</v>
      </c>
      <c r="N29" s="145">
        <f>-Gastos!$F3/12*(1+Gastos!$F$17)^((N$1-1)/12)</f>
        <v>-8109642.7776842974</v>
      </c>
      <c r="O29" s="145">
        <f>-Gastos!$F3/12*(1+Gastos!$F$17)^((O$1-1)/12)</f>
        <v>-8142682.4662017524</v>
      </c>
      <c r="P29" s="145">
        <f>-Gastos!$F3/12*(1+Gastos!$F$17)^((P$1-1)/12)</f>
        <v>-8175856.7625000002</v>
      </c>
      <c r="Q29" s="145">
        <f>-Gastos!$F3/12*(1+Gastos!$F$17)^((Q$1-1)/12)</f>
        <v>-8209166.2149878042</v>
      </c>
      <c r="R29" s="145">
        <f>-Gastos!$F3/12*(1+Gastos!$F$17)^((R$1-1)/12)</f>
        <v>-8242611.3743082071</v>
      </c>
      <c r="S29" s="145">
        <f>-Gastos!$F3/12*(1+Gastos!$F$17)^((S$1-1)/12)</f>
        <v>-8276192.7933476465</v>
      </c>
      <c r="T29" s="145">
        <f>-Gastos!$F3/12*(1+Gastos!$F$17)^((T$1-1)/12)</f>
        <v>-8309911.0272450829</v>
      </c>
      <c r="U29" s="145">
        <f>-Gastos!$F3/12*(1+Gastos!$F$17)^((U$1-1)/12)</f>
        <v>-8343766.6334011825</v>
      </c>
      <c r="V29" s="145">
        <f>-Gastos!$F3/12*(1+Gastos!$F$17)^((V$1-1)/12)</f>
        <v>-8377760.1714875335</v>
      </c>
      <c r="W29" s="145">
        <f>-Gastos!$F3/12*(1+Gastos!$F$17)^((W$1-1)/12)</f>
        <v>-8411892.2034558933</v>
      </c>
      <c r="X29" s="145">
        <f>-Gastos!$F3/12*(1+Gastos!$F$17)^((X$1-1)/12)</f>
        <v>-8446163.2935474794</v>
      </c>
      <c r="Y29" s="145">
        <f>-Gastos!$F3/12*(1+Gastos!$F$17)^((Y$1-1)/12)</f>
        <v>-8480574.0083022974</v>
      </c>
      <c r="Z29" s="145">
        <f>-Gastos!$F3/12*(1+Gastos!$F$17)^((Z$1-1)/12)</f>
        <v>-8515124.9165685121</v>
      </c>
      <c r="AA29" s="145">
        <f>-Gastos!$F3/12*(1+Gastos!$F$17)^((AA$1-1)/12)</f>
        <v>-8549816.5895118397</v>
      </c>
      <c r="AB29" s="145">
        <f>-Gastos!$F3/12*(1+Gastos!$F$17)^((AB$1-1)/12)</f>
        <v>-8584649.6006250009</v>
      </c>
      <c r="AC29" s="145">
        <f>-Gastos!$F3/12*(1+Gastos!$F$17)^((AC$1-1)/12)</f>
        <v>-8619624.5257371943</v>
      </c>
      <c r="AD29" s="145">
        <f>-Gastos!$F3/12*(1+Gastos!$F$17)^((AD$1-1)/12)</f>
        <v>-8654741.9430236183</v>
      </c>
      <c r="AE29" s="145">
        <f>-Gastos!$F3/12*(1+Gastos!$F$17)^((AE$1-1)/12)</f>
        <v>-8690002.4330150299</v>
      </c>
      <c r="AF29" s="145">
        <f>-Gastos!$F3/12*(1+Gastos!$F$17)^((AF$1-1)/12)</f>
        <v>-8725406.5786073375</v>
      </c>
      <c r="AG29" s="145">
        <f>-Gastos!$F3/12*(1+Gastos!$F$17)^((AG$1-1)/12)</f>
        <v>-8760954.9650712423</v>
      </c>
      <c r="AH29" s="145">
        <f>-Gastos!$F3/12*(1+Gastos!$F$17)^((AH$1-1)/12)</f>
        <v>-8796648.1800619122</v>
      </c>
      <c r="AI29" s="145">
        <f>-Gastos!$F3/12*(1+Gastos!$F$17)^((AI$1-1)/12)</f>
        <v>-8832486.8136286885</v>
      </c>
      <c r="AJ29" s="145">
        <f>-Gastos!$F3/12*(1+Gastos!$F$17)^((AJ$1-1)/12)</f>
        <v>-8868471.4582248516</v>
      </c>
      <c r="AK29" s="145">
        <f>-Gastos!$F3/12*(1+Gastos!$F$17)^((AK$1-1)/12)</f>
        <v>-8904602.7087174132</v>
      </c>
      <c r="AL29" s="145">
        <f>-Gastos!$F3/12*(1+Gastos!$F$17)^((AL$1-1)/12)</f>
        <v>-8940881.1623969376</v>
      </c>
      <c r="AM29" s="145">
        <f>-Gastos!$F3/12*(1+Gastos!$F$17)^((AM$1-1)/12)</f>
        <v>-8977307.4189874325</v>
      </c>
      <c r="AN29" s="145">
        <f>-Gastos!$F3/12*(1+Gastos!$F$17)^((AN$1-1)/12)</f>
        <v>-9013882.0806562509</v>
      </c>
      <c r="AO29" s="145">
        <f>-Gastos!$F3/12*(1+Gastos!$F$17)^((AO$1-1)/12)</f>
        <v>-9050605.7520240527</v>
      </c>
      <c r="AP29" s="145">
        <f>-Gastos!$F3/12*(1+Gastos!$F$17)^((AP$1-1)/12)</f>
        <v>-9087479.040174799</v>
      </c>
      <c r="AQ29" s="145">
        <f>-Gastos!$F3/12*(1+Gastos!$F$17)^((AQ$1-1)/12)</f>
        <v>-9124502.5546657816</v>
      </c>
      <c r="AR29" s="145">
        <f>-Gastos!$F3/12*(1+Gastos!$F$17)^((AR$1-1)/12)</f>
        <v>-9161676.9075377043</v>
      </c>
      <c r="AS29" s="145">
        <f>-Gastos!$F3/12*(1+Gastos!$F$17)^((AS$1-1)/12)</f>
        <v>-9199002.7133248057</v>
      </c>
      <c r="AT29" s="145">
        <f>-Gastos!$F3/12*(1+Gastos!$F$17)^((AT$1-1)/12)</f>
        <v>-9236480.5890650079</v>
      </c>
      <c r="AU29" s="145">
        <f>-Gastos!$F3/12*(1+Gastos!$F$17)^((AU$1-1)/12)</f>
        <v>-9274111.154310124</v>
      </c>
      <c r="AV29" s="145">
        <f>-Gastos!$F3/12*(1+Gastos!$F$17)^((AV$1-1)/12)</f>
        <v>-9311895.0311360955</v>
      </c>
      <c r="AW29" s="145">
        <f>-Gastos!$F3/12*(1+Gastos!$F$17)^((AW$1-1)/12)</f>
        <v>-9349832.844153285</v>
      </c>
      <c r="AX29" s="145">
        <f>-Gastos!$F3/12*(1+Gastos!$F$17)^((AX$1-1)/12)</f>
        <v>-9387925.2205167841</v>
      </c>
      <c r="AY29" s="145">
        <f>-Gastos!$F3/12*(1+Gastos!$F$17)^((AY$1-1)/12)</f>
        <v>-9426172.7899368033</v>
      </c>
      <c r="AZ29" s="145">
        <f>-Gastos!$F3/12*(1+Gastos!$F$17)^((AZ$1-1)/12)</f>
        <v>-9464576.1846890617</v>
      </c>
      <c r="BA29" s="145">
        <f>-Gastos!$F3/12*(1+Gastos!$F$17)^((BA$1-1)/12)</f>
        <v>-9503136.0396252573</v>
      </c>
      <c r="BB29" s="145">
        <f>-Gastos!$F3/12*(1+Gastos!$F$17)^((BB$1-1)/12)</f>
        <v>-9541852.99218354</v>
      </c>
      <c r="BC29" s="145">
        <f>-Gastos!$F3/12*(1+Gastos!$F$17)^((BC$1-1)/12)</f>
        <v>-9580727.6823990718</v>
      </c>
      <c r="BD29" s="145">
        <f>-Gastos!$F3/12*(1+Gastos!$F$17)^((BD$1-1)/12)</f>
        <v>-9619760.7529145889</v>
      </c>
      <c r="BE29" s="145">
        <f>-Gastos!$F3/12*(1+Gastos!$F$17)^((BE$1-1)/12)</f>
        <v>-9658952.8489910457</v>
      </c>
      <c r="BF29" s="145">
        <f>-Gastos!$F3/12*(1+Gastos!$F$17)^((BF$1-1)/12)</f>
        <v>-9698304.6185182575</v>
      </c>
      <c r="BG29" s="145">
        <f>-Gastos!$F3/12*(1+Gastos!$F$17)^((BG$1-1)/12)</f>
        <v>-9737816.7120256294</v>
      </c>
      <c r="BH29" s="145">
        <f>-Gastos!$F3/12*(1+Gastos!$F$17)^((BH$1-1)/12)</f>
        <v>-9777489.7826929018</v>
      </c>
      <c r="BI29" s="145">
        <f>-Gastos!$F3/12*(1+Gastos!$F$17)^((BI$1-1)/12)</f>
        <v>-9817324.4863609485</v>
      </c>
      <c r="BJ29" s="145">
        <f>-Gastos!$F3/12*(1+Gastos!$F$17)^((BJ$1-1)/12)</f>
        <v>-9857321.4815426245</v>
      </c>
      <c r="BK29" s="145">
        <f>-Gastos!$F3/12*(1+Gastos!$F$17)^((BK$1-1)/12)</f>
        <v>-9897481.4294336457</v>
      </c>
      <c r="BL29" s="145">
        <f>-Gastos!$F3/12*(1+Gastos!$F$17)^((BL$1-1)/12)</f>
        <v>-9937804.9939235169</v>
      </c>
      <c r="BM29" s="145">
        <f>-Gastos!$F3/12*(1+Gastos!$F$17)^((BM$1-1)/12)</f>
        <v>-9978292.8416065201</v>
      </c>
      <c r="BN29" s="145">
        <f>-Gastos!$F3/12*(1+Gastos!$F$17)^((BN$1-1)/12)</f>
        <v>-10018945.641792718</v>
      </c>
      <c r="BO29" s="145">
        <f>-Gastos!$F3/12*(1+Gastos!$F$17)^((BO$1-1)/12)</f>
        <v>-10059764.066519026</v>
      </c>
      <c r="BP29" s="145">
        <f>-Gastos!$F3/12*(1+Gastos!$F$17)^((BP$1-1)/12)</f>
        <v>-10100748.79056032</v>
      </c>
      <c r="BQ29" s="145">
        <f>-Gastos!$F3/12*(1+Gastos!$F$17)^((BQ$1-1)/12)</f>
        <v>-10141900.4914406</v>
      </c>
      <c r="BR29" s="145">
        <f>-Gastos!$F3/12*(1+Gastos!$F$17)^((BR$1-1)/12)</f>
        <v>-10183219.849444171</v>
      </c>
      <c r="BS29" s="145">
        <f>-Gastos!$F3/12*(1+Gastos!$F$17)^((BS$1-1)/12)</f>
        <v>-10224707.547626913</v>
      </c>
      <c r="BT29" s="145">
        <f>-Gastos!$F3/12*(1+Gastos!$F$17)^((BT$1-1)/12)</f>
        <v>-10266364.271827547</v>
      </c>
      <c r="BU29" s="145">
        <f>-Gastos!$F3/12*(1+Gastos!$F$17)^((BU$1-1)/12)</f>
        <v>-10308190.710678997</v>
      </c>
      <c r="BV29" s="145">
        <f>-Gastos!$F3/12*(1+Gastos!$F$17)^((BV$1-1)/12)</f>
        <v>-10350187.555619758</v>
      </c>
      <c r="BW29" s="145">
        <f>-Gastos!$F3/12*(1+Gastos!$F$17)^((BW$1-1)/12)</f>
        <v>-10392355.500905327</v>
      </c>
      <c r="BX29" s="145">
        <f>-Gastos!$F3/12*(1+Gastos!$F$17)^((BX$1-1)/12)</f>
        <v>-10434695.243619692</v>
      </c>
      <c r="BY29" s="145">
        <f>-Gastos!$F3/12*(1+Gastos!$F$17)^((BY$1-1)/12)</f>
        <v>-10477207.483686848</v>
      </c>
      <c r="BZ29" s="145">
        <f>-Gastos!$F3/12*(1+Gastos!$F$17)^((BZ$1-1)/12)</f>
        <v>-10519892.923882354</v>
      </c>
      <c r="CA29" s="145">
        <f>-Gastos!$F3/12*(1+Gastos!$F$17)^((CA$1-1)/12)</f>
        <v>-10562752.269844977</v>
      </c>
      <c r="CB29" s="145">
        <f>-Gastos!$F3/12*(1+Gastos!$F$17)^((CB$1-1)/12)</f>
        <v>-10605786.230088336</v>
      </c>
      <c r="CC29" s="145">
        <f>-Gastos!$F3/12*(1+Gastos!$F$17)^((CC$1-1)/12)</f>
        <v>-10648995.516012629</v>
      </c>
      <c r="CD29" s="145">
        <f>-Gastos!$F3/12*(1+Gastos!$F$17)^((CD$1-1)/12)</f>
        <v>-10692380.84191638</v>
      </c>
      <c r="CE29" s="145">
        <f>-Gastos!$F3/12*(1+Gastos!$F$17)^((CE$1-1)/12)</f>
        <v>-10735942.925008258</v>
      </c>
      <c r="CF29" s="145">
        <f>-Gastos!$F3/12*(1+Gastos!$F$17)^((CF$1-1)/12)</f>
        <v>-10779682.485418925</v>
      </c>
      <c r="CG29" s="145">
        <f>-Gastos!$F3/12*(1+Gastos!$F$17)^((CG$1-1)/12)</f>
        <v>-10823600.246212946</v>
      </c>
      <c r="CH29" s="145">
        <f>-Gastos!$F3/12*(1+Gastos!$F$17)^((CH$1-1)/12)</f>
        <v>-10867696.933400745</v>
      </c>
      <c r="CI29" s="145">
        <f>-Gastos!$F3/12*(1+Gastos!$F$17)^((CI$1-1)/12)</f>
        <v>-10911973.275950594</v>
      </c>
      <c r="CJ29" s="145">
        <f>-Gastos!$F3/12*(1+Gastos!$F$17)^((CJ$1-1)/12)</f>
        <v>-10956430.005800677</v>
      </c>
      <c r="CK29" s="145">
        <f>-Gastos!$F3/12*(1+Gastos!$F$17)^((CK$1-1)/12)</f>
        <v>-11001067.85787119</v>
      </c>
      <c r="CL29" s="145">
        <f>-Gastos!$F3/12*(1+Gastos!$F$17)^((CL$1-1)/12)</f>
        <v>-11045887.570076473</v>
      </c>
      <c r="CM29" s="145">
        <f>-Gastos!$F3/12*(1+Gastos!$F$17)^((CM$1-1)/12)</f>
        <v>-11090889.883337226</v>
      </c>
      <c r="CN29" s="145">
        <f>-Gastos!$F3/12*(1+Gastos!$F$17)^((CN$1-1)/12)</f>
        <v>-11136075.541592753</v>
      </c>
      <c r="CO29" s="145">
        <f>-Gastos!$F3/12*(1+Gastos!$F$17)^((CO$1-1)/12)</f>
        <v>-11181445.291813262</v>
      </c>
      <c r="CP29" s="145">
        <f>-Gastos!$F3/12*(1+Gastos!$F$17)^((CP$1-1)/12)</f>
        <v>-11226999.8840122</v>
      </c>
      <c r="CQ29" s="145">
        <f>-Gastos!$F3/12*(1+Gastos!$F$17)^((CQ$1-1)/12)</f>
        <v>-11272740.071258672</v>
      </c>
      <c r="CR29" s="145">
        <f>-Gastos!$F3/12*(1+Gastos!$F$17)^((CR$1-1)/12)</f>
        <v>-11318666.609689871</v>
      </c>
      <c r="CS29" s="145">
        <f>-Gastos!$F3/12*(1+Gastos!$F$17)^((CS$1-1)/12)</f>
        <v>-11364780.258523595</v>
      </c>
      <c r="CT29" s="145">
        <f>-Gastos!$F3/12*(1+Gastos!$F$17)^((CT$1-1)/12)</f>
        <v>-11411081.780070782</v>
      </c>
      <c r="CU29" s="145">
        <f>-Gastos!$F3/12*(1+Gastos!$F$17)^((CU$1-1)/12)</f>
        <v>-11457571.939748125</v>
      </c>
      <c r="CV29" s="145">
        <f>-Gastos!$F3/12*(1+Gastos!$F$17)^((CV$1-1)/12)</f>
        <v>-11504251.50609071</v>
      </c>
      <c r="CW29" s="145">
        <f>-Gastos!$F3/12*(1+Gastos!$F$17)^((CW$1-1)/12)</f>
        <v>-11551121.25076475</v>
      </c>
      <c r="CX29" s="145">
        <f>-Gastos!$F3/12*(1+Gastos!$F$17)^((CX$1-1)/12)</f>
        <v>-11598181.948580297</v>
      </c>
      <c r="CY29" s="145">
        <f>-Gastos!$F3/12*(1+Gastos!$F$17)^((CY$1-1)/12)</f>
        <v>-11645434.377504088</v>
      </c>
      <c r="CZ29" s="145">
        <f>-Gastos!$F3/12*(1+Gastos!$F$17)^((CZ$1-1)/12)</f>
        <v>-11692879.318672393</v>
      </c>
      <c r="DA29" s="145">
        <f>-Gastos!$F3/12*(1+Gastos!$F$17)^((DA$1-1)/12)</f>
        <v>-11740517.556403924</v>
      </c>
      <c r="DB29" s="145">
        <f>-Gastos!$F3/12*(1+Gastos!$F$17)^((DB$1-1)/12)</f>
        <v>-11788349.87821281</v>
      </c>
      <c r="DC29" s="145">
        <f>-Gastos!$F3/12*(1+Gastos!$F$17)^((DC$1-1)/12)</f>
        <v>-11836377.074821606</v>
      </c>
      <c r="DD29" s="145">
        <f>-Gastos!$F3/12*(1+Gastos!$F$17)^((DD$1-1)/12)</f>
        <v>-11884599.940174365</v>
      </c>
      <c r="DE29" s="145">
        <f>-Gastos!$F3/12*(1+Gastos!$F$17)^((DE$1-1)/12)</f>
        <v>-11933019.271449775</v>
      </c>
      <c r="DF29" s="145">
        <f>-Gastos!$F3/12*(1+Gastos!$F$17)^((DF$1-1)/12)</f>
        <v>-11981635.869074322</v>
      </c>
      <c r="DG29" s="145">
        <f>-Gastos!$F3/12*(1+Gastos!$F$17)^((DG$1-1)/12)</f>
        <v>-12030450.536735531</v>
      </c>
      <c r="DH29" s="145">
        <f>-Gastos!$F3/12*(1+Gastos!$F$17)^((DH$1-1)/12)</f>
        <v>-12079464.081395246</v>
      </c>
      <c r="DI29" s="145">
        <f>-Gastos!$F3/12*(1+Gastos!$F$17)^((DI$1-1)/12)</f>
        <v>-12128677.313302988</v>
      </c>
      <c r="DJ29" s="145">
        <f>-Gastos!$F3/12*(1+Gastos!$F$17)^((DJ$1-1)/12)</f>
        <v>-12178091.04600931</v>
      </c>
      <c r="DK29" s="145">
        <f>-Gastos!$F3/12*(1+Gastos!$F$17)^((DK$1-1)/12)</f>
        <v>-12227706.096379291</v>
      </c>
      <c r="DL29" s="145">
        <f>-Gastos!$F3/12*(1+Gastos!$F$17)^((DL$1-1)/12)</f>
        <v>-12277523.284606013</v>
      </c>
      <c r="DM29" s="145">
        <f>-Gastos!$F3/12*(1+Gastos!$F$17)^((DM$1-1)/12)</f>
        <v>-12327543.434224121</v>
      </c>
      <c r="DN29" s="145">
        <f>-Gastos!$F3/12*(1+Gastos!$F$17)^((DN$1-1)/12)</f>
        <v>-12377767.372123452</v>
      </c>
      <c r="DO29" s="145">
        <f>-Gastos!$F3/12*(1+Gastos!$F$17)^((DO$1-1)/12)</f>
        <v>-12428195.928562686</v>
      </c>
      <c r="DP29" s="145">
        <f>-Gastos!$F3/12*(1+Gastos!$F$17)^((DP$1-1)/12)</f>
        <v>-12478829.937183084</v>
      </c>
      <c r="DQ29" s="145">
        <f>-Gastos!$F3/12*(1+Gastos!$F$17)^((DQ$1-1)/12)</f>
        <v>-12529670.235022264</v>
      </c>
      <c r="DR29" s="145">
        <f>-Gastos!$F3/12*(1+Gastos!$F$17)^((DR$1-1)/12)</f>
        <v>-12580717.662528038</v>
      </c>
      <c r="DS29" s="145">
        <f>-Gastos!$F3/12*(1+Gastos!$F$17)^((DS$1-1)/12)</f>
        <v>-12631973.063572308</v>
      </c>
      <c r="DT29" s="145">
        <f>-Gastos!$F3/12*(1+Gastos!$F$17)^((DT$1-1)/12)</f>
        <v>-12683437.28546501</v>
      </c>
      <c r="DU29" s="145">
        <f>-Gastos!$F3/12*(1+Gastos!$F$17)^((DU$1-1)/12)</f>
        <v>-12735111.178968139</v>
      </c>
      <c r="DV29" s="145">
        <f>-Gastos!$F3/12*(1+Gastos!$F$17)^((DV$1-1)/12)</f>
        <v>-12786995.598309776</v>
      </c>
      <c r="DW29" s="145">
        <f>-Gastos!$F3/12*(1+Gastos!$F$17)^((DW$1-1)/12)</f>
        <v>-12839091.401198259</v>
      </c>
      <c r="DX29" s="145">
        <f>-Gastos!$F3/12*(1+Gastos!$F$17)^((DX$1-1)/12)</f>
        <v>-12891399.448836315</v>
      </c>
      <c r="DY29" s="145">
        <f>-Gastos!$F3/12*(1+Gastos!$F$17)^((DY$1-1)/12)</f>
        <v>-12943920.605935328</v>
      </c>
      <c r="DZ29" s="145">
        <f>-Gastos!$F3/12*(1+Gastos!$F$17)^((DZ$1-1)/12)</f>
        <v>-12996655.740729626</v>
      </c>
      <c r="EA29" s="145">
        <f>-Gastos!$F3/12*(1+Gastos!$F$17)^((EA$1-1)/12)</f>
        <v>-13049605.724990821</v>
      </c>
      <c r="EB29" s="145">
        <f>-Gastos!$F3/12*(1+Gastos!$F$17)^((EB$1-1)/12)</f>
        <v>-13102771.434042238</v>
      </c>
      <c r="EC29" s="145">
        <f>-Gastos!$F3/12*(1+Gastos!$F$17)^((EC$1-1)/12)</f>
        <v>-13156153.746773379</v>
      </c>
      <c r="ED29" s="145">
        <f>-Gastos!$F3/12*(1+Gastos!$F$17)^((ED$1-1)/12)</f>
        <v>-13209753.54565444</v>
      </c>
      <c r="EE29" s="146">
        <f>-Gastos!$F3/12*(1+Gastos!$F$17)^((EE$1-1)/12)</f>
        <v>-13263571.716750925</v>
      </c>
    </row>
    <row r="30" spans="1:135" x14ac:dyDescent="0.25">
      <c r="A30" s="152">
        <f>SUMIF($C$1:$EE$1,"&lt;="&amp;Resumen!$K$19,'Flujo de caja mensual'!C30:EE30)</f>
        <v>-4665052589.5123005</v>
      </c>
      <c r="B30" s="5" t="s">
        <v>75</v>
      </c>
      <c r="C30" s="144"/>
      <c r="D30" s="145">
        <f>-Gastos!$F4/12*(1+Gastos!$F$17)^((D$1-1)/12)</f>
        <v>-30221281.75</v>
      </c>
      <c r="E30" s="145">
        <f>-Gastos!$F4/12*(1+Gastos!$F$17)^((E$1-1)/12)</f>
        <v>-30344406.992750011</v>
      </c>
      <c r="F30" s="145">
        <f>-Gastos!$F4/12*(1+Gastos!$F$17)^((F$1-1)/12)</f>
        <v>-30468033.862979878</v>
      </c>
      <c r="G30" s="145">
        <f>-Gastos!$F4/12*(1+Gastos!$F$17)^((G$1-1)/12)</f>
        <v>-30592164.40438205</v>
      </c>
      <c r="H30" s="145">
        <f>-Gastos!$F4/12*(1+Gastos!$F$17)^((H$1-1)/12)</f>
        <v>-30716800.668975219</v>
      </c>
      <c r="I30" s="145">
        <f>-Gastos!$F4/12*(1+Gastos!$F$17)^((I$1-1)/12)</f>
        <v>-30841944.717138272</v>
      </c>
      <c r="J30" s="145">
        <f>-Gastos!$F4/12*(1+Gastos!$F$17)^((J$1-1)/12)</f>
        <v>-30967598.617644336</v>
      </c>
      <c r="K30" s="145">
        <f>-Gastos!$F4/12*(1+Gastos!$F$17)^((K$1-1)/12)</f>
        <v>-31093764.447694954</v>
      </c>
      <c r="L30" s="145">
        <f>-Gastos!$F4/12*(1+Gastos!$F$17)^((L$1-1)/12)</f>
        <v>-31220444.292954467</v>
      </c>
      <c r="M30" s="145">
        <f>-Gastos!$F4/12*(1+Gastos!$F$17)^((M$1-1)/12)</f>
        <v>-31347640.247584455</v>
      </c>
      <c r="N30" s="145">
        <f>-Gastos!$F4/12*(1+Gastos!$F$17)^((N$1-1)/12)</f>
        <v>-31475354.414278395</v>
      </c>
      <c r="O30" s="145">
        <f>-Gastos!$F4/12*(1+Gastos!$F$17)^((O$1-1)/12)</f>
        <v>-31603588.904296365</v>
      </c>
      <c r="P30" s="145">
        <f>-Gastos!$F4/12*(1+Gastos!$F$17)^((P$1-1)/12)</f>
        <v>-31732345.837500002</v>
      </c>
      <c r="Q30" s="145">
        <f>-Gastos!$F4/12*(1+Gastos!$F$17)^((Q$1-1)/12)</f>
        <v>-31861627.342387516</v>
      </c>
      <c r="R30" s="145">
        <f>-Gastos!$F4/12*(1+Gastos!$F$17)^((R$1-1)/12)</f>
        <v>-31991435.556128871</v>
      </c>
      <c r="S30" s="145">
        <f>-Gastos!$F4/12*(1+Gastos!$F$17)^((S$1-1)/12)</f>
        <v>-32121772.624601152</v>
      </c>
      <c r="T30" s="145">
        <f>-Gastos!$F4/12*(1+Gastos!$F$17)^((T$1-1)/12)</f>
        <v>-32252640.702423982</v>
      </c>
      <c r="U30" s="145">
        <f>-Gastos!$F4/12*(1+Gastos!$F$17)^((U$1-1)/12)</f>
        <v>-32384041.952995189</v>
      </c>
      <c r="V30" s="145">
        <f>-Gastos!$F4/12*(1+Gastos!$F$17)^((V$1-1)/12)</f>
        <v>-32515978.548526552</v>
      </c>
      <c r="W30" s="145">
        <f>-Gastos!$F4/12*(1+Gastos!$F$17)^((W$1-1)/12)</f>
        <v>-32648452.670079704</v>
      </c>
      <c r="X30" s="145">
        <f>-Gastos!$F4/12*(1+Gastos!$F$17)^((X$1-1)/12)</f>
        <v>-32781466.507602192</v>
      </c>
      <c r="Y30" s="145">
        <f>-Gastos!$F4/12*(1+Gastos!$F$17)^((Y$1-1)/12)</f>
        <v>-32915022.25996368</v>
      </c>
      <c r="Z30" s="145">
        <f>-Gastos!$F4/12*(1+Gastos!$F$17)^((Z$1-1)/12)</f>
        <v>-33049122.134992316</v>
      </c>
      <c r="AA30" s="145">
        <f>-Gastos!$F4/12*(1+Gastos!$F$17)^((AA$1-1)/12)</f>
        <v>-33183768.349511184</v>
      </c>
      <c r="AB30" s="145">
        <f>-Gastos!$F4/12*(1+Gastos!$F$17)^((AB$1-1)/12)</f>
        <v>-33318963.129375</v>
      </c>
      <c r="AC30" s="145">
        <f>-Gastos!$F4/12*(1+Gastos!$F$17)^((AC$1-1)/12)</f>
        <v>-33454708.709506892</v>
      </c>
      <c r="AD30" s="145">
        <f>-Gastos!$F4/12*(1+Gastos!$F$17)^((AD$1-1)/12)</f>
        <v>-33591007.33393532</v>
      </c>
      <c r="AE30" s="145">
        <f>-Gastos!$F4/12*(1+Gastos!$F$17)^((AE$1-1)/12)</f>
        <v>-33727861.255831212</v>
      </c>
      <c r="AF30" s="145">
        <f>-Gastos!$F4/12*(1+Gastos!$F$17)^((AF$1-1)/12)</f>
        <v>-33865272.737545185</v>
      </c>
      <c r="AG30" s="145">
        <f>-Gastos!$F4/12*(1+Gastos!$F$17)^((AG$1-1)/12)</f>
        <v>-34003244.050644949</v>
      </c>
      <c r="AH30" s="145">
        <f>-Gastos!$F4/12*(1+Gastos!$F$17)^((AH$1-1)/12)</f>
        <v>-34141777.475952886</v>
      </c>
      <c r="AI30" s="145">
        <f>-Gastos!$F4/12*(1+Gastos!$F$17)^((AI$1-1)/12)</f>
        <v>-34280875.303583689</v>
      </c>
      <c r="AJ30" s="145">
        <f>-Gastos!$F4/12*(1+Gastos!$F$17)^((AJ$1-1)/12)</f>
        <v>-34420539.832982302</v>
      </c>
      <c r="AK30" s="145">
        <f>-Gastos!$F4/12*(1+Gastos!$F$17)^((AK$1-1)/12)</f>
        <v>-34560773.372961871</v>
      </c>
      <c r="AL30" s="145">
        <f>-Gastos!$F4/12*(1+Gastos!$F$17)^((AL$1-1)/12)</f>
        <v>-34701578.241741933</v>
      </c>
      <c r="AM30" s="145">
        <f>-Gastos!$F4/12*(1+Gastos!$F$17)^((AM$1-1)/12)</f>
        <v>-34842956.766986743</v>
      </c>
      <c r="AN30" s="145">
        <f>-Gastos!$F4/12*(1+Gastos!$F$17)^((AN$1-1)/12)</f>
        <v>-34984911.285843752</v>
      </c>
      <c r="AO30" s="145">
        <f>-Gastos!$F4/12*(1+Gastos!$F$17)^((AO$1-1)/12)</f>
        <v>-35127444.144982234</v>
      </c>
      <c r="AP30" s="145">
        <f>-Gastos!$F4/12*(1+Gastos!$F$17)^((AP$1-1)/12)</f>
        <v>-35270557.70063208</v>
      </c>
      <c r="AQ30" s="145">
        <f>-Gastos!$F4/12*(1+Gastos!$F$17)^((AQ$1-1)/12)</f>
        <v>-35414254.318622775</v>
      </c>
      <c r="AR30" s="145">
        <f>-Gastos!$F4/12*(1+Gastos!$F$17)^((AR$1-1)/12)</f>
        <v>-35558536.374422438</v>
      </c>
      <c r="AS30" s="145">
        <f>-Gastos!$F4/12*(1+Gastos!$F$17)^((AS$1-1)/12)</f>
        <v>-35703406.253177203</v>
      </c>
      <c r="AT30" s="145">
        <f>-Gastos!$F4/12*(1+Gastos!$F$17)^((AT$1-1)/12)</f>
        <v>-35848866.349750526</v>
      </c>
      <c r="AU30" s="145">
        <f>-Gastos!$F4/12*(1+Gastos!$F$17)^((AU$1-1)/12)</f>
        <v>-35994919.068762876</v>
      </c>
      <c r="AV30" s="145">
        <f>-Gastos!$F4/12*(1+Gastos!$F$17)^((AV$1-1)/12)</f>
        <v>-36141566.824631415</v>
      </c>
      <c r="AW30" s="145">
        <f>-Gastos!$F4/12*(1+Gastos!$F$17)^((AW$1-1)/12)</f>
        <v>-36288812.041609965</v>
      </c>
      <c r="AX30" s="145">
        <f>-Gastos!$F4/12*(1+Gastos!$F$17)^((AX$1-1)/12)</f>
        <v>-36436657.153829031</v>
      </c>
      <c r="AY30" s="145">
        <f>-Gastos!$F4/12*(1+Gastos!$F$17)^((AY$1-1)/12)</f>
        <v>-36585104.605336078</v>
      </c>
      <c r="AZ30" s="145">
        <f>-Gastos!$F4/12*(1+Gastos!$F$17)^((AZ$1-1)/12)</f>
        <v>-36734156.850135937</v>
      </c>
      <c r="BA30" s="145">
        <f>-Gastos!$F4/12*(1+Gastos!$F$17)^((BA$1-1)/12)</f>
        <v>-36883816.352231354</v>
      </c>
      <c r="BB30" s="145">
        <f>-Gastos!$F4/12*(1+Gastos!$F$17)^((BB$1-1)/12)</f>
        <v>-37034085.585663691</v>
      </c>
      <c r="BC30" s="145">
        <f>-Gastos!$F4/12*(1+Gastos!$F$17)^((BC$1-1)/12)</f>
        <v>-37184967.034553915</v>
      </c>
      <c r="BD30" s="145">
        <f>-Gastos!$F4/12*(1+Gastos!$F$17)^((BD$1-1)/12)</f>
        <v>-37336463.193143561</v>
      </c>
      <c r="BE30" s="145">
        <f>-Gastos!$F4/12*(1+Gastos!$F$17)^((BE$1-1)/12)</f>
        <v>-37488576.565836057</v>
      </c>
      <c r="BF30" s="145">
        <f>-Gastos!$F4/12*(1+Gastos!$F$17)^((BF$1-1)/12)</f>
        <v>-37641309.667238057</v>
      </c>
      <c r="BG30" s="145">
        <f>-Gastos!$F4/12*(1+Gastos!$F$17)^((BG$1-1)/12)</f>
        <v>-37794665.022201017</v>
      </c>
      <c r="BH30" s="145">
        <f>-Gastos!$F4/12*(1+Gastos!$F$17)^((BH$1-1)/12)</f>
        <v>-37948645.165862992</v>
      </c>
      <c r="BI30" s="145">
        <f>-Gastos!$F4/12*(1+Gastos!$F$17)^((BI$1-1)/12)</f>
        <v>-38103252.643690467</v>
      </c>
      <c r="BJ30" s="145">
        <f>-Gastos!$F4/12*(1+Gastos!$F$17)^((BJ$1-1)/12)</f>
        <v>-38258490.011520483</v>
      </c>
      <c r="BK30" s="145">
        <f>-Gastos!$F4/12*(1+Gastos!$F$17)^((BK$1-1)/12)</f>
        <v>-38414359.835602887</v>
      </c>
      <c r="BL30" s="145">
        <f>-Gastos!$F4/12*(1+Gastos!$F$17)^((BL$1-1)/12)</f>
        <v>-38570864.692642741</v>
      </c>
      <c r="BM30" s="145">
        <f>-Gastos!$F4/12*(1+Gastos!$F$17)^((BM$1-1)/12)</f>
        <v>-38728007.169842914</v>
      </c>
      <c r="BN30" s="145">
        <f>-Gastos!$F4/12*(1+Gastos!$F$17)^((BN$1-1)/12)</f>
        <v>-38885789.864946887</v>
      </c>
      <c r="BO30" s="145">
        <f>-Gastos!$F4/12*(1+Gastos!$F$17)^((BO$1-1)/12)</f>
        <v>-39044215.38628161</v>
      </c>
      <c r="BP30" s="145">
        <f>-Gastos!$F4/12*(1+Gastos!$F$17)^((BP$1-1)/12)</f>
        <v>-39203286.352800742</v>
      </c>
      <c r="BQ30" s="145">
        <f>-Gastos!$F4/12*(1+Gastos!$F$17)^((BQ$1-1)/12)</f>
        <v>-39363005.394127868</v>
      </c>
      <c r="BR30" s="145">
        <f>-Gastos!$F4/12*(1+Gastos!$F$17)^((BR$1-1)/12)</f>
        <v>-39523375.150599957</v>
      </c>
      <c r="BS30" s="145">
        <f>-Gastos!$F4/12*(1+Gastos!$F$17)^((BS$1-1)/12)</f>
        <v>-39684398.273311071</v>
      </c>
      <c r="BT30" s="145">
        <f>-Gastos!$F4/12*(1+Gastos!$F$17)^((BT$1-1)/12)</f>
        <v>-39846077.424156137</v>
      </c>
      <c r="BU30" s="145">
        <f>-Gastos!$F4/12*(1+Gastos!$F$17)^((BU$1-1)/12)</f>
        <v>-40008415.275874987</v>
      </c>
      <c r="BV30" s="145">
        <f>-Gastos!$F4/12*(1+Gastos!$F$17)^((BV$1-1)/12)</f>
        <v>-40171414.512096509</v>
      </c>
      <c r="BW30" s="145">
        <f>-Gastos!$F4/12*(1+Gastos!$F$17)^((BW$1-1)/12)</f>
        <v>-40335077.827383034</v>
      </c>
      <c r="BX30" s="145">
        <f>-Gastos!$F4/12*(1+Gastos!$F$17)^((BX$1-1)/12)</f>
        <v>-40499407.927274868</v>
      </c>
      <c r="BY30" s="145">
        <f>-Gastos!$F4/12*(1+Gastos!$F$17)^((BY$1-1)/12)</f>
        <v>-40664407.528335065</v>
      </c>
      <c r="BZ30" s="145">
        <f>-Gastos!$F4/12*(1+Gastos!$F$17)^((BZ$1-1)/12)</f>
        <v>-40830079.358194225</v>
      </c>
      <c r="CA30" s="145">
        <f>-Gastos!$F4/12*(1+Gastos!$F$17)^((CA$1-1)/12)</f>
        <v>-40996426.15559569</v>
      </c>
      <c r="CB30" s="145">
        <f>-Gastos!$F4/12*(1+Gastos!$F$17)^((CB$1-1)/12)</f>
        <v>-41163450.670440778</v>
      </c>
      <c r="CC30" s="145">
        <f>-Gastos!$F4/12*(1+Gastos!$F$17)^((CC$1-1)/12)</f>
        <v>-41331155.663834259</v>
      </c>
      <c r="CD30" s="145">
        <f>-Gastos!$F4/12*(1+Gastos!$F$17)^((CD$1-1)/12)</f>
        <v>-41499543.90812996</v>
      </c>
      <c r="CE30" s="145">
        <f>-Gastos!$F4/12*(1+Gastos!$F$17)^((CE$1-1)/12)</f>
        <v>-41668618.186976634</v>
      </c>
      <c r="CF30" s="145">
        <f>-Gastos!$F4/12*(1+Gastos!$F$17)^((CF$1-1)/12)</f>
        <v>-41838381.295363955</v>
      </c>
      <c r="CG30" s="145">
        <f>-Gastos!$F4/12*(1+Gastos!$F$17)^((CG$1-1)/12)</f>
        <v>-42008836.039668739</v>
      </c>
      <c r="CH30" s="145">
        <f>-Gastos!$F4/12*(1+Gastos!$F$17)^((CH$1-1)/12)</f>
        <v>-42179985.237701334</v>
      </c>
      <c r="CI30" s="145">
        <f>-Gastos!$F4/12*(1+Gastos!$F$17)^((CI$1-1)/12)</f>
        <v>-42351831.71875219</v>
      </c>
      <c r="CJ30" s="145">
        <f>-Gastos!$F4/12*(1+Gastos!$F$17)^((CJ$1-1)/12)</f>
        <v>-42524378.323638625</v>
      </c>
      <c r="CK30" s="145">
        <f>-Gastos!$F4/12*(1+Gastos!$F$17)^((CK$1-1)/12)</f>
        <v>-42697627.904751822</v>
      </c>
      <c r="CL30" s="145">
        <f>-Gastos!$F4/12*(1+Gastos!$F$17)^((CL$1-1)/12)</f>
        <v>-42871583.326103941</v>
      </c>
      <c r="CM30" s="145">
        <f>-Gastos!$F4/12*(1+Gastos!$F$17)^((CM$1-1)/12)</f>
        <v>-43046247.463375479</v>
      </c>
      <c r="CN30" s="145">
        <f>-Gastos!$F4/12*(1+Gastos!$F$17)^((CN$1-1)/12)</f>
        <v>-43221623.203962825</v>
      </c>
      <c r="CO30" s="145">
        <f>-Gastos!$F4/12*(1+Gastos!$F$17)^((CO$1-1)/12)</f>
        <v>-43397713.447025977</v>
      </c>
      <c r="CP30" s="145">
        <f>-Gastos!$F4/12*(1+Gastos!$F$17)^((CP$1-1)/12)</f>
        <v>-43574521.103536457</v>
      </c>
      <c r="CQ30" s="145">
        <f>-Gastos!$F4/12*(1+Gastos!$F$17)^((CQ$1-1)/12)</f>
        <v>-43752049.096325465</v>
      </c>
      <c r="CR30" s="145">
        <f>-Gastos!$F4/12*(1+Gastos!$F$17)^((CR$1-1)/12)</f>
        <v>-43930300.36013215</v>
      </c>
      <c r="CS30" s="145">
        <f>-Gastos!$F4/12*(1+Gastos!$F$17)^((CS$1-1)/12)</f>
        <v>-44109277.841652177</v>
      </c>
      <c r="CT30" s="145">
        <f>-Gastos!$F4/12*(1+Gastos!$F$17)^((CT$1-1)/12)</f>
        <v>-44288984.499586403</v>
      </c>
      <c r="CU30" s="145">
        <f>-Gastos!$F4/12*(1+Gastos!$F$17)^((CU$1-1)/12)</f>
        <v>-44469423.304689802</v>
      </c>
      <c r="CV30" s="145">
        <f>-Gastos!$F4/12*(1+Gastos!$F$17)^((CV$1-1)/12)</f>
        <v>-44650597.239820547</v>
      </c>
      <c r="CW30" s="145">
        <f>-Gastos!$F4/12*(1+Gastos!$F$17)^((CW$1-1)/12)</f>
        <v>-44832509.299989417</v>
      </c>
      <c r="CX30" s="145">
        <f>-Gastos!$F4/12*(1+Gastos!$F$17)^((CX$1-1)/12)</f>
        <v>-45015162.49240914</v>
      </c>
      <c r="CY30" s="145">
        <f>-Gastos!$F4/12*(1+Gastos!$F$17)^((CY$1-1)/12)</f>
        <v>-45198559.83654426</v>
      </c>
      <c r="CZ30" s="145">
        <f>-Gastos!$F4/12*(1+Gastos!$F$17)^((CZ$1-1)/12)</f>
        <v>-45382704.36416097</v>
      </c>
      <c r="DA30" s="145">
        <f>-Gastos!$F4/12*(1+Gastos!$F$17)^((DA$1-1)/12)</f>
        <v>-45567599.119377278</v>
      </c>
      <c r="DB30" s="145">
        <f>-Gastos!$F4/12*(1+Gastos!$F$17)^((DB$1-1)/12)</f>
        <v>-45753247.158713281</v>
      </c>
      <c r="DC30" s="145">
        <f>-Gastos!$F4/12*(1+Gastos!$F$17)^((DC$1-1)/12)</f>
        <v>-45939651.551141739</v>
      </c>
      <c r="DD30" s="145">
        <f>-Gastos!$F4/12*(1+Gastos!$F$17)^((DD$1-1)/12)</f>
        <v>-46126815.378138758</v>
      </c>
      <c r="DE30" s="145">
        <f>-Gastos!$F4/12*(1+Gastos!$F$17)^((DE$1-1)/12)</f>
        <v>-46314741.733734787</v>
      </c>
      <c r="DF30" s="145">
        <f>-Gastos!$F4/12*(1+Gastos!$F$17)^((DF$1-1)/12)</f>
        <v>-46503433.724565729</v>
      </c>
      <c r="DG30" s="145">
        <f>-Gastos!$F4/12*(1+Gastos!$F$17)^((DG$1-1)/12)</f>
        <v>-46692894.469924286</v>
      </c>
      <c r="DH30" s="145">
        <f>-Gastos!$F4/12*(1+Gastos!$F$17)^((DH$1-1)/12)</f>
        <v>-46883127.10181158</v>
      </c>
      <c r="DI30" s="145">
        <f>-Gastos!$F4/12*(1+Gastos!$F$17)^((DI$1-1)/12)</f>
        <v>-47074134.764988892</v>
      </c>
      <c r="DJ30" s="145">
        <f>-Gastos!$F4/12*(1+Gastos!$F$17)^((DJ$1-1)/12)</f>
        <v>-47265920.617029592</v>
      </c>
      <c r="DK30" s="145">
        <f>-Gastos!$F4/12*(1+Gastos!$F$17)^((DK$1-1)/12)</f>
        <v>-47458487.828371465</v>
      </c>
      <c r="DL30" s="145">
        <f>-Gastos!$F4/12*(1+Gastos!$F$17)^((DL$1-1)/12)</f>
        <v>-47651839.582369022</v>
      </c>
      <c r="DM30" s="145">
        <f>-Gastos!$F4/12*(1+Gastos!$F$17)^((DM$1-1)/12)</f>
        <v>-47845979.075346142</v>
      </c>
      <c r="DN30" s="145">
        <f>-Gastos!$F4/12*(1+Gastos!$F$17)^((DN$1-1)/12)</f>
        <v>-48040909.516648948</v>
      </c>
      <c r="DO30" s="145">
        <f>-Gastos!$F4/12*(1+Gastos!$F$17)^((DO$1-1)/12)</f>
        <v>-48236634.128698833</v>
      </c>
      <c r="DP30" s="145">
        <f>-Gastos!$F4/12*(1+Gastos!$F$17)^((DP$1-1)/12)</f>
        <v>-48433156.147045702</v>
      </c>
      <c r="DQ30" s="145">
        <f>-Gastos!$F4/12*(1+Gastos!$F$17)^((DQ$1-1)/12)</f>
        <v>-48630478.820421524</v>
      </c>
      <c r="DR30" s="145">
        <f>-Gastos!$F4/12*(1+Gastos!$F$17)^((DR$1-1)/12)</f>
        <v>-48828605.410794012</v>
      </c>
      <c r="DS30" s="145">
        <f>-Gastos!$F4/12*(1+Gastos!$F$17)^((DS$1-1)/12)</f>
        <v>-49027539.193420507</v>
      </c>
      <c r="DT30" s="145">
        <f>-Gastos!$F4/12*(1+Gastos!$F$17)^((DT$1-1)/12)</f>
        <v>-49227283.456902154</v>
      </c>
      <c r="DU30" s="145">
        <f>-Gastos!$F4/12*(1+Gastos!$F$17)^((DU$1-1)/12)</f>
        <v>-49427841.503238335</v>
      </c>
      <c r="DV30" s="145">
        <f>-Gastos!$F4/12*(1+Gastos!$F$17)^((DV$1-1)/12)</f>
        <v>-49629216.647881076</v>
      </c>
      <c r="DW30" s="145">
        <f>-Gastos!$F4/12*(1+Gastos!$F$17)^((DW$1-1)/12)</f>
        <v>-49831412.219790049</v>
      </c>
      <c r="DX30" s="145">
        <f>-Gastos!$F4/12*(1+Gastos!$F$17)^((DX$1-1)/12)</f>
        <v>-50034431.561487481</v>
      </c>
      <c r="DY30" s="145">
        <f>-Gastos!$F4/12*(1+Gastos!$F$17)^((DY$1-1)/12)</f>
        <v>-50238278.029113449</v>
      </c>
      <c r="DZ30" s="145">
        <f>-Gastos!$F4/12*(1+Gastos!$F$17)^((DZ$1-1)/12)</f>
        <v>-50442954.992481403</v>
      </c>
      <c r="EA30" s="145">
        <f>-Gastos!$F4/12*(1+Gastos!$F$17)^((EA$1-1)/12)</f>
        <v>-50648465.835133769</v>
      </c>
      <c r="EB30" s="145">
        <f>-Gastos!$F4/12*(1+Gastos!$F$17)^((EB$1-1)/12)</f>
        <v>-50854813.954397984</v>
      </c>
      <c r="EC30" s="145">
        <f>-Gastos!$F4/12*(1+Gastos!$F$17)^((EC$1-1)/12)</f>
        <v>-51062002.761442609</v>
      </c>
      <c r="ED30" s="145">
        <f>-Gastos!$F4/12*(1+Gastos!$F$17)^((ED$1-1)/12)</f>
        <v>-51270035.681333721</v>
      </c>
      <c r="EE30" s="146">
        <f>-Gastos!$F4/12*(1+Gastos!$F$17)^((EE$1-1)/12)</f>
        <v>-51478916.153091535</v>
      </c>
    </row>
    <row r="31" spans="1:135" x14ac:dyDescent="0.25">
      <c r="A31" s="152">
        <f>SUMIF($C$1:$EE$1,"&lt;="&amp;Resumen!$K$19,'Flujo de caja mensual'!C31:EE31)</f>
        <v>-1306637041.7999556</v>
      </c>
      <c r="B31" s="5" t="s">
        <v>22</v>
      </c>
      <c r="C31" s="144"/>
      <c r="D31" s="145">
        <f>-Gastos!$F5/12*(1+Gastos!$F$17)^((D$1-1)/12)</f>
        <v>-8464694.7547811512</v>
      </c>
      <c r="E31" s="145">
        <f>-Gastos!$F5/12*(1+Gastos!$F$17)^((E$1-1)/12)</f>
        <v>-8499180.9690029286</v>
      </c>
      <c r="F31" s="145">
        <f>-Gastos!$F5/12*(1+Gastos!$F$17)^((F$1-1)/12)</f>
        <v>-8533807.6843302734</v>
      </c>
      <c r="G31" s="145">
        <f>-Gastos!$F5/12*(1+Gastos!$F$17)^((G$1-1)/12)</f>
        <v>-8568575.4731820859</v>
      </c>
      <c r="H31" s="145">
        <f>-Gastos!$F5/12*(1+Gastos!$F$17)^((H$1-1)/12)</f>
        <v>-8603484.9103093613</v>
      </c>
      <c r="I31" s="145">
        <f>-Gastos!$F5/12*(1+Gastos!$F$17)^((I$1-1)/12)</f>
        <v>-8638536.5728047118</v>
      </c>
      <c r="J31" s="145">
        <f>-Gastos!$F5/12*(1+Gastos!$F$17)^((J$1-1)/12)</f>
        <v>-8673731.0401118919</v>
      </c>
      <c r="K31" s="145">
        <f>-Gastos!$F5/12*(1+Gastos!$F$17)^((K$1-1)/12)</f>
        <v>-8709068.8940353803</v>
      </c>
      <c r="L31" s="145">
        <f>-Gastos!$F5/12*(1+Gastos!$F$17)^((L$1-1)/12)</f>
        <v>-8744550.7187500019</v>
      </c>
      <c r="M31" s="145">
        <f>-Gastos!$F5/12*(1+Gastos!$F$17)^((M$1-1)/12)</f>
        <v>-8780177.1008105781</v>
      </c>
      <c r="N31" s="145">
        <f>-Gastos!$F5/12*(1+Gastos!$F$17)^((N$1-1)/12)</f>
        <v>-8815948.6291616373</v>
      </c>
      <c r="O31" s="145">
        <f>-Gastos!$F5/12*(1+Gastos!$F$17)^((O$1-1)/12)</f>
        <v>-8851865.8951471262</v>
      </c>
      <c r="P31" s="145">
        <f>-Gastos!$F5/12*(1+Gastos!$F$17)^((P$1-1)/12)</f>
        <v>-8887929.4925202094</v>
      </c>
      <c r="Q31" s="145">
        <f>-Gastos!$F5/12*(1+Gastos!$F$17)^((Q$1-1)/12)</f>
        <v>-8924140.0174530745</v>
      </c>
      <c r="R31" s="145">
        <f>-Gastos!$F5/12*(1+Gastos!$F$17)^((R$1-1)/12)</f>
        <v>-8960498.0685467869</v>
      </c>
      <c r="S31" s="145">
        <f>-Gastos!$F5/12*(1+Gastos!$F$17)^((S$1-1)/12)</f>
        <v>-8997004.2468411885</v>
      </c>
      <c r="T31" s="145">
        <f>-Gastos!$F5/12*(1+Gastos!$F$17)^((T$1-1)/12)</f>
        <v>-9033659.1558248289</v>
      </c>
      <c r="U31" s="145">
        <f>-Gastos!$F5/12*(1+Gastos!$F$17)^((U$1-1)/12)</f>
        <v>-9070463.4014449473</v>
      </c>
      <c r="V31" s="145">
        <f>-Gastos!$F5/12*(1+Gastos!$F$17)^((V$1-1)/12)</f>
        <v>-9107417.5921174865</v>
      </c>
      <c r="W31" s="145">
        <f>-Gastos!$F5/12*(1+Gastos!$F$17)^((W$1-1)/12)</f>
        <v>-9144522.3387371488</v>
      </c>
      <c r="X31" s="145">
        <f>-Gastos!$F5/12*(1+Gastos!$F$17)^((X$1-1)/12)</f>
        <v>-9181778.2546875011</v>
      </c>
      <c r="Y31" s="145">
        <f>-Gastos!$F5/12*(1+Gastos!$F$17)^((Y$1-1)/12)</f>
        <v>-9219185.9558511078</v>
      </c>
      <c r="Z31" s="145">
        <f>-Gastos!$F5/12*(1+Gastos!$F$17)^((Z$1-1)/12)</f>
        <v>-9256746.0606197193</v>
      </c>
      <c r="AA31" s="145">
        <f>-Gastos!$F5/12*(1+Gastos!$F$17)^((AA$1-1)/12)</f>
        <v>-9294459.189904483</v>
      </c>
      <c r="AB31" s="145">
        <f>-Gastos!$F5/12*(1+Gastos!$F$17)^((AB$1-1)/12)</f>
        <v>-9332325.9671462197</v>
      </c>
      <c r="AC31" s="145">
        <f>-Gastos!$F5/12*(1+Gastos!$F$17)^((AC$1-1)/12)</f>
        <v>-9370347.0183257293</v>
      </c>
      <c r="AD31" s="145">
        <f>-Gastos!$F5/12*(1+Gastos!$F$17)^((AD$1-1)/12)</f>
        <v>-9408522.9719741289</v>
      </c>
      <c r="AE31" s="145">
        <f>-Gastos!$F5/12*(1+Gastos!$F$17)^((AE$1-1)/12)</f>
        <v>-9446854.4591832496</v>
      </c>
      <c r="AF31" s="145">
        <f>-Gastos!$F5/12*(1+Gastos!$F$17)^((AF$1-1)/12)</f>
        <v>-9485342.1136160716</v>
      </c>
      <c r="AG31" s="145">
        <f>-Gastos!$F5/12*(1+Gastos!$F$17)^((AG$1-1)/12)</f>
        <v>-9523986.5715171956</v>
      </c>
      <c r="AH31" s="145">
        <f>-Gastos!$F5/12*(1+Gastos!$F$17)^((AH$1-1)/12)</f>
        <v>-9562788.4717233609</v>
      </c>
      <c r="AI31" s="145">
        <f>-Gastos!$F5/12*(1+Gastos!$F$17)^((AI$1-1)/12)</f>
        <v>-9601748.4556740075</v>
      </c>
      <c r="AJ31" s="145">
        <f>-Gastos!$F5/12*(1+Gastos!$F$17)^((AJ$1-1)/12)</f>
        <v>-9640867.1674218774</v>
      </c>
      <c r="AK31" s="145">
        <f>-Gastos!$F5/12*(1+Gastos!$F$17)^((AK$1-1)/12)</f>
        <v>-9680145.2536436636</v>
      </c>
      <c r="AL31" s="145">
        <f>-Gastos!$F5/12*(1+Gastos!$F$17)^((AL$1-1)/12)</f>
        <v>-9719583.3636507057</v>
      </c>
      <c r="AM31" s="145">
        <f>-Gastos!$F5/12*(1+Gastos!$F$17)^((AM$1-1)/12)</f>
        <v>-9759182.1493997052</v>
      </c>
      <c r="AN31" s="145">
        <f>-Gastos!$F5/12*(1+Gastos!$F$17)^((AN$1-1)/12)</f>
        <v>-9798942.2655035313</v>
      </c>
      <c r="AO31" s="145">
        <f>-Gastos!$F5/12*(1+Gastos!$F$17)^((AO$1-1)/12)</f>
        <v>-9838864.3692420162</v>
      </c>
      <c r="AP31" s="145">
        <f>-Gastos!$F5/12*(1+Gastos!$F$17)^((AP$1-1)/12)</f>
        <v>-9878949.1205728333</v>
      </c>
      <c r="AQ31" s="145">
        <f>-Gastos!$F5/12*(1+Gastos!$F$17)^((AQ$1-1)/12)</f>
        <v>-9919197.1821424123</v>
      </c>
      <c r="AR31" s="145">
        <f>-Gastos!$F5/12*(1+Gastos!$F$17)^((AR$1-1)/12)</f>
        <v>-9959609.2192968745</v>
      </c>
      <c r="AS31" s="145">
        <f>-Gastos!$F5/12*(1+Gastos!$F$17)^((AS$1-1)/12)</f>
        <v>-10000185.900093056</v>
      </c>
      <c r="AT31" s="145">
        <f>-Gastos!$F5/12*(1+Gastos!$F$17)^((AT$1-1)/12)</f>
        <v>-10040927.89530953</v>
      </c>
      <c r="AU31" s="145">
        <f>-Gastos!$F5/12*(1+Gastos!$F$17)^((AU$1-1)/12)</f>
        <v>-10081835.878457708</v>
      </c>
      <c r="AV31" s="145">
        <f>-Gastos!$F5/12*(1+Gastos!$F$17)^((AV$1-1)/12)</f>
        <v>-10122910.525792971</v>
      </c>
      <c r="AW31" s="145">
        <f>-Gastos!$F5/12*(1+Gastos!$F$17)^((AW$1-1)/12)</f>
        <v>-10164152.516325848</v>
      </c>
      <c r="AX31" s="145">
        <f>-Gastos!$F5/12*(1+Gastos!$F$17)^((AX$1-1)/12)</f>
        <v>-10205562.531833239</v>
      </c>
      <c r="AY31" s="145">
        <f>-Gastos!$F5/12*(1+Gastos!$F$17)^((AY$1-1)/12)</f>
        <v>-10247141.25686969</v>
      </c>
      <c r="AZ31" s="145">
        <f>-Gastos!$F5/12*(1+Gastos!$F$17)^((AZ$1-1)/12)</f>
        <v>-10288889.378778707</v>
      </c>
      <c r="BA31" s="145">
        <f>-Gastos!$F5/12*(1+Gastos!$F$17)^((BA$1-1)/12)</f>
        <v>-10330807.587704118</v>
      </c>
      <c r="BB31" s="145">
        <f>-Gastos!$F5/12*(1+Gastos!$F$17)^((BB$1-1)/12)</f>
        <v>-10372896.576601477</v>
      </c>
      <c r="BC31" s="145">
        <f>-Gastos!$F5/12*(1+Gastos!$F$17)^((BC$1-1)/12)</f>
        <v>-10415157.041249534</v>
      </c>
      <c r="BD31" s="145">
        <f>-Gastos!$F5/12*(1+Gastos!$F$17)^((BD$1-1)/12)</f>
        <v>-10457589.68026172</v>
      </c>
      <c r="BE31" s="145">
        <f>-Gastos!$F5/12*(1+Gastos!$F$17)^((BE$1-1)/12)</f>
        <v>-10500195.195097709</v>
      </c>
      <c r="BF31" s="145">
        <f>-Gastos!$F5/12*(1+Gastos!$F$17)^((BF$1-1)/12)</f>
        <v>-10542974.290075006</v>
      </c>
      <c r="BG31" s="145">
        <f>-Gastos!$F5/12*(1+Gastos!$F$17)^((BG$1-1)/12)</f>
        <v>-10585927.672380593</v>
      </c>
      <c r="BH31" s="145">
        <f>-Gastos!$F5/12*(1+Gastos!$F$17)^((BH$1-1)/12)</f>
        <v>-10629056.052082621</v>
      </c>
      <c r="BI31" s="145">
        <f>-Gastos!$F5/12*(1+Gastos!$F$17)^((BI$1-1)/12)</f>
        <v>-10672360.142142141</v>
      </c>
      <c r="BJ31" s="145">
        <f>-Gastos!$F5/12*(1+Gastos!$F$17)^((BJ$1-1)/12)</f>
        <v>-10715840.658424903</v>
      </c>
      <c r="BK31" s="145">
        <f>-Gastos!$F5/12*(1+Gastos!$F$17)^((BK$1-1)/12)</f>
        <v>-10759498.319713177</v>
      </c>
      <c r="BL31" s="145">
        <f>-Gastos!$F5/12*(1+Gastos!$F$17)^((BL$1-1)/12)</f>
        <v>-10803333.847717643</v>
      </c>
      <c r="BM31" s="145">
        <f>-Gastos!$F5/12*(1+Gastos!$F$17)^((BM$1-1)/12)</f>
        <v>-10847347.967089323</v>
      </c>
      <c r="BN31" s="145">
        <f>-Gastos!$F5/12*(1+Gastos!$F$17)^((BN$1-1)/12)</f>
        <v>-10891541.405431552</v>
      </c>
      <c r="BO31" s="145">
        <f>-Gastos!$F5/12*(1+Gastos!$F$17)^((BO$1-1)/12)</f>
        <v>-10935914.893312011</v>
      </c>
      <c r="BP31" s="145">
        <f>-Gastos!$F5/12*(1+Gastos!$F$17)^((BP$1-1)/12)</f>
        <v>-10980469.164274806</v>
      </c>
      <c r="BQ31" s="145">
        <f>-Gastos!$F5/12*(1+Gastos!$F$17)^((BQ$1-1)/12)</f>
        <v>-11025204.954852596</v>
      </c>
      <c r="BR31" s="145">
        <f>-Gastos!$F5/12*(1+Gastos!$F$17)^((BR$1-1)/12)</f>
        <v>-11070123.004578758</v>
      </c>
      <c r="BS31" s="145">
        <f>-Gastos!$F5/12*(1+Gastos!$F$17)^((BS$1-1)/12)</f>
        <v>-11115224.055999624</v>
      </c>
      <c r="BT31" s="145">
        <f>-Gastos!$F5/12*(1+Gastos!$F$17)^((BT$1-1)/12)</f>
        <v>-11160508.854686752</v>
      </c>
      <c r="BU31" s="145">
        <f>-Gastos!$F5/12*(1+Gastos!$F$17)^((BU$1-1)/12)</f>
        <v>-11205978.149249248</v>
      </c>
      <c r="BV31" s="145">
        <f>-Gastos!$F5/12*(1+Gastos!$F$17)^((BV$1-1)/12)</f>
        <v>-11251632.691346148</v>
      </c>
      <c r="BW31" s="145">
        <f>-Gastos!$F5/12*(1+Gastos!$F$17)^((BW$1-1)/12)</f>
        <v>-11297473.235698836</v>
      </c>
      <c r="BX31" s="145">
        <f>-Gastos!$F5/12*(1+Gastos!$F$17)^((BX$1-1)/12)</f>
        <v>-11343500.540103523</v>
      </c>
      <c r="BY31" s="145">
        <f>-Gastos!$F5/12*(1+Gastos!$F$17)^((BY$1-1)/12)</f>
        <v>-11389715.36544379</v>
      </c>
      <c r="BZ31" s="145">
        <f>-Gastos!$F5/12*(1+Gastos!$F$17)^((BZ$1-1)/12)</f>
        <v>-11436118.47570313</v>
      </c>
      <c r="CA31" s="145">
        <f>-Gastos!$F5/12*(1+Gastos!$F$17)^((CA$1-1)/12)</f>
        <v>-11482710.637977611</v>
      </c>
      <c r="CB31" s="145">
        <f>-Gastos!$F5/12*(1+Gastos!$F$17)^((CB$1-1)/12)</f>
        <v>-11529492.622488547</v>
      </c>
      <c r="CC31" s="145">
        <f>-Gastos!$F5/12*(1+Gastos!$F$17)^((CC$1-1)/12)</f>
        <v>-11576465.202595225</v>
      </c>
      <c r="CD31" s="145">
        <f>-Gastos!$F5/12*(1+Gastos!$F$17)^((CD$1-1)/12)</f>
        <v>-11623629.154807696</v>
      </c>
      <c r="CE31" s="145">
        <f>-Gastos!$F5/12*(1+Gastos!$F$17)^((CE$1-1)/12)</f>
        <v>-11670985.258799607</v>
      </c>
      <c r="CF31" s="145">
        <f>-Gastos!$F5/12*(1+Gastos!$F$17)^((CF$1-1)/12)</f>
        <v>-11718534.29742109</v>
      </c>
      <c r="CG31" s="145">
        <f>-Gastos!$F5/12*(1+Gastos!$F$17)^((CG$1-1)/12)</f>
        <v>-11766277.056711711</v>
      </c>
      <c r="CH31" s="145">
        <f>-Gastos!$F5/12*(1+Gastos!$F$17)^((CH$1-1)/12)</f>
        <v>-11814214.325913455</v>
      </c>
      <c r="CI31" s="145">
        <f>-Gastos!$F5/12*(1+Gastos!$F$17)^((CI$1-1)/12)</f>
        <v>-11862346.897483777</v>
      </c>
      <c r="CJ31" s="145">
        <f>-Gastos!$F5/12*(1+Gastos!$F$17)^((CJ$1-1)/12)</f>
        <v>-11910675.567108702</v>
      </c>
      <c r="CK31" s="145">
        <f>-Gastos!$F5/12*(1+Gastos!$F$17)^((CK$1-1)/12)</f>
        <v>-11959201.13371598</v>
      </c>
      <c r="CL31" s="145">
        <f>-Gastos!$F5/12*(1+Gastos!$F$17)^((CL$1-1)/12)</f>
        <v>-12007924.399488287</v>
      </c>
      <c r="CM31" s="145">
        <f>-Gastos!$F5/12*(1+Gastos!$F$17)^((CM$1-1)/12)</f>
        <v>-12056846.169876494</v>
      </c>
      <c r="CN31" s="145">
        <f>-Gastos!$F5/12*(1+Gastos!$F$17)^((CN$1-1)/12)</f>
        <v>-12105967.253612975</v>
      </c>
      <c r="CO31" s="145">
        <f>-Gastos!$F5/12*(1+Gastos!$F$17)^((CO$1-1)/12)</f>
        <v>-12155288.462724987</v>
      </c>
      <c r="CP31" s="145">
        <f>-Gastos!$F5/12*(1+Gastos!$F$17)^((CP$1-1)/12)</f>
        <v>-12204810.612548081</v>
      </c>
      <c r="CQ31" s="145">
        <f>-Gastos!$F5/12*(1+Gastos!$F$17)^((CQ$1-1)/12)</f>
        <v>-12254534.521739587</v>
      </c>
      <c r="CR31" s="145">
        <f>-Gastos!$F5/12*(1+Gastos!$F$17)^((CR$1-1)/12)</f>
        <v>-12304461.012292145</v>
      </c>
      <c r="CS31" s="145">
        <f>-Gastos!$F5/12*(1+Gastos!$F$17)^((CS$1-1)/12)</f>
        <v>-12354590.909547297</v>
      </c>
      <c r="CT31" s="145">
        <f>-Gastos!$F5/12*(1+Gastos!$F$17)^((CT$1-1)/12)</f>
        <v>-12404925.04220913</v>
      </c>
      <c r="CU31" s="145">
        <f>-Gastos!$F5/12*(1+Gastos!$F$17)^((CU$1-1)/12)</f>
        <v>-12455464.242357967</v>
      </c>
      <c r="CV31" s="145">
        <f>-Gastos!$F5/12*(1+Gastos!$F$17)^((CV$1-1)/12)</f>
        <v>-12506209.345464136</v>
      </c>
      <c r="CW31" s="145">
        <f>-Gastos!$F5/12*(1+Gastos!$F$17)^((CW$1-1)/12)</f>
        <v>-12557161.190401781</v>
      </c>
      <c r="CX31" s="145">
        <f>-Gastos!$F5/12*(1+Gastos!$F$17)^((CX$1-1)/12)</f>
        <v>-12608320.619462702</v>
      </c>
      <c r="CY31" s="145">
        <f>-Gastos!$F5/12*(1+Gastos!$F$17)^((CY$1-1)/12)</f>
        <v>-12659688.478370318</v>
      </c>
      <c r="CZ31" s="145">
        <f>-Gastos!$F5/12*(1+Gastos!$F$17)^((CZ$1-1)/12)</f>
        <v>-12711265.616293626</v>
      </c>
      <c r="DA31" s="145">
        <f>-Gastos!$F5/12*(1+Gastos!$F$17)^((DA$1-1)/12)</f>
        <v>-12763052.885861237</v>
      </c>
      <c r="DB31" s="145">
        <f>-Gastos!$F5/12*(1+Gastos!$F$17)^((DB$1-1)/12)</f>
        <v>-12815051.143175485</v>
      </c>
      <c r="DC31" s="145">
        <f>-Gastos!$F5/12*(1+Gastos!$F$17)^((DC$1-1)/12)</f>
        <v>-12867261.247826567</v>
      </c>
      <c r="DD31" s="145">
        <f>-Gastos!$F5/12*(1+Gastos!$F$17)^((DD$1-1)/12)</f>
        <v>-12919684.062906753</v>
      </c>
      <c r="DE31" s="145">
        <f>-Gastos!$F5/12*(1+Gastos!$F$17)^((DE$1-1)/12)</f>
        <v>-12972320.455024663</v>
      </c>
      <c r="DF31" s="145">
        <f>-Gastos!$F5/12*(1+Gastos!$F$17)^((DF$1-1)/12)</f>
        <v>-13025171.294319587</v>
      </c>
      <c r="DG31" s="145">
        <f>-Gastos!$F5/12*(1+Gastos!$F$17)^((DG$1-1)/12)</f>
        <v>-13078237.454475867</v>
      </c>
      <c r="DH31" s="145">
        <f>-Gastos!$F5/12*(1+Gastos!$F$17)^((DH$1-1)/12)</f>
        <v>-13131519.812737344</v>
      </c>
      <c r="DI31" s="145">
        <f>-Gastos!$F5/12*(1+Gastos!$F$17)^((DI$1-1)/12)</f>
        <v>-13185019.249921869</v>
      </c>
      <c r="DJ31" s="145">
        <f>-Gastos!$F5/12*(1+Gastos!$F$17)^((DJ$1-1)/12)</f>
        <v>-13238736.650435837</v>
      </c>
      <c r="DK31" s="145">
        <f>-Gastos!$F5/12*(1+Gastos!$F$17)^((DK$1-1)/12)</f>
        <v>-13292672.902288834</v>
      </c>
      <c r="DL31" s="145">
        <f>-Gastos!$F5/12*(1+Gastos!$F$17)^((DL$1-1)/12)</f>
        <v>-13346828.897108307</v>
      </c>
      <c r="DM31" s="145">
        <f>-Gastos!$F5/12*(1+Gastos!$F$17)^((DM$1-1)/12)</f>
        <v>-13401205.530154299</v>
      </c>
      <c r="DN31" s="145">
        <f>-Gastos!$F5/12*(1+Gastos!$F$17)^((DN$1-1)/12)</f>
        <v>-13455803.70033426</v>
      </c>
      <c r="DO31" s="145">
        <f>-Gastos!$F5/12*(1+Gastos!$F$17)^((DO$1-1)/12)</f>
        <v>-13510624.310217896</v>
      </c>
      <c r="DP31" s="145">
        <f>-Gastos!$F5/12*(1+Gastos!$F$17)^((DP$1-1)/12)</f>
        <v>-13565668.266052091</v>
      </c>
      <c r="DQ31" s="145">
        <f>-Gastos!$F5/12*(1+Gastos!$F$17)^((DQ$1-1)/12)</f>
        <v>-13620936.477775896</v>
      </c>
      <c r="DR31" s="145">
        <f>-Gastos!$F5/12*(1+Gastos!$F$17)^((DR$1-1)/12)</f>
        <v>-13676429.859035566</v>
      </c>
      <c r="DS31" s="145">
        <f>-Gastos!$F5/12*(1+Gastos!$F$17)^((DS$1-1)/12)</f>
        <v>-13732149.32719966</v>
      </c>
      <c r="DT31" s="145">
        <f>-Gastos!$F5/12*(1+Gastos!$F$17)^((DT$1-1)/12)</f>
        <v>-13788095.80337421</v>
      </c>
      <c r="DU31" s="145">
        <f>-Gastos!$F5/12*(1+Gastos!$F$17)^((DU$1-1)/12)</f>
        <v>-13844270.212417964</v>
      </c>
      <c r="DV31" s="145">
        <f>-Gastos!$F5/12*(1+Gastos!$F$17)^((DV$1-1)/12)</f>
        <v>-13900673.482957628</v>
      </c>
      <c r="DW31" s="145">
        <f>-Gastos!$F5/12*(1+Gastos!$F$17)^((DW$1-1)/12)</f>
        <v>-13957306.547403278</v>
      </c>
      <c r="DX31" s="145">
        <f>-Gastos!$F5/12*(1+Gastos!$F$17)^((DX$1-1)/12)</f>
        <v>-14014170.341963723</v>
      </c>
      <c r="DY31" s="145">
        <f>-Gastos!$F5/12*(1+Gastos!$F$17)^((DY$1-1)/12)</f>
        <v>-14071265.806662016</v>
      </c>
      <c r="DZ31" s="145">
        <f>-Gastos!$F5/12*(1+Gastos!$F$17)^((DZ$1-1)/12)</f>
        <v>-14128593.885350976</v>
      </c>
      <c r="EA31" s="145">
        <f>-Gastos!$F5/12*(1+Gastos!$F$17)^((EA$1-1)/12)</f>
        <v>-14186155.52572879</v>
      </c>
      <c r="EB31" s="145">
        <f>-Gastos!$F5/12*(1+Gastos!$F$17)^((EB$1-1)/12)</f>
        <v>-14243951.679354696</v>
      </c>
      <c r="EC31" s="145">
        <f>-Gastos!$F5/12*(1+Gastos!$F$17)^((EC$1-1)/12)</f>
        <v>-14301983.301664693</v>
      </c>
      <c r="ED31" s="145">
        <f>-Gastos!$F5/12*(1+Gastos!$F$17)^((ED$1-1)/12)</f>
        <v>-14360251.351987345</v>
      </c>
      <c r="EE31" s="146">
        <f>-Gastos!$F5/12*(1+Gastos!$F$17)^((EE$1-1)/12)</f>
        <v>-14418756.793559644</v>
      </c>
    </row>
    <row r="32" spans="1:135" x14ac:dyDescent="0.25">
      <c r="A32" s="152">
        <f>SUMIF($C$1:$EE$1,"&lt;="&amp;Resumen!$K$19,'Flujo de caja mensual'!C32:EE32)</f>
        <v>-1941088196.1810942</v>
      </c>
      <c r="B32" s="5" t="s">
        <v>76</v>
      </c>
      <c r="C32" s="144"/>
      <c r="D32" s="145">
        <f>-Gastos!$F6/12*(1+Gastos!$F$17)^((D$1-1)/12)</f>
        <v>-12574815</v>
      </c>
      <c r="E32" s="145">
        <f>-Gastos!$F6/12*(1+Gastos!$F$17)^((E$1-1)/12)</f>
        <v>-12626046.352866478</v>
      </c>
      <c r="F32" s="145">
        <f>-Gastos!$F6/12*(1+Gastos!$F$17)^((F$1-1)/12)</f>
        <v>-12677486.428606136</v>
      </c>
      <c r="G32" s="145">
        <f>-Gastos!$F6/12*(1+Gastos!$F$17)^((G$1-1)/12)</f>
        <v>-12729136.077581801</v>
      </c>
      <c r="H32" s="145">
        <f>-Gastos!$F6/12*(1+Gastos!$F$17)^((H$1-1)/12)</f>
        <v>-12780996.153620772</v>
      </c>
      <c r="I32" s="145">
        <f>-Gastos!$F6/12*(1+Gastos!$F$17)^((I$1-1)/12)</f>
        <v>-12833067.514028955</v>
      </c>
      <c r="J32" s="145">
        <f>-Gastos!$F6/12*(1+Gastos!$F$17)^((J$1-1)/12)</f>
        <v>-12885351.019605026</v>
      </c>
      <c r="K32" s="145">
        <f>-Gastos!$F6/12*(1+Gastos!$F$17)^((K$1-1)/12)</f>
        <v>-12937847.534654656</v>
      </c>
      <c r="L32" s="145">
        <f>-Gastos!$F6/12*(1+Gastos!$F$17)^((L$1-1)/12)</f>
        <v>-12990557.927004807</v>
      </c>
      <c r="M32" s="145">
        <f>-Gastos!$F6/12*(1+Gastos!$F$17)^((M$1-1)/12)</f>
        <v>-13043483.068018077</v>
      </c>
      <c r="N32" s="145">
        <f>-Gastos!$F6/12*(1+Gastos!$F$17)^((N$1-1)/12)</f>
        <v>-13096623.832607105</v>
      </c>
      <c r="O32" s="145">
        <f>-Gastos!$F6/12*(1+Gastos!$F$17)^((O$1-1)/12)</f>
        <v>-13149981.099249026</v>
      </c>
      <c r="P32" s="145">
        <f>-Gastos!$F6/12*(1+Gastos!$F$17)^((P$1-1)/12)</f>
        <v>-13203555.75</v>
      </c>
      <c r="Q32" s="145">
        <f>-Gastos!$F6/12*(1+Gastos!$F$17)^((Q$1-1)/12)</f>
        <v>-13257348.670509802</v>
      </c>
      <c r="R32" s="145">
        <f>-Gastos!$F6/12*(1+Gastos!$F$17)^((R$1-1)/12)</f>
        <v>-13311360.750036443</v>
      </c>
      <c r="S32" s="145">
        <f>-Gastos!$F6/12*(1+Gastos!$F$17)^((S$1-1)/12)</f>
        <v>-13365592.88146089</v>
      </c>
      <c r="T32" s="145">
        <f>-Gastos!$F6/12*(1+Gastos!$F$17)^((T$1-1)/12)</f>
        <v>-13420045.961301811</v>
      </c>
      <c r="U32" s="145">
        <f>-Gastos!$F6/12*(1+Gastos!$F$17)^((U$1-1)/12)</f>
        <v>-13474720.889730403</v>
      </c>
      <c r="V32" s="145">
        <f>-Gastos!$F6/12*(1+Gastos!$F$17)^((V$1-1)/12)</f>
        <v>-13529618.570585277</v>
      </c>
      <c r="W32" s="145">
        <f>-Gastos!$F6/12*(1+Gastos!$F$17)^((W$1-1)/12)</f>
        <v>-13584739.91138739</v>
      </c>
      <c r="X32" s="145">
        <f>-Gastos!$F6/12*(1+Gastos!$F$17)^((X$1-1)/12)</f>
        <v>-13640085.823355049</v>
      </c>
      <c r="Y32" s="145">
        <f>-Gastos!$F6/12*(1+Gastos!$F$17)^((Y$1-1)/12)</f>
        <v>-13695657.221418982</v>
      </c>
      <c r="Z32" s="145">
        <f>-Gastos!$F6/12*(1+Gastos!$F$17)^((Z$1-1)/12)</f>
        <v>-13751455.024237461</v>
      </c>
      <c r="AA32" s="145">
        <f>-Gastos!$F6/12*(1+Gastos!$F$17)^((AA$1-1)/12)</f>
        <v>-13807480.154211476</v>
      </c>
      <c r="AB32" s="145">
        <f>-Gastos!$F6/12*(1+Gastos!$F$17)^((AB$1-1)/12)</f>
        <v>-13863733.5375</v>
      </c>
      <c r="AC32" s="145">
        <f>-Gastos!$F6/12*(1+Gastos!$F$17)^((AC$1-1)/12)</f>
        <v>-13920216.104035294</v>
      </c>
      <c r="AD32" s="145">
        <f>-Gastos!$F6/12*(1+Gastos!$F$17)^((AD$1-1)/12)</f>
        <v>-13976928.787538268</v>
      </c>
      <c r="AE32" s="145">
        <f>-Gastos!$F6/12*(1+Gastos!$F$17)^((AE$1-1)/12)</f>
        <v>-14033872.525533937</v>
      </c>
      <c r="AF32" s="145">
        <f>-Gastos!$F6/12*(1+Gastos!$F$17)^((AF$1-1)/12)</f>
        <v>-14091048.259366902</v>
      </c>
      <c r="AG32" s="145">
        <f>-Gastos!$F6/12*(1+Gastos!$F$17)^((AG$1-1)/12)</f>
        <v>-14148456.934216924</v>
      </c>
      <c r="AH32" s="145">
        <f>-Gastos!$F6/12*(1+Gastos!$F$17)^((AH$1-1)/12)</f>
        <v>-14206099.499114541</v>
      </c>
      <c r="AI32" s="145">
        <f>-Gastos!$F6/12*(1+Gastos!$F$17)^((AI$1-1)/12)</f>
        <v>-14263976.90695676</v>
      </c>
      <c r="AJ32" s="145">
        <f>-Gastos!$F6/12*(1+Gastos!$F$17)^((AJ$1-1)/12)</f>
        <v>-14322090.1145228</v>
      </c>
      <c r="AK32" s="145">
        <f>-Gastos!$F6/12*(1+Gastos!$F$17)^((AK$1-1)/12)</f>
        <v>-14380440.082489932</v>
      </c>
      <c r="AL32" s="145">
        <f>-Gastos!$F6/12*(1+Gastos!$F$17)^((AL$1-1)/12)</f>
        <v>-14439027.775449336</v>
      </c>
      <c r="AM32" s="145">
        <f>-Gastos!$F6/12*(1+Gastos!$F$17)^((AM$1-1)/12)</f>
        <v>-14497854.161922051</v>
      </c>
      <c r="AN32" s="145">
        <f>-Gastos!$F6/12*(1+Gastos!$F$17)^((AN$1-1)/12)</f>
        <v>-14556920.214375002</v>
      </c>
      <c r="AO32" s="145">
        <f>-Gastos!$F6/12*(1+Gastos!$F$17)^((AO$1-1)/12)</f>
        <v>-14616226.909237057</v>
      </c>
      <c r="AP32" s="145">
        <f>-Gastos!$F6/12*(1+Gastos!$F$17)^((AP$1-1)/12)</f>
        <v>-14675775.226915179</v>
      </c>
      <c r="AQ32" s="145">
        <f>-Gastos!$F6/12*(1+Gastos!$F$17)^((AQ$1-1)/12)</f>
        <v>-14735566.151810633</v>
      </c>
      <c r="AR32" s="145">
        <f>-Gastos!$F6/12*(1+Gastos!$F$17)^((AR$1-1)/12)</f>
        <v>-14795600.672335247</v>
      </c>
      <c r="AS32" s="145">
        <f>-Gastos!$F6/12*(1+Gastos!$F$17)^((AS$1-1)/12)</f>
        <v>-14855879.780927772</v>
      </c>
      <c r="AT32" s="145">
        <f>-Gastos!$F6/12*(1+Gastos!$F$17)^((AT$1-1)/12)</f>
        <v>-14916404.47407027</v>
      </c>
      <c r="AU32" s="145">
        <f>-Gastos!$F6/12*(1+Gastos!$F$17)^((AU$1-1)/12)</f>
        <v>-14977175.752304599</v>
      </c>
      <c r="AV32" s="145">
        <f>-Gastos!$F6/12*(1+Gastos!$F$17)^((AV$1-1)/12)</f>
        <v>-15038194.620248942</v>
      </c>
      <c r="AW32" s="145">
        <f>-Gastos!$F6/12*(1+Gastos!$F$17)^((AW$1-1)/12)</f>
        <v>-15099462.08661443</v>
      </c>
      <c r="AX32" s="145">
        <f>-Gastos!$F6/12*(1+Gastos!$F$17)^((AX$1-1)/12)</f>
        <v>-15160979.164221801</v>
      </c>
      <c r="AY32" s="145">
        <f>-Gastos!$F6/12*(1+Gastos!$F$17)^((AY$1-1)/12)</f>
        <v>-15222746.870018153</v>
      </c>
      <c r="AZ32" s="145">
        <f>-Gastos!$F6/12*(1+Gastos!$F$17)^((AZ$1-1)/12)</f>
        <v>-15284766.22509375</v>
      </c>
      <c r="BA32" s="145">
        <f>-Gastos!$F6/12*(1+Gastos!$F$17)^((BA$1-1)/12)</f>
        <v>-15347038.254698912</v>
      </c>
      <c r="BB32" s="145">
        <f>-Gastos!$F6/12*(1+Gastos!$F$17)^((BB$1-1)/12)</f>
        <v>-15409563.988260942</v>
      </c>
      <c r="BC32" s="145">
        <f>-Gastos!$F6/12*(1+Gastos!$F$17)^((BC$1-1)/12)</f>
        <v>-15472344.459401166</v>
      </c>
      <c r="BD32" s="145">
        <f>-Gastos!$F6/12*(1+Gastos!$F$17)^((BD$1-1)/12)</f>
        <v>-15535380.705952009</v>
      </c>
      <c r="BE32" s="145">
        <f>-Gastos!$F6/12*(1+Gastos!$F$17)^((BE$1-1)/12)</f>
        <v>-15598673.769974159</v>
      </c>
      <c r="BF32" s="145">
        <f>-Gastos!$F6/12*(1+Gastos!$F$17)^((BF$1-1)/12)</f>
        <v>-15662224.697773783</v>
      </c>
      <c r="BG32" s="145">
        <f>-Gastos!$F6/12*(1+Gastos!$F$17)^((BG$1-1)/12)</f>
        <v>-15726034.539919827</v>
      </c>
      <c r="BH32" s="145">
        <f>-Gastos!$F6/12*(1+Gastos!$F$17)^((BH$1-1)/12)</f>
        <v>-15790104.35126139</v>
      </c>
      <c r="BI32" s="145">
        <f>-Gastos!$F6/12*(1+Gastos!$F$17)^((BI$1-1)/12)</f>
        <v>-15854435.190945152</v>
      </c>
      <c r="BJ32" s="145">
        <f>-Gastos!$F6/12*(1+Gastos!$F$17)^((BJ$1-1)/12)</f>
        <v>-15919028.122432893</v>
      </c>
      <c r="BK32" s="145">
        <f>-Gastos!$F6/12*(1+Gastos!$F$17)^((BK$1-1)/12)</f>
        <v>-15983884.213519063</v>
      </c>
      <c r="BL32" s="145">
        <f>-Gastos!$F6/12*(1+Gastos!$F$17)^((BL$1-1)/12)</f>
        <v>-16049004.53634844</v>
      </c>
      <c r="BM32" s="145">
        <f>-Gastos!$F6/12*(1+Gastos!$F$17)^((BM$1-1)/12)</f>
        <v>-16114390.167433856</v>
      </c>
      <c r="BN32" s="145">
        <f>-Gastos!$F6/12*(1+Gastos!$F$17)^((BN$1-1)/12)</f>
        <v>-16180042.18767399</v>
      </c>
      <c r="BO32" s="145">
        <f>-Gastos!$F6/12*(1+Gastos!$F$17)^((BO$1-1)/12)</f>
        <v>-16245961.682371225</v>
      </c>
      <c r="BP32" s="145">
        <f>-Gastos!$F6/12*(1+Gastos!$F$17)^((BP$1-1)/12)</f>
        <v>-16312149.74124961</v>
      </c>
      <c r="BQ32" s="145">
        <f>-Gastos!$F6/12*(1+Gastos!$F$17)^((BQ$1-1)/12)</f>
        <v>-16378607.45847287</v>
      </c>
      <c r="BR32" s="145">
        <f>-Gastos!$F6/12*(1+Gastos!$F$17)^((BR$1-1)/12)</f>
        <v>-16445335.932662472</v>
      </c>
      <c r="BS32" s="145">
        <f>-Gastos!$F6/12*(1+Gastos!$F$17)^((BS$1-1)/12)</f>
        <v>-16512336.266915821</v>
      </c>
      <c r="BT32" s="145">
        <f>-Gastos!$F6/12*(1+Gastos!$F$17)^((BT$1-1)/12)</f>
        <v>-16579609.568824459</v>
      </c>
      <c r="BU32" s="145">
        <f>-Gastos!$F6/12*(1+Gastos!$F$17)^((BU$1-1)/12)</f>
        <v>-16647156.95049241</v>
      </c>
      <c r="BV32" s="145">
        <f>-Gastos!$F6/12*(1+Gastos!$F$17)^((BV$1-1)/12)</f>
        <v>-16714979.528554538</v>
      </c>
      <c r="BW32" s="145">
        <f>-Gastos!$F6/12*(1+Gastos!$F$17)^((BW$1-1)/12)</f>
        <v>-16783078.424195018</v>
      </c>
      <c r="BX32" s="145">
        <f>-Gastos!$F6/12*(1+Gastos!$F$17)^((BX$1-1)/12)</f>
        <v>-16851454.763165858</v>
      </c>
      <c r="BY32" s="145">
        <f>-Gastos!$F6/12*(1+Gastos!$F$17)^((BY$1-1)/12)</f>
        <v>-16920109.67580555</v>
      </c>
      <c r="BZ32" s="145">
        <f>-Gastos!$F6/12*(1+Gastos!$F$17)^((BZ$1-1)/12)</f>
        <v>-16989044.297057688</v>
      </c>
      <c r="CA32" s="145">
        <f>-Gastos!$F6/12*(1+Gastos!$F$17)^((CA$1-1)/12)</f>
        <v>-17058259.766489785</v>
      </c>
      <c r="CB32" s="145">
        <f>-Gastos!$F6/12*(1+Gastos!$F$17)^((CB$1-1)/12)</f>
        <v>-17127757.22831209</v>
      </c>
      <c r="CC32" s="145">
        <f>-Gastos!$F6/12*(1+Gastos!$F$17)^((CC$1-1)/12)</f>
        <v>-17197537.831396513</v>
      </c>
      <c r="CD32" s="145">
        <f>-Gastos!$F6/12*(1+Gastos!$F$17)^((CD$1-1)/12)</f>
        <v>-17267602.729295596</v>
      </c>
      <c r="CE32" s="145">
        <f>-Gastos!$F6/12*(1+Gastos!$F$17)^((CE$1-1)/12)</f>
        <v>-17337953.080261614</v>
      </c>
      <c r="CF32" s="145">
        <f>-Gastos!$F6/12*(1+Gastos!$F$17)^((CF$1-1)/12)</f>
        <v>-17408590.047265686</v>
      </c>
      <c r="CG32" s="145">
        <f>-Gastos!$F6/12*(1+Gastos!$F$17)^((CG$1-1)/12)</f>
        <v>-17479514.798017032</v>
      </c>
      <c r="CH32" s="145">
        <f>-Gastos!$F6/12*(1+Gastos!$F$17)^((CH$1-1)/12)</f>
        <v>-17550728.504982267</v>
      </c>
      <c r="CI32" s="145">
        <f>-Gastos!$F6/12*(1+Gastos!$F$17)^((CI$1-1)/12)</f>
        <v>-17622232.345404766</v>
      </c>
      <c r="CJ32" s="145">
        <f>-Gastos!$F6/12*(1+Gastos!$F$17)^((CJ$1-1)/12)</f>
        <v>-17694027.501324154</v>
      </c>
      <c r="CK32" s="145">
        <f>-Gastos!$F6/12*(1+Gastos!$F$17)^((CK$1-1)/12)</f>
        <v>-17766115.159595829</v>
      </c>
      <c r="CL32" s="145">
        <f>-Gastos!$F6/12*(1+Gastos!$F$17)^((CL$1-1)/12)</f>
        <v>-17838496.511910576</v>
      </c>
      <c r="CM32" s="145">
        <f>-Gastos!$F6/12*(1+Gastos!$F$17)^((CM$1-1)/12)</f>
        <v>-17911172.754814278</v>
      </c>
      <c r="CN32" s="145">
        <f>-Gastos!$F6/12*(1+Gastos!$F$17)^((CN$1-1)/12)</f>
        <v>-17984145.089727696</v>
      </c>
      <c r="CO32" s="145">
        <f>-Gastos!$F6/12*(1+Gastos!$F$17)^((CO$1-1)/12)</f>
        <v>-18057414.722966339</v>
      </c>
      <c r="CP32" s="145">
        <f>-Gastos!$F6/12*(1+Gastos!$F$17)^((CP$1-1)/12)</f>
        <v>-18130982.865760379</v>
      </c>
      <c r="CQ32" s="145">
        <f>-Gastos!$F6/12*(1+Gastos!$F$17)^((CQ$1-1)/12)</f>
        <v>-18204850.734274693</v>
      </c>
      <c r="CR32" s="145">
        <f>-Gastos!$F6/12*(1+Gastos!$F$17)^((CR$1-1)/12)</f>
        <v>-18279019.549628969</v>
      </c>
      <c r="CS32" s="145">
        <f>-Gastos!$F6/12*(1+Gastos!$F$17)^((CS$1-1)/12)</f>
        <v>-18353490.537917886</v>
      </c>
      <c r="CT32" s="145">
        <f>-Gastos!$F6/12*(1+Gastos!$F$17)^((CT$1-1)/12)</f>
        <v>-18428264.930231377</v>
      </c>
      <c r="CU32" s="145">
        <f>-Gastos!$F6/12*(1+Gastos!$F$17)^((CU$1-1)/12)</f>
        <v>-18503343.962675005</v>
      </c>
      <c r="CV32" s="145">
        <f>-Gastos!$F6/12*(1+Gastos!$F$17)^((CV$1-1)/12)</f>
        <v>-18578728.87639036</v>
      </c>
      <c r="CW32" s="145">
        <f>-Gastos!$F6/12*(1+Gastos!$F$17)^((CW$1-1)/12)</f>
        <v>-18654420.917575624</v>
      </c>
      <c r="CX32" s="145">
        <f>-Gastos!$F6/12*(1+Gastos!$F$17)^((CX$1-1)/12)</f>
        <v>-18730421.337506104</v>
      </c>
      <c r="CY32" s="145">
        <f>-Gastos!$F6/12*(1+Gastos!$F$17)^((CY$1-1)/12)</f>
        <v>-18806731.392554991</v>
      </c>
      <c r="CZ32" s="145">
        <f>-Gastos!$F6/12*(1+Gastos!$F$17)^((CZ$1-1)/12)</f>
        <v>-18883352.344214085</v>
      </c>
      <c r="DA32" s="145">
        <f>-Gastos!$F6/12*(1+Gastos!$F$17)^((DA$1-1)/12)</f>
        <v>-18960285.459114656</v>
      </c>
      <c r="DB32" s="145">
        <f>-Gastos!$F6/12*(1+Gastos!$F$17)^((DB$1-1)/12)</f>
        <v>-19037532.009048399</v>
      </c>
      <c r="DC32" s="145">
        <f>-Gastos!$F6/12*(1+Gastos!$F$17)^((DC$1-1)/12)</f>
        <v>-19115093.270988431</v>
      </c>
      <c r="DD32" s="145">
        <f>-Gastos!$F6/12*(1+Gastos!$F$17)^((DD$1-1)/12)</f>
        <v>-19192970.527110416</v>
      </c>
      <c r="DE32" s="145">
        <f>-Gastos!$F6/12*(1+Gastos!$F$17)^((DE$1-1)/12)</f>
        <v>-19271165.064813778</v>
      </c>
      <c r="DF32" s="145">
        <f>-Gastos!$F6/12*(1+Gastos!$F$17)^((DF$1-1)/12)</f>
        <v>-19349678.176742949</v>
      </c>
      <c r="DG32" s="145">
        <f>-Gastos!$F6/12*(1+Gastos!$F$17)^((DG$1-1)/12)</f>
        <v>-19428511.160808757</v>
      </c>
      <c r="DH32" s="145">
        <f>-Gastos!$F6/12*(1+Gastos!$F$17)^((DH$1-1)/12)</f>
        <v>-19507665.320209879</v>
      </c>
      <c r="DI32" s="145">
        <f>-Gastos!$F6/12*(1+Gastos!$F$17)^((DI$1-1)/12)</f>
        <v>-19587141.963454407</v>
      </c>
      <c r="DJ32" s="145">
        <f>-Gastos!$F6/12*(1+Gastos!$F$17)^((DJ$1-1)/12)</f>
        <v>-19666942.404381409</v>
      </c>
      <c r="DK32" s="145">
        <f>-Gastos!$F6/12*(1+Gastos!$F$17)^((DK$1-1)/12)</f>
        <v>-19747067.962182742</v>
      </c>
      <c r="DL32" s="145">
        <f>-Gastos!$F6/12*(1+Gastos!$F$17)^((DL$1-1)/12)</f>
        <v>-19827519.96142479</v>
      </c>
      <c r="DM32" s="145">
        <f>-Gastos!$F6/12*(1+Gastos!$F$17)^((DM$1-1)/12)</f>
        <v>-19908299.73207039</v>
      </c>
      <c r="DN32" s="145">
        <f>-Gastos!$F6/12*(1+Gastos!$F$17)^((DN$1-1)/12)</f>
        <v>-19989408.609500818</v>
      </c>
      <c r="DO32" s="145">
        <f>-Gastos!$F6/12*(1+Gastos!$F$17)^((DO$1-1)/12)</f>
        <v>-20070847.93453785</v>
      </c>
      <c r="DP32" s="145">
        <f>-Gastos!$F6/12*(1+Gastos!$F$17)^((DP$1-1)/12)</f>
        <v>-20152619.05346594</v>
      </c>
      <c r="DQ32" s="145">
        <f>-Gastos!$F6/12*(1+Gastos!$F$17)^((DQ$1-1)/12)</f>
        <v>-20234723.318054467</v>
      </c>
      <c r="DR32" s="145">
        <f>-Gastos!$F6/12*(1+Gastos!$F$17)^((DR$1-1)/12)</f>
        <v>-20317162.085580099</v>
      </c>
      <c r="DS32" s="145">
        <f>-Gastos!$F6/12*(1+Gastos!$F$17)^((DS$1-1)/12)</f>
        <v>-20399936.718849193</v>
      </c>
      <c r="DT32" s="145">
        <f>-Gastos!$F6/12*(1+Gastos!$F$17)^((DT$1-1)/12)</f>
        <v>-20483048.586220372</v>
      </c>
      <c r="DU32" s="145">
        <f>-Gastos!$F6/12*(1+Gastos!$F$17)^((DU$1-1)/12)</f>
        <v>-20566499.061627127</v>
      </c>
      <c r="DV32" s="145">
        <f>-Gastos!$F6/12*(1+Gastos!$F$17)^((DV$1-1)/12)</f>
        <v>-20650289.52460048</v>
      </c>
      <c r="DW32" s="145">
        <f>-Gastos!$F6/12*(1+Gastos!$F$17)^((DW$1-1)/12)</f>
        <v>-20734421.36029188</v>
      </c>
      <c r="DX32" s="145">
        <f>-Gastos!$F6/12*(1+Gastos!$F$17)^((DX$1-1)/12)</f>
        <v>-20818895.959496032</v>
      </c>
      <c r="DY32" s="145">
        <f>-Gastos!$F6/12*(1+Gastos!$F$17)^((DY$1-1)/12)</f>
        <v>-20903714.718673911</v>
      </c>
      <c r="DZ32" s="145">
        <f>-Gastos!$F6/12*(1+Gastos!$F$17)^((DZ$1-1)/12)</f>
        <v>-20988879.039975863</v>
      </c>
      <c r="EA32" s="145">
        <f>-Gastos!$F6/12*(1+Gastos!$F$17)^((EA$1-1)/12)</f>
        <v>-21074390.331264745</v>
      </c>
      <c r="EB32" s="145">
        <f>-Gastos!$F6/12*(1+Gastos!$F$17)^((EB$1-1)/12)</f>
        <v>-21160250.006139237</v>
      </c>
      <c r="EC32" s="145">
        <f>-Gastos!$F6/12*(1+Gastos!$F$17)^((EC$1-1)/12)</f>
        <v>-21246459.483957194</v>
      </c>
      <c r="ED32" s="145">
        <f>-Gastos!$F6/12*(1+Gastos!$F$17)^((ED$1-1)/12)</f>
        <v>-21333020.189859103</v>
      </c>
      <c r="EE32" s="146">
        <f>-Gastos!$F6/12*(1+Gastos!$F$17)^((EE$1-1)/12)</f>
        <v>-21419933.554791659</v>
      </c>
    </row>
    <row r="33" spans="1:135" x14ac:dyDescent="0.25">
      <c r="A33" s="152">
        <f>SUMIF($C$1:$EE$1,"&lt;="&amp;Resumen!$K$19,'Flujo de caja mensual'!C33:EE33)</f>
        <v>0</v>
      </c>
      <c r="B33" s="5" t="s">
        <v>97</v>
      </c>
      <c r="C33" s="144"/>
      <c r="D33" s="145">
        <f>-Gastos!$F7/12*(1+Gastos!$F$17)^((D$1-1)/12)</f>
        <v>0</v>
      </c>
      <c r="E33" s="145">
        <f>-Gastos!$F7/12*(1+Gastos!$F$17)^((E$1-1)/12)</f>
        <v>0</v>
      </c>
      <c r="F33" s="145">
        <f>-Gastos!$F7/12*(1+Gastos!$F$17)^((F$1-1)/12)</f>
        <v>0</v>
      </c>
      <c r="G33" s="145">
        <f>-Gastos!$F7/12*(1+Gastos!$F$17)^((G$1-1)/12)</f>
        <v>0</v>
      </c>
      <c r="H33" s="145">
        <f>-Gastos!$F7/12*(1+Gastos!$F$17)^((H$1-1)/12)</f>
        <v>0</v>
      </c>
      <c r="I33" s="145">
        <f>-Gastos!$F7/12*(1+Gastos!$F$17)^((I$1-1)/12)</f>
        <v>0</v>
      </c>
      <c r="J33" s="145">
        <f>-Gastos!$F7/12*(1+Gastos!$F$17)^((J$1-1)/12)</f>
        <v>0</v>
      </c>
      <c r="K33" s="145">
        <f>-Gastos!$F7/12*(1+Gastos!$F$17)^((K$1-1)/12)</f>
        <v>0</v>
      </c>
      <c r="L33" s="145">
        <f>-Gastos!$F7/12*(1+Gastos!$F$17)^((L$1-1)/12)</f>
        <v>0</v>
      </c>
      <c r="M33" s="145">
        <f>-Gastos!$F7/12*(1+Gastos!$F$17)^((M$1-1)/12)</f>
        <v>0</v>
      </c>
      <c r="N33" s="145">
        <f>-Gastos!$F7/12*(1+Gastos!$F$17)^((N$1-1)/12)</f>
        <v>0</v>
      </c>
      <c r="O33" s="145">
        <f>-Gastos!$F7/12*(1+Gastos!$F$17)^((O$1-1)/12)</f>
        <v>0</v>
      </c>
      <c r="P33" s="145">
        <f>-Gastos!$F7/12*(1+Gastos!$F$17)^((P$1-1)/12)</f>
        <v>0</v>
      </c>
      <c r="Q33" s="145">
        <f>-Gastos!$F7/12*(1+Gastos!$F$17)^((Q$1-1)/12)</f>
        <v>0</v>
      </c>
      <c r="R33" s="145">
        <f>-Gastos!$F7/12*(1+Gastos!$F$17)^((R$1-1)/12)</f>
        <v>0</v>
      </c>
      <c r="S33" s="145">
        <f>-Gastos!$F7/12*(1+Gastos!$F$17)^((S$1-1)/12)</f>
        <v>0</v>
      </c>
      <c r="T33" s="145">
        <f>-Gastos!$F7/12*(1+Gastos!$F$17)^((T$1-1)/12)</f>
        <v>0</v>
      </c>
      <c r="U33" s="145">
        <f>-Gastos!$F7/12*(1+Gastos!$F$17)^((U$1-1)/12)</f>
        <v>0</v>
      </c>
      <c r="V33" s="145">
        <f>-Gastos!$F7/12*(1+Gastos!$F$17)^((V$1-1)/12)</f>
        <v>0</v>
      </c>
      <c r="W33" s="145">
        <f>-Gastos!$F7/12*(1+Gastos!$F$17)^((W$1-1)/12)</f>
        <v>0</v>
      </c>
      <c r="X33" s="145">
        <f>-Gastos!$F7/12*(1+Gastos!$F$17)^((X$1-1)/12)</f>
        <v>0</v>
      </c>
      <c r="Y33" s="145">
        <f>-Gastos!$F7/12*(1+Gastos!$F$17)^((Y$1-1)/12)</f>
        <v>0</v>
      </c>
      <c r="Z33" s="145">
        <f>-Gastos!$F7/12*(1+Gastos!$F$17)^((Z$1-1)/12)</f>
        <v>0</v>
      </c>
      <c r="AA33" s="145">
        <f>-Gastos!$F7/12*(1+Gastos!$F$17)^((AA$1-1)/12)</f>
        <v>0</v>
      </c>
      <c r="AB33" s="145">
        <f>-Gastos!$F7/12*(1+Gastos!$F$17)^((AB$1-1)/12)</f>
        <v>0</v>
      </c>
      <c r="AC33" s="145">
        <f>-Gastos!$F7/12*(1+Gastos!$F$17)^((AC$1-1)/12)</f>
        <v>0</v>
      </c>
      <c r="AD33" s="145">
        <f>-Gastos!$F7/12*(1+Gastos!$F$17)^((AD$1-1)/12)</f>
        <v>0</v>
      </c>
      <c r="AE33" s="145">
        <f>-Gastos!$F7/12*(1+Gastos!$F$17)^((AE$1-1)/12)</f>
        <v>0</v>
      </c>
      <c r="AF33" s="145">
        <f>-Gastos!$F7/12*(1+Gastos!$F$17)^((AF$1-1)/12)</f>
        <v>0</v>
      </c>
      <c r="AG33" s="145">
        <f>-Gastos!$F7/12*(1+Gastos!$F$17)^((AG$1-1)/12)</f>
        <v>0</v>
      </c>
      <c r="AH33" s="145">
        <f>-Gastos!$F7/12*(1+Gastos!$F$17)^((AH$1-1)/12)</f>
        <v>0</v>
      </c>
      <c r="AI33" s="145">
        <f>-Gastos!$F7/12*(1+Gastos!$F$17)^((AI$1-1)/12)</f>
        <v>0</v>
      </c>
      <c r="AJ33" s="145">
        <f>-Gastos!$F7/12*(1+Gastos!$F$17)^((AJ$1-1)/12)</f>
        <v>0</v>
      </c>
      <c r="AK33" s="145">
        <f>-Gastos!$F7/12*(1+Gastos!$F$17)^((AK$1-1)/12)</f>
        <v>0</v>
      </c>
      <c r="AL33" s="145">
        <f>-Gastos!$F7/12*(1+Gastos!$F$17)^((AL$1-1)/12)</f>
        <v>0</v>
      </c>
      <c r="AM33" s="145">
        <f>-Gastos!$F7/12*(1+Gastos!$F$17)^((AM$1-1)/12)</f>
        <v>0</v>
      </c>
      <c r="AN33" s="145">
        <f>-Gastos!$F7/12*(1+Gastos!$F$17)^((AN$1-1)/12)</f>
        <v>0</v>
      </c>
      <c r="AO33" s="145">
        <f>-Gastos!$F7/12*(1+Gastos!$F$17)^((AO$1-1)/12)</f>
        <v>0</v>
      </c>
      <c r="AP33" s="145">
        <f>-Gastos!$F7/12*(1+Gastos!$F$17)^((AP$1-1)/12)</f>
        <v>0</v>
      </c>
      <c r="AQ33" s="145">
        <f>-Gastos!$F7/12*(1+Gastos!$F$17)^((AQ$1-1)/12)</f>
        <v>0</v>
      </c>
      <c r="AR33" s="145">
        <f>-Gastos!$F7/12*(1+Gastos!$F$17)^((AR$1-1)/12)</f>
        <v>0</v>
      </c>
      <c r="AS33" s="145">
        <f>-Gastos!$F7/12*(1+Gastos!$F$17)^((AS$1-1)/12)</f>
        <v>0</v>
      </c>
      <c r="AT33" s="145">
        <f>-Gastos!$F7/12*(1+Gastos!$F$17)^((AT$1-1)/12)</f>
        <v>0</v>
      </c>
      <c r="AU33" s="145">
        <f>-Gastos!$F7/12*(1+Gastos!$F$17)^((AU$1-1)/12)</f>
        <v>0</v>
      </c>
      <c r="AV33" s="145">
        <f>-Gastos!$F7/12*(1+Gastos!$F$17)^((AV$1-1)/12)</f>
        <v>0</v>
      </c>
      <c r="AW33" s="145">
        <f>-Gastos!$F7/12*(1+Gastos!$F$17)^((AW$1-1)/12)</f>
        <v>0</v>
      </c>
      <c r="AX33" s="145">
        <f>-Gastos!$F7/12*(1+Gastos!$F$17)^((AX$1-1)/12)</f>
        <v>0</v>
      </c>
      <c r="AY33" s="145">
        <f>-Gastos!$F7/12*(1+Gastos!$F$17)^((AY$1-1)/12)</f>
        <v>0</v>
      </c>
      <c r="AZ33" s="145">
        <f>-Gastos!$F7/12*(1+Gastos!$F$17)^((AZ$1-1)/12)</f>
        <v>0</v>
      </c>
      <c r="BA33" s="145">
        <f>-Gastos!$F7/12*(1+Gastos!$F$17)^((BA$1-1)/12)</f>
        <v>0</v>
      </c>
      <c r="BB33" s="145">
        <f>-Gastos!$F7/12*(1+Gastos!$F$17)^((BB$1-1)/12)</f>
        <v>0</v>
      </c>
      <c r="BC33" s="145">
        <f>-Gastos!$F7/12*(1+Gastos!$F$17)^((BC$1-1)/12)</f>
        <v>0</v>
      </c>
      <c r="BD33" s="145">
        <f>-Gastos!$F7/12*(1+Gastos!$F$17)^((BD$1-1)/12)</f>
        <v>0</v>
      </c>
      <c r="BE33" s="145">
        <f>-Gastos!$F7/12*(1+Gastos!$F$17)^((BE$1-1)/12)</f>
        <v>0</v>
      </c>
      <c r="BF33" s="145">
        <f>-Gastos!$F7/12*(1+Gastos!$F$17)^((BF$1-1)/12)</f>
        <v>0</v>
      </c>
      <c r="BG33" s="145">
        <f>-Gastos!$F7/12*(1+Gastos!$F$17)^((BG$1-1)/12)</f>
        <v>0</v>
      </c>
      <c r="BH33" s="145">
        <f>-Gastos!$F7/12*(1+Gastos!$F$17)^((BH$1-1)/12)</f>
        <v>0</v>
      </c>
      <c r="BI33" s="145">
        <f>-Gastos!$F7/12*(1+Gastos!$F$17)^((BI$1-1)/12)</f>
        <v>0</v>
      </c>
      <c r="BJ33" s="145">
        <f>-Gastos!$F7/12*(1+Gastos!$F$17)^((BJ$1-1)/12)</f>
        <v>0</v>
      </c>
      <c r="BK33" s="145">
        <f>-Gastos!$F7/12*(1+Gastos!$F$17)^((BK$1-1)/12)</f>
        <v>0</v>
      </c>
      <c r="BL33" s="145">
        <f>-Gastos!$F7/12*(1+Gastos!$F$17)^((BL$1-1)/12)</f>
        <v>0</v>
      </c>
      <c r="BM33" s="145">
        <f>-Gastos!$F7/12*(1+Gastos!$F$17)^((BM$1-1)/12)</f>
        <v>0</v>
      </c>
      <c r="BN33" s="145">
        <f>-Gastos!$F7/12*(1+Gastos!$F$17)^((BN$1-1)/12)</f>
        <v>0</v>
      </c>
      <c r="BO33" s="145">
        <f>-Gastos!$F7/12*(1+Gastos!$F$17)^((BO$1-1)/12)</f>
        <v>0</v>
      </c>
      <c r="BP33" s="145">
        <f>-Gastos!$F7/12*(1+Gastos!$F$17)^((BP$1-1)/12)</f>
        <v>0</v>
      </c>
      <c r="BQ33" s="145">
        <f>-Gastos!$F7/12*(1+Gastos!$F$17)^((BQ$1-1)/12)</f>
        <v>0</v>
      </c>
      <c r="BR33" s="145">
        <f>-Gastos!$F7/12*(1+Gastos!$F$17)^((BR$1-1)/12)</f>
        <v>0</v>
      </c>
      <c r="BS33" s="145">
        <f>-Gastos!$F7/12*(1+Gastos!$F$17)^((BS$1-1)/12)</f>
        <v>0</v>
      </c>
      <c r="BT33" s="145">
        <f>-Gastos!$F7/12*(1+Gastos!$F$17)^((BT$1-1)/12)</f>
        <v>0</v>
      </c>
      <c r="BU33" s="145">
        <f>-Gastos!$F7/12*(1+Gastos!$F$17)^((BU$1-1)/12)</f>
        <v>0</v>
      </c>
      <c r="BV33" s="145">
        <f>-Gastos!$F7/12*(1+Gastos!$F$17)^((BV$1-1)/12)</f>
        <v>0</v>
      </c>
      <c r="BW33" s="145">
        <f>-Gastos!$F7/12*(1+Gastos!$F$17)^((BW$1-1)/12)</f>
        <v>0</v>
      </c>
      <c r="BX33" s="145">
        <f>-Gastos!$F7/12*(1+Gastos!$F$17)^((BX$1-1)/12)</f>
        <v>0</v>
      </c>
      <c r="BY33" s="145">
        <f>-Gastos!$F7/12*(1+Gastos!$F$17)^((BY$1-1)/12)</f>
        <v>0</v>
      </c>
      <c r="BZ33" s="145">
        <f>-Gastos!$F7/12*(1+Gastos!$F$17)^((BZ$1-1)/12)</f>
        <v>0</v>
      </c>
      <c r="CA33" s="145">
        <f>-Gastos!$F7/12*(1+Gastos!$F$17)^((CA$1-1)/12)</f>
        <v>0</v>
      </c>
      <c r="CB33" s="145">
        <f>-Gastos!$F7/12*(1+Gastos!$F$17)^((CB$1-1)/12)</f>
        <v>0</v>
      </c>
      <c r="CC33" s="145">
        <f>-Gastos!$F7/12*(1+Gastos!$F$17)^((CC$1-1)/12)</f>
        <v>0</v>
      </c>
      <c r="CD33" s="145">
        <f>-Gastos!$F7/12*(1+Gastos!$F$17)^((CD$1-1)/12)</f>
        <v>0</v>
      </c>
      <c r="CE33" s="145">
        <f>-Gastos!$F7/12*(1+Gastos!$F$17)^((CE$1-1)/12)</f>
        <v>0</v>
      </c>
      <c r="CF33" s="145">
        <f>-Gastos!$F7/12*(1+Gastos!$F$17)^((CF$1-1)/12)</f>
        <v>0</v>
      </c>
      <c r="CG33" s="145">
        <f>-Gastos!$F7/12*(1+Gastos!$F$17)^((CG$1-1)/12)</f>
        <v>0</v>
      </c>
      <c r="CH33" s="145">
        <f>-Gastos!$F7/12*(1+Gastos!$F$17)^((CH$1-1)/12)</f>
        <v>0</v>
      </c>
      <c r="CI33" s="145">
        <f>-Gastos!$F7/12*(1+Gastos!$F$17)^((CI$1-1)/12)</f>
        <v>0</v>
      </c>
      <c r="CJ33" s="145">
        <f>-Gastos!$F7/12*(1+Gastos!$F$17)^((CJ$1-1)/12)</f>
        <v>0</v>
      </c>
      <c r="CK33" s="145">
        <f>-Gastos!$F7/12*(1+Gastos!$F$17)^((CK$1-1)/12)</f>
        <v>0</v>
      </c>
      <c r="CL33" s="145">
        <f>-Gastos!$F7/12*(1+Gastos!$F$17)^((CL$1-1)/12)</f>
        <v>0</v>
      </c>
      <c r="CM33" s="145">
        <f>-Gastos!$F7/12*(1+Gastos!$F$17)^((CM$1-1)/12)</f>
        <v>0</v>
      </c>
      <c r="CN33" s="145">
        <f>-Gastos!$F7/12*(1+Gastos!$F$17)^((CN$1-1)/12)</f>
        <v>0</v>
      </c>
      <c r="CO33" s="145">
        <f>-Gastos!$F7/12*(1+Gastos!$F$17)^((CO$1-1)/12)</f>
        <v>0</v>
      </c>
      <c r="CP33" s="145">
        <f>-Gastos!$F7/12*(1+Gastos!$F$17)^((CP$1-1)/12)</f>
        <v>0</v>
      </c>
      <c r="CQ33" s="145">
        <f>-Gastos!$F7/12*(1+Gastos!$F$17)^((CQ$1-1)/12)</f>
        <v>0</v>
      </c>
      <c r="CR33" s="145">
        <f>-Gastos!$F7/12*(1+Gastos!$F$17)^((CR$1-1)/12)</f>
        <v>0</v>
      </c>
      <c r="CS33" s="145">
        <f>-Gastos!$F7/12*(1+Gastos!$F$17)^((CS$1-1)/12)</f>
        <v>0</v>
      </c>
      <c r="CT33" s="145">
        <f>-Gastos!$F7/12*(1+Gastos!$F$17)^((CT$1-1)/12)</f>
        <v>0</v>
      </c>
      <c r="CU33" s="145">
        <f>-Gastos!$F7/12*(1+Gastos!$F$17)^((CU$1-1)/12)</f>
        <v>0</v>
      </c>
      <c r="CV33" s="145">
        <f>-Gastos!$F7/12*(1+Gastos!$F$17)^((CV$1-1)/12)</f>
        <v>0</v>
      </c>
      <c r="CW33" s="145">
        <f>-Gastos!$F7/12*(1+Gastos!$F$17)^((CW$1-1)/12)</f>
        <v>0</v>
      </c>
      <c r="CX33" s="145">
        <f>-Gastos!$F7/12*(1+Gastos!$F$17)^((CX$1-1)/12)</f>
        <v>0</v>
      </c>
      <c r="CY33" s="145">
        <f>-Gastos!$F7/12*(1+Gastos!$F$17)^((CY$1-1)/12)</f>
        <v>0</v>
      </c>
      <c r="CZ33" s="145">
        <f>-Gastos!$F7/12*(1+Gastos!$F$17)^((CZ$1-1)/12)</f>
        <v>0</v>
      </c>
      <c r="DA33" s="145">
        <f>-Gastos!$F7/12*(1+Gastos!$F$17)^((DA$1-1)/12)</f>
        <v>0</v>
      </c>
      <c r="DB33" s="145">
        <f>-Gastos!$F7/12*(1+Gastos!$F$17)^((DB$1-1)/12)</f>
        <v>0</v>
      </c>
      <c r="DC33" s="145">
        <f>-Gastos!$F7/12*(1+Gastos!$F$17)^((DC$1-1)/12)</f>
        <v>0</v>
      </c>
      <c r="DD33" s="145">
        <f>-Gastos!$F7/12*(1+Gastos!$F$17)^((DD$1-1)/12)</f>
        <v>0</v>
      </c>
      <c r="DE33" s="145">
        <f>-Gastos!$F7/12*(1+Gastos!$F$17)^((DE$1-1)/12)</f>
        <v>0</v>
      </c>
      <c r="DF33" s="145">
        <f>-Gastos!$F7/12*(1+Gastos!$F$17)^((DF$1-1)/12)</f>
        <v>0</v>
      </c>
      <c r="DG33" s="145">
        <f>-Gastos!$F7/12*(1+Gastos!$F$17)^((DG$1-1)/12)</f>
        <v>0</v>
      </c>
      <c r="DH33" s="145">
        <f>-Gastos!$F7/12*(1+Gastos!$F$17)^((DH$1-1)/12)</f>
        <v>0</v>
      </c>
      <c r="DI33" s="145">
        <f>-Gastos!$F7/12*(1+Gastos!$F$17)^((DI$1-1)/12)</f>
        <v>0</v>
      </c>
      <c r="DJ33" s="145">
        <f>-Gastos!$F7/12*(1+Gastos!$F$17)^((DJ$1-1)/12)</f>
        <v>0</v>
      </c>
      <c r="DK33" s="145">
        <f>-Gastos!$F7/12*(1+Gastos!$F$17)^((DK$1-1)/12)</f>
        <v>0</v>
      </c>
      <c r="DL33" s="145">
        <f>-Gastos!$F7/12*(1+Gastos!$F$17)^((DL$1-1)/12)</f>
        <v>0</v>
      </c>
      <c r="DM33" s="145">
        <f>-Gastos!$F7/12*(1+Gastos!$F$17)^((DM$1-1)/12)</f>
        <v>0</v>
      </c>
      <c r="DN33" s="145">
        <f>-Gastos!$F7/12*(1+Gastos!$F$17)^((DN$1-1)/12)</f>
        <v>0</v>
      </c>
      <c r="DO33" s="145">
        <f>-Gastos!$F7/12*(1+Gastos!$F$17)^((DO$1-1)/12)</f>
        <v>0</v>
      </c>
      <c r="DP33" s="145">
        <f>-Gastos!$F7/12*(1+Gastos!$F$17)^((DP$1-1)/12)</f>
        <v>0</v>
      </c>
      <c r="DQ33" s="145">
        <f>-Gastos!$F7/12*(1+Gastos!$F$17)^((DQ$1-1)/12)</f>
        <v>0</v>
      </c>
      <c r="DR33" s="145">
        <f>-Gastos!$F7/12*(1+Gastos!$F$17)^((DR$1-1)/12)</f>
        <v>0</v>
      </c>
      <c r="DS33" s="145">
        <f>-Gastos!$F7/12*(1+Gastos!$F$17)^((DS$1-1)/12)</f>
        <v>0</v>
      </c>
      <c r="DT33" s="145">
        <f>-Gastos!$F7/12*(1+Gastos!$F$17)^((DT$1-1)/12)</f>
        <v>0</v>
      </c>
      <c r="DU33" s="145">
        <f>-Gastos!$F7/12*(1+Gastos!$F$17)^((DU$1-1)/12)</f>
        <v>0</v>
      </c>
      <c r="DV33" s="145">
        <f>-Gastos!$F7/12*(1+Gastos!$F$17)^((DV$1-1)/12)</f>
        <v>0</v>
      </c>
      <c r="DW33" s="145">
        <f>-Gastos!$F7/12*(1+Gastos!$F$17)^((DW$1-1)/12)</f>
        <v>0</v>
      </c>
      <c r="DX33" s="145">
        <f>-Gastos!$F7/12*(1+Gastos!$F$17)^((DX$1-1)/12)</f>
        <v>0</v>
      </c>
      <c r="DY33" s="145">
        <f>-Gastos!$F7/12*(1+Gastos!$F$17)^((DY$1-1)/12)</f>
        <v>0</v>
      </c>
      <c r="DZ33" s="145">
        <f>-Gastos!$F7/12*(1+Gastos!$F$17)^((DZ$1-1)/12)</f>
        <v>0</v>
      </c>
      <c r="EA33" s="145">
        <f>-Gastos!$F7/12*(1+Gastos!$F$17)^((EA$1-1)/12)</f>
        <v>0</v>
      </c>
      <c r="EB33" s="145">
        <f>-Gastos!$F7/12*(1+Gastos!$F$17)^((EB$1-1)/12)</f>
        <v>0</v>
      </c>
      <c r="EC33" s="145">
        <f>-Gastos!$F7/12*(1+Gastos!$F$17)^((EC$1-1)/12)</f>
        <v>0</v>
      </c>
      <c r="ED33" s="145">
        <f>-Gastos!$F7/12*(1+Gastos!$F$17)^((ED$1-1)/12)</f>
        <v>0</v>
      </c>
      <c r="EE33" s="146">
        <f>-Gastos!$F7/12*(1+Gastos!$F$17)^((EE$1-1)/12)</f>
        <v>0</v>
      </c>
    </row>
    <row r="34" spans="1:135" x14ac:dyDescent="0.25">
      <c r="A34" s="152">
        <f>SUMIF($C$1:$EE$1,"&lt;="&amp;Resumen!$K$19,'Flujo de caja mensual'!C34:EE34)</f>
        <v>-600976712.47974706</v>
      </c>
      <c r="B34" s="5" t="s">
        <v>23</v>
      </c>
      <c r="C34" s="144"/>
      <c r="D34" s="145">
        <f>-Gastos!$F8/12*(1+Gastos!$F$17)^((D$1-1)/12)</f>
        <v>-3893265.125</v>
      </c>
      <c r="E34" s="145">
        <f>-Gastos!$F8/12*(1+Gastos!$F$17)^((E$1-1)/12)</f>
        <v>-3909126.7690418111</v>
      </c>
      <c r="F34" s="145">
        <f>-Gastos!$F8/12*(1+Gastos!$F$17)^((F$1-1)/12)</f>
        <v>-3925053.0353848604</v>
      </c>
      <c r="G34" s="145">
        <f>-Gastos!$F8/12*(1+Gastos!$F$17)^((G$1-1)/12)</f>
        <v>-3941044.1873084032</v>
      </c>
      <c r="H34" s="145">
        <f>-Gastos!$F8/12*(1+Gastos!$F$17)^((H$1-1)/12)</f>
        <v>-3957100.4891643254</v>
      </c>
      <c r="I34" s="145">
        <f>-Gastos!$F8/12*(1+Gastos!$F$17)^((I$1-1)/12)</f>
        <v>-3973222.2063815156</v>
      </c>
      <c r="J34" s="145">
        <f>-Gastos!$F8/12*(1+Gastos!$F$17)^((J$1-1)/12)</f>
        <v>-3989409.6054702546</v>
      </c>
      <c r="K34" s="145">
        <f>-Gastos!$F8/12*(1+Gastos!$F$17)^((K$1-1)/12)</f>
        <v>-4005662.9540266157</v>
      </c>
      <c r="L34" s="145">
        <f>-Gastos!$F8/12*(1+Gastos!$F$17)^((L$1-1)/12)</f>
        <v>-4021982.5207368946</v>
      </c>
      <c r="M34" s="145">
        <f>-Gastos!$F8/12*(1+Gastos!$F$17)^((M$1-1)/12)</f>
        <v>-4038368.5753820459</v>
      </c>
      <c r="N34" s="145">
        <f>-Gastos!$F8/12*(1+Gastos!$F$17)^((N$1-1)/12)</f>
        <v>-4054821.3888421487</v>
      </c>
      <c r="O34" s="145">
        <f>-Gastos!$F8/12*(1+Gastos!$F$17)^((O$1-1)/12)</f>
        <v>-4071341.2331008762</v>
      </c>
      <c r="P34" s="145">
        <f>-Gastos!$F8/12*(1+Gastos!$F$17)^((P$1-1)/12)</f>
        <v>-4087928.3812500001</v>
      </c>
      <c r="Q34" s="145">
        <f>-Gastos!$F8/12*(1+Gastos!$F$17)^((Q$1-1)/12)</f>
        <v>-4104583.1074939021</v>
      </c>
      <c r="R34" s="145">
        <f>-Gastos!$F8/12*(1+Gastos!$F$17)^((R$1-1)/12)</f>
        <v>-4121305.6871541035</v>
      </c>
      <c r="S34" s="145">
        <f>-Gastos!$F8/12*(1+Gastos!$F$17)^((S$1-1)/12)</f>
        <v>-4138096.3966738232</v>
      </c>
      <c r="T34" s="145">
        <f>-Gastos!$F8/12*(1+Gastos!$F$17)^((T$1-1)/12)</f>
        <v>-4154955.5136225414</v>
      </c>
      <c r="U34" s="145">
        <f>-Gastos!$F8/12*(1+Gastos!$F$17)^((U$1-1)/12)</f>
        <v>-4171883.3167005912</v>
      </c>
      <c r="V34" s="145">
        <f>-Gastos!$F8/12*(1+Gastos!$F$17)^((V$1-1)/12)</f>
        <v>-4188880.0857437667</v>
      </c>
      <c r="W34" s="145">
        <f>-Gastos!$F8/12*(1+Gastos!$F$17)^((W$1-1)/12)</f>
        <v>-4205946.1017279467</v>
      </c>
      <c r="X34" s="145">
        <f>-Gastos!$F8/12*(1+Gastos!$F$17)^((X$1-1)/12)</f>
        <v>-4223081.6467737397</v>
      </c>
      <c r="Y34" s="145">
        <f>-Gastos!$F8/12*(1+Gastos!$F$17)^((Y$1-1)/12)</f>
        <v>-4240287.0041511487</v>
      </c>
      <c r="Z34" s="145">
        <f>-Gastos!$F8/12*(1+Gastos!$F$17)^((Z$1-1)/12)</f>
        <v>-4257562.458284256</v>
      </c>
      <c r="AA34" s="145">
        <f>-Gastos!$F8/12*(1+Gastos!$F$17)^((AA$1-1)/12)</f>
        <v>-4274908.2947559198</v>
      </c>
      <c r="AB34" s="145">
        <f>-Gastos!$F8/12*(1+Gastos!$F$17)^((AB$1-1)/12)</f>
        <v>-4292324.8003125004</v>
      </c>
      <c r="AC34" s="145">
        <f>-Gastos!$F8/12*(1+Gastos!$F$17)^((AC$1-1)/12)</f>
        <v>-4309812.2628685972</v>
      </c>
      <c r="AD34" s="145">
        <f>-Gastos!$F8/12*(1+Gastos!$F$17)^((AD$1-1)/12)</f>
        <v>-4327370.9715118092</v>
      </c>
      <c r="AE34" s="145">
        <f>-Gastos!$F8/12*(1+Gastos!$F$17)^((AE$1-1)/12)</f>
        <v>-4345001.2165075149</v>
      </c>
      <c r="AF34" s="145">
        <f>-Gastos!$F8/12*(1+Gastos!$F$17)^((AF$1-1)/12)</f>
        <v>-4362703.2893036688</v>
      </c>
      <c r="AG34" s="145">
        <f>-Gastos!$F8/12*(1+Gastos!$F$17)^((AG$1-1)/12)</f>
        <v>-4380477.4825356212</v>
      </c>
      <c r="AH34" s="145">
        <f>-Gastos!$F8/12*(1+Gastos!$F$17)^((AH$1-1)/12)</f>
        <v>-4398324.0900309561</v>
      </c>
      <c r="AI34" s="145">
        <f>-Gastos!$F8/12*(1+Gastos!$F$17)^((AI$1-1)/12)</f>
        <v>-4416243.4068143442</v>
      </c>
      <c r="AJ34" s="145">
        <f>-Gastos!$F8/12*(1+Gastos!$F$17)^((AJ$1-1)/12)</f>
        <v>-4434235.7291124258</v>
      </c>
      <c r="AK34" s="145">
        <f>-Gastos!$F8/12*(1+Gastos!$F$17)^((AK$1-1)/12)</f>
        <v>-4452301.3543587066</v>
      </c>
      <c r="AL34" s="145">
        <f>-Gastos!$F8/12*(1+Gastos!$F$17)^((AL$1-1)/12)</f>
        <v>-4470440.5811984688</v>
      </c>
      <c r="AM34" s="145">
        <f>-Gastos!$F8/12*(1+Gastos!$F$17)^((AM$1-1)/12)</f>
        <v>-4488653.7094937162</v>
      </c>
      <c r="AN34" s="145">
        <f>-Gastos!$F8/12*(1+Gastos!$F$17)^((AN$1-1)/12)</f>
        <v>-4506941.0403281255</v>
      </c>
      <c r="AO34" s="145">
        <f>-Gastos!$F8/12*(1+Gastos!$F$17)^((AO$1-1)/12)</f>
        <v>-4525302.8760120263</v>
      </c>
      <c r="AP34" s="145">
        <f>-Gastos!$F8/12*(1+Gastos!$F$17)^((AP$1-1)/12)</f>
        <v>-4543739.5200873995</v>
      </c>
      <c r="AQ34" s="145">
        <f>-Gastos!$F8/12*(1+Gastos!$F$17)^((AQ$1-1)/12)</f>
        <v>-4562251.2773328908</v>
      </c>
      <c r="AR34" s="145">
        <f>-Gastos!$F8/12*(1+Gastos!$F$17)^((AR$1-1)/12)</f>
        <v>-4580838.4537688522</v>
      </c>
      <c r="AS34" s="145">
        <f>-Gastos!$F8/12*(1+Gastos!$F$17)^((AS$1-1)/12)</f>
        <v>-4599501.3566624029</v>
      </c>
      <c r="AT34" s="145">
        <f>-Gastos!$F8/12*(1+Gastos!$F$17)^((AT$1-1)/12)</f>
        <v>-4618240.2945325039</v>
      </c>
      <c r="AU34" s="145">
        <f>-Gastos!$F8/12*(1+Gastos!$F$17)^((AU$1-1)/12)</f>
        <v>-4637055.577155062</v>
      </c>
      <c r="AV34" s="145">
        <f>-Gastos!$F8/12*(1+Gastos!$F$17)^((AV$1-1)/12)</f>
        <v>-4655947.5155680478</v>
      </c>
      <c r="AW34" s="145">
        <f>-Gastos!$F8/12*(1+Gastos!$F$17)^((AW$1-1)/12)</f>
        <v>-4674916.4220766425</v>
      </c>
      <c r="AX34" s="145">
        <f>-Gastos!$F8/12*(1+Gastos!$F$17)^((AX$1-1)/12)</f>
        <v>-4693962.6102583921</v>
      </c>
      <c r="AY34" s="145">
        <f>-Gastos!$F8/12*(1+Gastos!$F$17)^((AY$1-1)/12)</f>
        <v>-4713086.3949684016</v>
      </c>
      <c r="AZ34" s="145">
        <f>-Gastos!$F8/12*(1+Gastos!$F$17)^((AZ$1-1)/12)</f>
        <v>-4732288.0923445309</v>
      </c>
      <c r="BA34" s="145">
        <f>-Gastos!$F8/12*(1+Gastos!$F$17)^((BA$1-1)/12)</f>
        <v>-4751568.0198126286</v>
      </c>
      <c r="BB34" s="145">
        <f>-Gastos!$F8/12*(1+Gastos!$F$17)^((BB$1-1)/12)</f>
        <v>-4770926.49609177</v>
      </c>
      <c r="BC34" s="145">
        <f>-Gastos!$F8/12*(1+Gastos!$F$17)^((BC$1-1)/12)</f>
        <v>-4790363.8411995359</v>
      </c>
      <c r="BD34" s="145">
        <f>-Gastos!$F8/12*(1+Gastos!$F$17)^((BD$1-1)/12)</f>
        <v>-4809880.3764572944</v>
      </c>
      <c r="BE34" s="145">
        <f>-Gastos!$F8/12*(1+Gastos!$F$17)^((BE$1-1)/12)</f>
        <v>-4829476.4244955229</v>
      </c>
      <c r="BF34" s="145">
        <f>-Gastos!$F8/12*(1+Gastos!$F$17)^((BF$1-1)/12)</f>
        <v>-4849152.3092591288</v>
      </c>
      <c r="BG34" s="145">
        <f>-Gastos!$F8/12*(1+Gastos!$F$17)^((BG$1-1)/12)</f>
        <v>-4868908.3560128147</v>
      </c>
      <c r="BH34" s="145">
        <f>-Gastos!$F8/12*(1+Gastos!$F$17)^((BH$1-1)/12)</f>
        <v>-4888744.8913464509</v>
      </c>
      <c r="BI34" s="145">
        <f>-Gastos!$F8/12*(1+Gastos!$F$17)^((BI$1-1)/12)</f>
        <v>-4908662.2431804743</v>
      </c>
      <c r="BJ34" s="145">
        <f>-Gastos!$F8/12*(1+Gastos!$F$17)^((BJ$1-1)/12)</f>
        <v>-4928660.7407713123</v>
      </c>
      <c r="BK34" s="145">
        <f>-Gastos!$F8/12*(1+Gastos!$F$17)^((BK$1-1)/12)</f>
        <v>-4948740.7147168228</v>
      </c>
      <c r="BL34" s="145">
        <f>-Gastos!$F8/12*(1+Gastos!$F$17)^((BL$1-1)/12)</f>
        <v>-4968902.4969617585</v>
      </c>
      <c r="BM34" s="145">
        <f>-Gastos!$F8/12*(1+Gastos!$F$17)^((BM$1-1)/12)</f>
        <v>-4989146.4208032601</v>
      </c>
      <c r="BN34" s="145">
        <f>-Gastos!$F8/12*(1+Gastos!$F$17)^((BN$1-1)/12)</f>
        <v>-5009472.8208963592</v>
      </c>
      <c r="BO34" s="145">
        <f>-Gastos!$F8/12*(1+Gastos!$F$17)^((BO$1-1)/12)</f>
        <v>-5029882.0332595129</v>
      </c>
      <c r="BP34" s="145">
        <f>-Gastos!$F8/12*(1+Gastos!$F$17)^((BP$1-1)/12)</f>
        <v>-5050374.39528016</v>
      </c>
      <c r="BQ34" s="145">
        <f>-Gastos!$F8/12*(1+Gastos!$F$17)^((BQ$1-1)/12)</f>
        <v>-5070950.2457202999</v>
      </c>
      <c r="BR34" s="145">
        <f>-Gastos!$F8/12*(1+Gastos!$F$17)^((BR$1-1)/12)</f>
        <v>-5091609.9247220857</v>
      </c>
      <c r="BS34" s="145">
        <f>-Gastos!$F8/12*(1+Gastos!$F$17)^((BS$1-1)/12)</f>
        <v>-5112353.7738134563</v>
      </c>
      <c r="BT34" s="145">
        <f>-Gastos!$F8/12*(1+Gastos!$F$17)^((BT$1-1)/12)</f>
        <v>-5133182.1359137734</v>
      </c>
      <c r="BU34" s="145">
        <f>-Gastos!$F8/12*(1+Gastos!$F$17)^((BU$1-1)/12)</f>
        <v>-5154095.3553394983</v>
      </c>
      <c r="BV34" s="145">
        <f>-Gastos!$F8/12*(1+Gastos!$F$17)^((BV$1-1)/12)</f>
        <v>-5175093.7778098788</v>
      </c>
      <c r="BW34" s="145">
        <f>-Gastos!$F8/12*(1+Gastos!$F$17)^((BW$1-1)/12)</f>
        <v>-5196177.7504526637</v>
      </c>
      <c r="BX34" s="145">
        <f>-Gastos!$F8/12*(1+Gastos!$F$17)^((BX$1-1)/12)</f>
        <v>-5217347.6218098458</v>
      </c>
      <c r="BY34" s="145">
        <f>-Gastos!$F8/12*(1+Gastos!$F$17)^((BY$1-1)/12)</f>
        <v>-5238603.7418434238</v>
      </c>
      <c r="BZ34" s="145">
        <f>-Gastos!$F8/12*(1+Gastos!$F$17)^((BZ$1-1)/12)</f>
        <v>-5259946.461941177</v>
      </c>
      <c r="CA34" s="145">
        <f>-Gastos!$F8/12*(1+Gastos!$F$17)^((CA$1-1)/12)</f>
        <v>-5281376.1349224886</v>
      </c>
      <c r="CB34" s="145">
        <f>-Gastos!$F8/12*(1+Gastos!$F$17)^((CB$1-1)/12)</f>
        <v>-5302893.1150441682</v>
      </c>
      <c r="CC34" s="145">
        <f>-Gastos!$F8/12*(1+Gastos!$F$17)^((CC$1-1)/12)</f>
        <v>-5324497.7580063147</v>
      </c>
      <c r="CD34" s="145">
        <f>-Gastos!$F8/12*(1+Gastos!$F$17)^((CD$1-1)/12)</f>
        <v>-5346190.4209581902</v>
      </c>
      <c r="CE34" s="145">
        <f>-Gastos!$F8/12*(1+Gastos!$F$17)^((CE$1-1)/12)</f>
        <v>-5367971.4625041289</v>
      </c>
      <c r="CF34" s="145">
        <f>-Gastos!$F8/12*(1+Gastos!$F$17)^((CF$1-1)/12)</f>
        <v>-5389841.2427094625</v>
      </c>
      <c r="CG34" s="145">
        <f>-Gastos!$F8/12*(1+Gastos!$F$17)^((CG$1-1)/12)</f>
        <v>-5411800.1231064731</v>
      </c>
      <c r="CH34" s="145">
        <f>-Gastos!$F8/12*(1+Gastos!$F$17)^((CH$1-1)/12)</f>
        <v>-5433848.4667003723</v>
      </c>
      <c r="CI34" s="145">
        <f>-Gastos!$F8/12*(1+Gastos!$F$17)^((CI$1-1)/12)</f>
        <v>-5455986.6379752969</v>
      </c>
      <c r="CJ34" s="145">
        <f>-Gastos!$F8/12*(1+Gastos!$F$17)^((CJ$1-1)/12)</f>
        <v>-5478215.0029003387</v>
      </c>
      <c r="CK34" s="145">
        <f>-Gastos!$F8/12*(1+Gastos!$F$17)^((CK$1-1)/12)</f>
        <v>-5500533.9289355949</v>
      </c>
      <c r="CL34" s="145">
        <f>-Gastos!$F8/12*(1+Gastos!$F$17)^((CL$1-1)/12)</f>
        <v>-5522943.7850382365</v>
      </c>
      <c r="CM34" s="145">
        <f>-Gastos!$F8/12*(1+Gastos!$F$17)^((CM$1-1)/12)</f>
        <v>-5545444.9416686129</v>
      </c>
      <c r="CN34" s="145">
        <f>-Gastos!$F8/12*(1+Gastos!$F$17)^((CN$1-1)/12)</f>
        <v>-5568037.7707963763</v>
      </c>
      <c r="CO34" s="145">
        <f>-Gastos!$F8/12*(1+Gastos!$F$17)^((CO$1-1)/12)</f>
        <v>-5590722.6459066309</v>
      </c>
      <c r="CP34" s="145">
        <f>-Gastos!$F8/12*(1+Gastos!$F$17)^((CP$1-1)/12)</f>
        <v>-5613499.9420061</v>
      </c>
      <c r="CQ34" s="145">
        <f>-Gastos!$F8/12*(1+Gastos!$F$17)^((CQ$1-1)/12)</f>
        <v>-5636370.0356293358</v>
      </c>
      <c r="CR34" s="145">
        <f>-Gastos!$F8/12*(1+Gastos!$F$17)^((CR$1-1)/12)</f>
        <v>-5659333.3048449354</v>
      </c>
      <c r="CS34" s="145">
        <f>-Gastos!$F8/12*(1+Gastos!$F$17)^((CS$1-1)/12)</f>
        <v>-5682390.1292617973</v>
      </c>
      <c r="CT34" s="145">
        <f>-Gastos!$F8/12*(1+Gastos!$F$17)^((CT$1-1)/12)</f>
        <v>-5705540.8900353909</v>
      </c>
      <c r="CU34" s="145">
        <f>-Gastos!$F8/12*(1+Gastos!$F$17)^((CU$1-1)/12)</f>
        <v>-5728785.9698740626</v>
      </c>
      <c r="CV34" s="145">
        <f>-Gastos!$F8/12*(1+Gastos!$F$17)^((CV$1-1)/12)</f>
        <v>-5752125.753045355</v>
      </c>
      <c r="CW34" s="145">
        <f>-Gastos!$F8/12*(1+Gastos!$F$17)^((CW$1-1)/12)</f>
        <v>-5775560.625382375</v>
      </c>
      <c r="CX34" s="145">
        <f>-Gastos!$F8/12*(1+Gastos!$F$17)^((CX$1-1)/12)</f>
        <v>-5799090.9742901484</v>
      </c>
      <c r="CY34" s="145">
        <f>-Gastos!$F8/12*(1+Gastos!$F$17)^((CY$1-1)/12)</f>
        <v>-5822717.188752044</v>
      </c>
      <c r="CZ34" s="145">
        <f>-Gastos!$F8/12*(1+Gastos!$F$17)^((CZ$1-1)/12)</f>
        <v>-5846439.6593361963</v>
      </c>
      <c r="DA34" s="145">
        <f>-Gastos!$F8/12*(1+Gastos!$F$17)^((DA$1-1)/12)</f>
        <v>-5870258.7782019619</v>
      </c>
      <c r="DB34" s="145">
        <f>-Gastos!$F8/12*(1+Gastos!$F$17)^((DB$1-1)/12)</f>
        <v>-5894174.9391064048</v>
      </c>
      <c r="DC34" s="145">
        <f>-Gastos!$F8/12*(1+Gastos!$F$17)^((DC$1-1)/12)</f>
        <v>-5918188.5374108031</v>
      </c>
      <c r="DD34" s="145">
        <f>-Gastos!$F8/12*(1+Gastos!$F$17)^((DD$1-1)/12)</f>
        <v>-5942299.9700871827</v>
      </c>
      <c r="DE34" s="145">
        <f>-Gastos!$F8/12*(1+Gastos!$F$17)^((DE$1-1)/12)</f>
        <v>-5966509.6357248873</v>
      </c>
      <c r="DF34" s="145">
        <f>-Gastos!$F8/12*(1+Gastos!$F$17)^((DF$1-1)/12)</f>
        <v>-5990817.9345371611</v>
      </c>
      <c r="DG34" s="145">
        <f>-Gastos!$F8/12*(1+Gastos!$F$17)^((DG$1-1)/12)</f>
        <v>-6015225.2683677655</v>
      </c>
      <c r="DH34" s="145">
        <f>-Gastos!$F8/12*(1+Gastos!$F$17)^((DH$1-1)/12)</f>
        <v>-6039732.040697623</v>
      </c>
      <c r="DI34" s="145">
        <f>-Gastos!$F8/12*(1+Gastos!$F$17)^((DI$1-1)/12)</f>
        <v>-6064338.6566514941</v>
      </c>
      <c r="DJ34" s="145">
        <f>-Gastos!$F8/12*(1+Gastos!$F$17)^((DJ$1-1)/12)</f>
        <v>-6089045.5230046548</v>
      </c>
      <c r="DK34" s="145">
        <f>-Gastos!$F8/12*(1+Gastos!$F$17)^((DK$1-1)/12)</f>
        <v>-6113853.0481896456</v>
      </c>
      <c r="DL34" s="145">
        <f>-Gastos!$F8/12*(1+Gastos!$F$17)^((DL$1-1)/12)</f>
        <v>-6138761.6423030067</v>
      </c>
      <c r="DM34" s="145">
        <f>-Gastos!$F8/12*(1+Gastos!$F$17)^((DM$1-1)/12)</f>
        <v>-6163771.7171120606</v>
      </c>
      <c r="DN34" s="145">
        <f>-Gastos!$F8/12*(1+Gastos!$F$17)^((DN$1-1)/12)</f>
        <v>-6188883.686061726</v>
      </c>
      <c r="DO34" s="145">
        <f>-Gastos!$F8/12*(1+Gastos!$F$17)^((DO$1-1)/12)</f>
        <v>-6214097.9642813429</v>
      </c>
      <c r="DP34" s="145">
        <f>-Gastos!$F8/12*(1+Gastos!$F$17)^((DP$1-1)/12)</f>
        <v>-6239414.968591542</v>
      </c>
      <c r="DQ34" s="145">
        <f>-Gastos!$F8/12*(1+Gastos!$F$17)^((DQ$1-1)/12)</f>
        <v>-6264835.1175111318</v>
      </c>
      <c r="DR34" s="145">
        <f>-Gastos!$F8/12*(1+Gastos!$F$17)^((DR$1-1)/12)</f>
        <v>-6290358.831264019</v>
      </c>
      <c r="DS34" s="145">
        <f>-Gastos!$F8/12*(1+Gastos!$F$17)^((DS$1-1)/12)</f>
        <v>-6315986.531786154</v>
      </c>
      <c r="DT34" s="145">
        <f>-Gastos!$F8/12*(1+Gastos!$F$17)^((DT$1-1)/12)</f>
        <v>-6341718.6427325048</v>
      </c>
      <c r="DU34" s="145">
        <f>-Gastos!$F8/12*(1+Gastos!$F$17)^((DU$1-1)/12)</f>
        <v>-6367555.5894840695</v>
      </c>
      <c r="DV34" s="145">
        <f>-Gastos!$F8/12*(1+Gastos!$F$17)^((DV$1-1)/12)</f>
        <v>-6393497.7991548879</v>
      </c>
      <c r="DW34" s="145">
        <f>-Gastos!$F8/12*(1+Gastos!$F$17)^((DW$1-1)/12)</f>
        <v>-6419545.7005991293</v>
      </c>
      <c r="DX34" s="145">
        <f>-Gastos!$F8/12*(1+Gastos!$F$17)^((DX$1-1)/12)</f>
        <v>-6445699.7244181577</v>
      </c>
      <c r="DY34" s="145">
        <f>-Gastos!$F8/12*(1+Gastos!$F$17)^((DY$1-1)/12)</f>
        <v>-6471960.3029676639</v>
      </c>
      <c r="DZ34" s="145">
        <f>-Gastos!$F8/12*(1+Gastos!$F$17)^((DZ$1-1)/12)</f>
        <v>-6498327.8703648131</v>
      </c>
      <c r="EA34" s="145">
        <f>-Gastos!$F8/12*(1+Gastos!$F$17)^((EA$1-1)/12)</f>
        <v>-6524802.8624954103</v>
      </c>
      <c r="EB34" s="145">
        <f>-Gastos!$F8/12*(1+Gastos!$F$17)^((EB$1-1)/12)</f>
        <v>-6551385.7170211188</v>
      </c>
      <c r="EC34" s="145">
        <f>-Gastos!$F8/12*(1+Gastos!$F$17)^((EC$1-1)/12)</f>
        <v>-6578076.8733866895</v>
      </c>
      <c r="ED34" s="145">
        <f>-Gastos!$F8/12*(1+Gastos!$F$17)^((ED$1-1)/12)</f>
        <v>-6604876.7728272201</v>
      </c>
      <c r="EE34" s="146">
        <f>-Gastos!$F8/12*(1+Gastos!$F$17)^((EE$1-1)/12)</f>
        <v>-6631785.8583754627</v>
      </c>
    </row>
    <row r="35" spans="1:135" x14ac:dyDescent="0.25">
      <c r="A35" s="152">
        <f>SUMIF($C$1:$EE$1,"&lt;="&amp;Resumen!$K$19,'Flujo de caja mensual'!C35:EE35)</f>
        <v>0</v>
      </c>
      <c r="B35" s="5">
        <f>Gastos!E9</f>
        <v>0</v>
      </c>
      <c r="C35" s="144"/>
      <c r="D35" s="145">
        <f>-Gastos!$F9/12*(1+Gastos!$F$17)^((D$1-1)/12)</f>
        <v>0</v>
      </c>
      <c r="E35" s="145">
        <f>-Gastos!$F9/12*(1+Gastos!$F$17)^((E$1-1)/12)</f>
        <v>0</v>
      </c>
      <c r="F35" s="145">
        <f>-Gastos!$F9/12*(1+Gastos!$F$17)^((F$1-1)/12)</f>
        <v>0</v>
      </c>
      <c r="G35" s="145">
        <f>-Gastos!$F9/12*(1+Gastos!$F$17)^((G$1-1)/12)</f>
        <v>0</v>
      </c>
      <c r="H35" s="145">
        <f>-Gastos!$F9/12*(1+Gastos!$F$17)^((H$1-1)/12)</f>
        <v>0</v>
      </c>
      <c r="I35" s="145">
        <f>-Gastos!$F9/12*(1+Gastos!$F$17)^((I$1-1)/12)</f>
        <v>0</v>
      </c>
      <c r="J35" s="145">
        <f>-Gastos!$F9/12*(1+Gastos!$F$17)^((J$1-1)/12)</f>
        <v>0</v>
      </c>
      <c r="K35" s="145">
        <f>-Gastos!$F9/12*(1+Gastos!$F$17)^((K$1-1)/12)</f>
        <v>0</v>
      </c>
      <c r="L35" s="145">
        <f>-Gastos!$F9/12*(1+Gastos!$F$17)^((L$1-1)/12)</f>
        <v>0</v>
      </c>
      <c r="M35" s="145">
        <f>-Gastos!$F9/12*(1+Gastos!$F$17)^((M$1-1)/12)</f>
        <v>0</v>
      </c>
      <c r="N35" s="145">
        <f>-Gastos!$F9/12*(1+Gastos!$F$17)^((N$1-1)/12)</f>
        <v>0</v>
      </c>
      <c r="O35" s="145">
        <f>-Gastos!$F9/12*(1+Gastos!$F$17)^((O$1-1)/12)</f>
        <v>0</v>
      </c>
      <c r="P35" s="145">
        <f>-Gastos!$F9/12*(1+Gastos!$F$17)^((P$1-1)/12)</f>
        <v>0</v>
      </c>
      <c r="Q35" s="145">
        <f>-Gastos!$F9/12*(1+Gastos!$F$17)^((Q$1-1)/12)</f>
        <v>0</v>
      </c>
      <c r="R35" s="145">
        <f>-Gastos!$F9/12*(1+Gastos!$F$17)^((R$1-1)/12)</f>
        <v>0</v>
      </c>
      <c r="S35" s="145">
        <f>-Gastos!$F9/12*(1+Gastos!$F$17)^((S$1-1)/12)</f>
        <v>0</v>
      </c>
      <c r="T35" s="145">
        <f>-Gastos!$F9/12*(1+Gastos!$F$17)^((T$1-1)/12)</f>
        <v>0</v>
      </c>
      <c r="U35" s="145">
        <f>-Gastos!$F9/12*(1+Gastos!$F$17)^((U$1-1)/12)</f>
        <v>0</v>
      </c>
      <c r="V35" s="145">
        <f>-Gastos!$F9/12*(1+Gastos!$F$17)^((V$1-1)/12)</f>
        <v>0</v>
      </c>
      <c r="W35" s="145">
        <f>-Gastos!$F9/12*(1+Gastos!$F$17)^((W$1-1)/12)</f>
        <v>0</v>
      </c>
      <c r="X35" s="145">
        <f>-Gastos!$F9/12*(1+Gastos!$F$17)^((X$1-1)/12)</f>
        <v>0</v>
      </c>
      <c r="Y35" s="145">
        <f>-Gastos!$F9/12*(1+Gastos!$F$17)^((Y$1-1)/12)</f>
        <v>0</v>
      </c>
      <c r="Z35" s="145">
        <f>-Gastos!$F9/12*(1+Gastos!$F$17)^((Z$1-1)/12)</f>
        <v>0</v>
      </c>
      <c r="AA35" s="145">
        <f>-Gastos!$F9/12*(1+Gastos!$F$17)^((AA$1-1)/12)</f>
        <v>0</v>
      </c>
      <c r="AB35" s="145">
        <f>-Gastos!$F9/12*(1+Gastos!$F$17)^((AB$1-1)/12)</f>
        <v>0</v>
      </c>
      <c r="AC35" s="145">
        <f>-Gastos!$F9/12*(1+Gastos!$F$17)^((AC$1-1)/12)</f>
        <v>0</v>
      </c>
      <c r="AD35" s="145">
        <f>-Gastos!$F9/12*(1+Gastos!$F$17)^((AD$1-1)/12)</f>
        <v>0</v>
      </c>
      <c r="AE35" s="145">
        <f>-Gastos!$F9/12*(1+Gastos!$F$17)^((AE$1-1)/12)</f>
        <v>0</v>
      </c>
      <c r="AF35" s="145">
        <f>-Gastos!$F9/12*(1+Gastos!$F$17)^((AF$1-1)/12)</f>
        <v>0</v>
      </c>
      <c r="AG35" s="145">
        <f>-Gastos!$F9/12*(1+Gastos!$F$17)^((AG$1-1)/12)</f>
        <v>0</v>
      </c>
      <c r="AH35" s="145">
        <f>-Gastos!$F9/12*(1+Gastos!$F$17)^((AH$1-1)/12)</f>
        <v>0</v>
      </c>
      <c r="AI35" s="145">
        <f>-Gastos!$F9/12*(1+Gastos!$F$17)^((AI$1-1)/12)</f>
        <v>0</v>
      </c>
      <c r="AJ35" s="145">
        <f>-Gastos!$F9/12*(1+Gastos!$F$17)^((AJ$1-1)/12)</f>
        <v>0</v>
      </c>
      <c r="AK35" s="145">
        <f>-Gastos!$F9/12*(1+Gastos!$F$17)^((AK$1-1)/12)</f>
        <v>0</v>
      </c>
      <c r="AL35" s="145">
        <f>-Gastos!$F9/12*(1+Gastos!$F$17)^((AL$1-1)/12)</f>
        <v>0</v>
      </c>
      <c r="AM35" s="145">
        <f>-Gastos!$F9/12*(1+Gastos!$F$17)^((AM$1-1)/12)</f>
        <v>0</v>
      </c>
      <c r="AN35" s="145">
        <f>-Gastos!$F9/12*(1+Gastos!$F$17)^((AN$1-1)/12)</f>
        <v>0</v>
      </c>
      <c r="AO35" s="145">
        <f>-Gastos!$F9/12*(1+Gastos!$F$17)^((AO$1-1)/12)</f>
        <v>0</v>
      </c>
      <c r="AP35" s="145">
        <f>-Gastos!$F9/12*(1+Gastos!$F$17)^((AP$1-1)/12)</f>
        <v>0</v>
      </c>
      <c r="AQ35" s="145">
        <f>-Gastos!$F9/12*(1+Gastos!$F$17)^((AQ$1-1)/12)</f>
        <v>0</v>
      </c>
      <c r="AR35" s="145">
        <f>-Gastos!$F9/12*(1+Gastos!$F$17)^((AR$1-1)/12)</f>
        <v>0</v>
      </c>
      <c r="AS35" s="145">
        <f>-Gastos!$F9/12*(1+Gastos!$F$17)^((AS$1-1)/12)</f>
        <v>0</v>
      </c>
      <c r="AT35" s="145">
        <f>-Gastos!$F9/12*(1+Gastos!$F$17)^((AT$1-1)/12)</f>
        <v>0</v>
      </c>
      <c r="AU35" s="145">
        <f>-Gastos!$F9/12*(1+Gastos!$F$17)^((AU$1-1)/12)</f>
        <v>0</v>
      </c>
      <c r="AV35" s="145">
        <f>-Gastos!$F9/12*(1+Gastos!$F$17)^((AV$1-1)/12)</f>
        <v>0</v>
      </c>
      <c r="AW35" s="145">
        <f>-Gastos!$F9/12*(1+Gastos!$F$17)^((AW$1-1)/12)</f>
        <v>0</v>
      </c>
      <c r="AX35" s="145">
        <f>-Gastos!$F9/12*(1+Gastos!$F$17)^((AX$1-1)/12)</f>
        <v>0</v>
      </c>
      <c r="AY35" s="145">
        <f>-Gastos!$F9/12*(1+Gastos!$F$17)^((AY$1-1)/12)</f>
        <v>0</v>
      </c>
      <c r="AZ35" s="145">
        <f>-Gastos!$F9/12*(1+Gastos!$F$17)^((AZ$1-1)/12)</f>
        <v>0</v>
      </c>
      <c r="BA35" s="145">
        <f>-Gastos!$F9/12*(1+Gastos!$F$17)^((BA$1-1)/12)</f>
        <v>0</v>
      </c>
      <c r="BB35" s="145">
        <f>-Gastos!$F9/12*(1+Gastos!$F$17)^((BB$1-1)/12)</f>
        <v>0</v>
      </c>
      <c r="BC35" s="145">
        <f>-Gastos!$F9/12*(1+Gastos!$F$17)^((BC$1-1)/12)</f>
        <v>0</v>
      </c>
      <c r="BD35" s="145">
        <f>-Gastos!$F9/12*(1+Gastos!$F$17)^((BD$1-1)/12)</f>
        <v>0</v>
      </c>
      <c r="BE35" s="145">
        <f>-Gastos!$F9/12*(1+Gastos!$F$17)^((BE$1-1)/12)</f>
        <v>0</v>
      </c>
      <c r="BF35" s="145">
        <f>-Gastos!$F9/12*(1+Gastos!$F$17)^((BF$1-1)/12)</f>
        <v>0</v>
      </c>
      <c r="BG35" s="145">
        <f>-Gastos!$F9/12*(1+Gastos!$F$17)^((BG$1-1)/12)</f>
        <v>0</v>
      </c>
      <c r="BH35" s="145">
        <f>-Gastos!$F9/12*(1+Gastos!$F$17)^((BH$1-1)/12)</f>
        <v>0</v>
      </c>
      <c r="BI35" s="145">
        <f>-Gastos!$F9/12*(1+Gastos!$F$17)^((BI$1-1)/12)</f>
        <v>0</v>
      </c>
      <c r="BJ35" s="145">
        <f>-Gastos!$F9/12*(1+Gastos!$F$17)^((BJ$1-1)/12)</f>
        <v>0</v>
      </c>
      <c r="BK35" s="145">
        <f>-Gastos!$F9/12*(1+Gastos!$F$17)^((BK$1-1)/12)</f>
        <v>0</v>
      </c>
      <c r="BL35" s="145">
        <f>-Gastos!$F9/12*(1+Gastos!$F$17)^((BL$1-1)/12)</f>
        <v>0</v>
      </c>
      <c r="BM35" s="145">
        <f>-Gastos!$F9/12*(1+Gastos!$F$17)^((BM$1-1)/12)</f>
        <v>0</v>
      </c>
      <c r="BN35" s="145">
        <f>-Gastos!$F9/12*(1+Gastos!$F$17)^((BN$1-1)/12)</f>
        <v>0</v>
      </c>
      <c r="BO35" s="145">
        <f>-Gastos!$F9/12*(1+Gastos!$F$17)^((BO$1-1)/12)</f>
        <v>0</v>
      </c>
      <c r="BP35" s="145">
        <f>-Gastos!$F9/12*(1+Gastos!$F$17)^((BP$1-1)/12)</f>
        <v>0</v>
      </c>
      <c r="BQ35" s="145">
        <f>-Gastos!$F9/12*(1+Gastos!$F$17)^((BQ$1-1)/12)</f>
        <v>0</v>
      </c>
      <c r="BR35" s="145">
        <f>-Gastos!$F9/12*(1+Gastos!$F$17)^((BR$1-1)/12)</f>
        <v>0</v>
      </c>
      <c r="BS35" s="145">
        <f>-Gastos!$F9/12*(1+Gastos!$F$17)^((BS$1-1)/12)</f>
        <v>0</v>
      </c>
      <c r="BT35" s="145">
        <f>-Gastos!$F9/12*(1+Gastos!$F$17)^((BT$1-1)/12)</f>
        <v>0</v>
      </c>
      <c r="BU35" s="145">
        <f>-Gastos!$F9/12*(1+Gastos!$F$17)^((BU$1-1)/12)</f>
        <v>0</v>
      </c>
      <c r="BV35" s="145">
        <f>-Gastos!$F9/12*(1+Gastos!$F$17)^((BV$1-1)/12)</f>
        <v>0</v>
      </c>
      <c r="BW35" s="145">
        <f>-Gastos!$F9/12*(1+Gastos!$F$17)^((BW$1-1)/12)</f>
        <v>0</v>
      </c>
      <c r="BX35" s="145">
        <f>-Gastos!$F9/12*(1+Gastos!$F$17)^((BX$1-1)/12)</f>
        <v>0</v>
      </c>
      <c r="BY35" s="145">
        <f>-Gastos!$F9/12*(1+Gastos!$F$17)^((BY$1-1)/12)</f>
        <v>0</v>
      </c>
      <c r="BZ35" s="145">
        <f>-Gastos!$F9/12*(1+Gastos!$F$17)^((BZ$1-1)/12)</f>
        <v>0</v>
      </c>
      <c r="CA35" s="145">
        <f>-Gastos!$F9/12*(1+Gastos!$F$17)^((CA$1-1)/12)</f>
        <v>0</v>
      </c>
      <c r="CB35" s="145">
        <f>-Gastos!$F9/12*(1+Gastos!$F$17)^((CB$1-1)/12)</f>
        <v>0</v>
      </c>
      <c r="CC35" s="145">
        <f>-Gastos!$F9/12*(1+Gastos!$F$17)^((CC$1-1)/12)</f>
        <v>0</v>
      </c>
      <c r="CD35" s="145">
        <f>-Gastos!$F9/12*(1+Gastos!$F$17)^((CD$1-1)/12)</f>
        <v>0</v>
      </c>
      <c r="CE35" s="145">
        <f>-Gastos!$F9/12*(1+Gastos!$F$17)^((CE$1-1)/12)</f>
        <v>0</v>
      </c>
      <c r="CF35" s="145">
        <f>-Gastos!$F9/12*(1+Gastos!$F$17)^((CF$1-1)/12)</f>
        <v>0</v>
      </c>
      <c r="CG35" s="145">
        <f>-Gastos!$F9/12*(1+Gastos!$F$17)^((CG$1-1)/12)</f>
        <v>0</v>
      </c>
      <c r="CH35" s="145">
        <f>-Gastos!$F9/12*(1+Gastos!$F$17)^((CH$1-1)/12)</f>
        <v>0</v>
      </c>
      <c r="CI35" s="145">
        <f>-Gastos!$F9/12*(1+Gastos!$F$17)^((CI$1-1)/12)</f>
        <v>0</v>
      </c>
      <c r="CJ35" s="145">
        <f>-Gastos!$F9/12*(1+Gastos!$F$17)^((CJ$1-1)/12)</f>
        <v>0</v>
      </c>
      <c r="CK35" s="145">
        <f>-Gastos!$F9/12*(1+Gastos!$F$17)^((CK$1-1)/12)</f>
        <v>0</v>
      </c>
      <c r="CL35" s="145">
        <f>-Gastos!$F9/12*(1+Gastos!$F$17)^((CL$1-1)/12)</f>
        <v>0</v>
      </c>
      <c r="CM35" s="145">
        <f>-Gastos!$F9/12*(1+Gastos!$F$17)^((CM$1-1)/12)</f>
        <v>0</v>
      </c>
      <c r="CN35" s="145">
        <f>-Gastos!$F9/12*(1+Gastos!$F$17)^((CN$1-1)/12)</f>
        <v>0</v>
      </c>
      <c r="CO35" s="145">
        <f>-Gastos!$F9/12*(1+Gastos!$F$17)^((CO$1-1)/12)</f>
        <v>0</v>
      </c>
      <c r="CP35" s="145">
        <f>-Gastos!$F9/12*(1+Gastos!$F$17)^((CP$1-1)/12)</f>
        <v>0</v>
      </c>
      <c r="CQ35" s="145">
        <f>-Gastos!$F9/12*(1+Gastos!$F$17)^((CQ$1-1)/12)</f>
        <v>0</v>
      </c>
      <c r="CR35" s="145">
        <f>-Gastos!$F9/12*(1+Gastos!$F$17)^((CR$1-1)/12)</f>
        <v>0</v>
      </c>
      <c r="CS35" s="145">
        <f>-Gastos!$F9/12*(1+Gastos!$F$17)^((CS$1-1)/12)</f>
        <v>0</v>
      </c>
      <c r="CT35" s="145">
        <f>-Gastos!$F9/12*(1+Gastos!$F$17)^((CT$1-1)/12)</f>
        <v>0</v>
      </c>
      <c r="CU35" s="145">
        <f>-Gastos!$F9/12*(1+Gastos!$F$17)^((CU$1-1)/12)</f>
        <v>0</v>
      </c>
      <c r="CV35" s="145">
        <f>-Gastos!$F9/12*(1+Gastos!$F$17)^((CV$1-1)/12)</f>
        <v>0</v>
      </c>
      <c r="CW35" s="145">
        <f>-Gastos!$F9/12*(1+Gastos!$F$17)^((CW$1-1)/12)</f>
        <v>0</v>
      </c>
      <c r="CX35" s="145">
        <f>-Gastos!$F9/12*(1+Gastos!$F$17)^((CX$1-1)/12)</f>
        <v>0</v>
      </c>
      <c r="CY35" s="145">
        <f>-Gastos!$F9/12*(1+Gastos!$F$17)^((CY$1-1)/12)</f>
        <v>0</v>
      </c>
      <c r="CZ35" s="145">
        <f>-Gastos!$F9/12*(1+Gastos!$F$17)^((CZ$1-1)/12)</f>
        <v>0</v>
      </c>
      <c r="DA35" s="145">
        <f>-Gastos!$F9/12*(1+Gastos!$F$17)^((DA$1-1)/12)</f>
        <v>0</v>
      </c>
      <c r="DB35" s="145">
        <f>-Gastos!$F9/12*(1+Gastos!$F$17)^((DB$1-1)/12)</f>
        <v>0</v>
      </c>
      <c r="DC35" s="145">
        <f>-Gastos!$F9/12*(1+Gastos!$F$17)^((DC$1-1)/12)</f>
        <v>0</v>
      </c>
      <c r="DD35" s="145">
        <f>-Gastos!$F9/12*(1+Gastos!$F$17)^((DD$1-1)/12)</f>
        <v>0</v>
      </c>
      <c r="DE35" s="145">
        <f>-Gastos!$F9/12*(1+Gastos!$F$17)^((DE$1-1)/12)</f>
        <v>0</v>
      </c>
      <c r="DF35" s="145">
        <f>-Gastos!$F9/12*(1+Gastos!$F$17)^((DF$1-1)/12)</f>
        <v>0</v>
      </c>
      <c r="DG35" s="145">
        <f>-Gastos!$F9/12*(1+Gastos!$F$17)^((DG$1-1)/12)</f>
        <v>0</v>
      </c>
      <c r="DH35" s="145">
        <f>-Gastos!$F9/12*(1+Gastos!$F$17)^((DH$1-1)/12)</f>
        <v>0</v>
      </c>
      <c r="DI35" s="145">
        <f>-Gastos!$F9/12*(1+Gastos!$F$17)^((DI$1-1)/12)</f>
        <v>0</v>
      </c>
      <c r="DJ35" s="145">
        <f>-Gastos!$F9/12*(1+Gastos!$F$17)^((DJ$1-1)/12)</f>
        <v>0</v>
      </c>
      <c r="DK35" s="145">
        <f>-Gastos!$F9/12*(1+Gastos!$F$17)^((DK$1-1)/12)</f>
        <v>0</v>
      </c>
      <c r="DL35" s="145">
        <f>-Gastos!$F9/12*(1+Gastos!$F$17)^((DL$1-1)/12)</f>
        <v>0</v>
      </c>
      <c r="DM35" s="145">
        <f>-Gastos!$F9/12*(1+Gastos!$F$17)^((DM$1-1)/12)</f>
        <v>0</v>
      </c>
      <c r="DN35" s="145">
        <f>-Gastos!$F9/12*(1+Gastos!$F$17)^((DN$1-1)/12)</f>
        <v>0</v>
      </c>
      <c r="DO35" s="145">
        <f>-Gastos!$F9/12*(1+Gastos!$F$17)^((DO$1-1)/12)</f>
        <v>0</v>
      </c>
      <c r="DP35" s="145">
        <f>-Gastos!$F9/12*(1+Gastos!$F$17)^((DP$1-1)/12)</f>
        <v>0</v>
      </c>
      <c r="DQ35" s="145">
        <f>-Gastos!$F9/12*(1+Gastos!$F$17)^((DQ$1-1)/12)</f>
        <v>0</v>
      </c>
      <c r="DR35" s="145">
        <f>-Gastos!$F9/12*(1+Gastos!$F$17)^((DR$1-1)/12)</f>
        <v>0</v>
      </c>
      <c r="DS35" s="145">
        <f>-Gastos!$F9/12*(1+Gastos!$F$17)^((DS$1-1)/12)</f>
        <v>0</v>
      </c>
      <c r="DT35" s="145">
        <f>-Gastos!$F9/12*(1+Gastos!$F$17)^((DT$1-1)/12)</f>
        <v>0</v>
      </c>
      <c r="DU35" s="145">
        <f>-Gastos!$F9/12*(1+Gastos!$F$17)^((DU$1-1)/12)</f>
        <v>0</v>
      </c>
      <c r="DV35" s="145">
        <f>-Gastos!$F9/12*(1+Gastos!$F$17)^((DV$1-1)/12)</f>
        <v>0</v>
      </c>
      <c r="DW35" s="145">
        <f>-Gastos!$F9/12*(1+Gastos!$F$17)^((DW$1-1)/12)</f>
        <v>0</v>
      </c>
      <c r="DX35" s="145">
        <f>-Gastos!$F9/12*(1+Gastos!$F$17)^((DX$1-1)/12)</f>
        <v>0</v>
      </c>
      <c r="DY35" s="145">
        <f>-Gastos!$F9/12*(1+Gastos!$F$17)^((DY$1-1)/12)</f>
        <v>0</v>
      </c>
      <c r="DZ35" s="145">
        <f>-Gastos!$F9/12*(1+Gastos!$F$17)^((DZ$1-1)/12)</f>
        <v>0</v>
      </c>
      <c r="EA35" s="145">
        <f>-Gastos!$F9/12*(1+Gastos!$F$17)^((EA$1-1)/12)</f>
        <v>0</v>
      </c>
      <c r="EB35" s="145">
        <f>-Gastos!$F9/12*(1+Gastos!$F$17)^((EB$1-1)/12)</f>
        <v>0</v>
      </c>
      <c r="EC35" s="145">
        <f>-Gastos!$F9/12*(1+Gastos!$F$17)^((EC$1-1)/12)</f>
        <v>0</v>
      </c>
      <c r="ED35" s="145">
        <f>-Gastos!$F9/12*(1+Gastos!$F$17)^((ED$1-1)/12)</f>
        <v>0</v>
      </c>
      <c r="EE35" s="146">
        <f>-Gastos!$F9/12*(1+Gastos!$F$17)^((EE$1-1)/12)</f>
        <v>0</v>
      </c>
    </row>
    <row r="36" spans="1:135" x14ac:dyDescent="0.25">
      <c r="A36" s="152">
        <f>SUMIF($C$1:$EE$1,"&lt;="&amp;Resumen!$K$19,'Flujo de caja mensual'!C36:EE36)</f>
        <v>-2855762464.7144938</v>
      </c>
      <c r="B36" s="5" t="str">
        <f>Gastos!E10</f>
        <v>Servicios Publicos</v>
      </c>
      <c r="C36" s="144"/>
      <c r="D36" s="145">
        <f>-Gastos!$F10/12*(1+Gastos!$F$17)^((D$1-1)/12)</f>
        <v>-18500284.916666668</v>
      </c>
      <c r="E36" s="145">
        <f>-Gastos!$F10/12*(1+Gastos!$F$17)^((E$1-1)/12)</f>
        <v>-18575657.367449932</v>
      </c>
      <c r="F36" s="145">
        <f>-Gastos!$F10/12*(1+Gastos!$F$17)^((F$1-1)/12)</f>
        <v>-18651336.894927558</v>
      </c>
      <c r="G36" s="145">
        <f>-Gastos!$F10/12*(1+Gastos!$F$17)^((G$1-1)/12)</f>
        <v>-18727324.750168022</v>
      </c>
      <c r="H36" s="145">
        <f>-Gastos!$F10/12*(1+Gastos!$F$17)^((H$1-1)/12)</f>
        <v>-18803622.189336788</v>
      </c>
      <c r="I36" s="145">
        <f>-Gastos!$F10/12*(1+Gastos!$F$17)^((I$1-1)/12)</f>
        <v>-18880230.473717097</v>
      </c>
      <c r="J36" s="145">
        <f>-Gastos!$F10/12*(1+Gastos!$F$17)^((J$1-1)/12)</f>
        <v>-18957150.869730834</v>
      </c>
      <c r="K36" s="145">
        <f>-Gastos!$F10/12*(1+Gastos!$F$17)^((K$1-1)/12)</f>
        <v>-19034384.648959413</v>
      </c>
      <c r="L36" s="145">
        <f>-Gastos!$F10/12*(1+Gastos!$F$17)^((L$1-1)/12)</f>
        <v>-19111933.088164847</v>
      </c>
      <c r="M36" s="145">
        <f>-Gastos!$F10/12*(1+Gastos!$F$17)^((M$1-1)/12)</f>
        <v>-19189797.469310835</v>
      </c>
      <c r="N36" s="145">
        <f>-Gastos!$F10/12*(1+Gastos!$F$17)^((N$1-1)/12)</f>
        <v>-19267979.07958395</v>
      </c>
      <c r="O36" s="145">
        <f>-Gastos!$F10/12*(1+Gastos!$F$17)^((O$1-1)/12)</f>
        <v>-19346479.211414922</v>
      </c>
      <c r="P36" s="145">
        <f>-Gastos!$F10/12*(1+Gastos!$F$17)^((P$1-1)/12)</f>
        <v>-19425299.162500001</v>
      </c>
      <c r="Q36" s="145">
        <f>-Gastos!$F10/12*(1+Gastos!$F$17)^((Q$1-1)/12)</f>
        <v>-19504440.235822428</v>
      </c>
      <c r="R36" s="145">
        <f>-Gastos!$F10/12*(1+Gastos!$F$17)^((R$1-1)/12)</f>
        <v>-19583903.739673939</v>
      </c>
      <c r="S36" s="145">
        <f>-Gastos!$F10/12*(1+Gastos!$F$17)^((S$1-1)/12)</f>
        <v>-19663690.987676423</v>
      </c>
      <c r="T36" s="145">
        <f>-Gastos!$F10/12*(1+Gastos!$F$17)^((T$1-1)/12)</f>
        <v>-19743803.298803627</v>
      </c>
      <c r="U36" s="145">
        <f>-Gastos!$F10/12*(1+Gastos!$F$17)^((U$1-1)/12)</f>
        <v>-19824241.997402955</v>
      </c>
      <c r="V36" s="145">
        <f>-Gastos!$F10/12*(1+Gastos!$F$17)^((V$1-1)/12)</f>
        <v>-19905008.413217373</v>
      </c>
      <c r="W36" s="145">
        <f>-Gastos!$F10/12*(1+Gastos!$F$17)^((W$1-1)/12)</f>
        <v>-19986103.881407384</v>
      </c>
      <c r="X36" s="145">
        <f>-Gastos!$F10/12*(1+Gastos!$F$17)^((X$1-1)/12)</f>
        <v>-20067529.74257309</v>
      </c>
      <c r="Y36" s="145">
        <f>-Gastos!$F10/12*(1+Gastos!$F$17)^((Y$1-1)/12)</f>
        <v>-20149287.342776377</v>
      </c>
      <c r="Z36" s="145">
        <f>-Gastos!$F10/12*(1+Gastos!$F$17)^((Z$1-1)/12)</f>
        <v>-20231378.033563148</v>
      </c>
      <c r="AA36" s="145">
        <f>-Gastos!$F10/12*(1+Gastos!$F$17)^((AA$1-1)/12)</f>
        <v>-20313803.171985667</v>
      </c>
      <c r="AB36" s="145">
        <f>-Gastos!$F10/12*(1+Gastos!$F$17)^((AB$1-1)/12)</f>
        <v>-20396564.120625</v>
      </c>
      <c r="AC36" s="145">
        <f>-Gastos!$F10/12*(1+Gastos!$F$17)^((AC$1-1)/12)</f>
        <v>-20479662.247613549</v>
      </c>
      <c r="AD36" s="145">
        <f>-Gastos!$F10/12*(1+Gastos!$F$17)^((AD$1-1)/12)</f>
        <v>-20563098.926657636</v>
      </c>
      <c r="AE36" s="145">
        <f>-Gastos!$F10/12*(1+Gastos!$F$17)^((AE$1-1)/12)</f>
        <v>-20646875.537060246</v>
      </c>
      <c r="AF36" s="145">
        <f>-Gastos!$F10/12*(1+Gastos!$F$17)^((AF$1-1)/12)</f>
        <v>-20730993.46374381</v>
      </c>
      <c r="AG36" s="145">
        <f>-Gastos!$F10/12*(1+Gastos!$F$17)^((AG$1-1)/12)</f>
        <v>-20815454.097273104</v>
      </c>
      <c r="AH36" s="145">
        <f>-Gastos!$F10/12*(1+Gastos!$F$17)^((AH$1-1)/12)</f>
        <v>-20900258.833878245</v>
      </c>
      <c r="AI36" s="145">
        <f>-Gastos!$F10/12*(1+Gastos!$F$17)^((AI$1-1)/12)</f>
        <v>-20985409.075477757</v>
      </c>
      <c r="AJ36" s="145">
        <f>-Gastos!$F10/12*(1+Gastos!$F$17)^((AJ$1-1)/12)</f>
        <v>-21070906.229701746</v>
      </c>
      <c r="AK36" s="145">
        <f>-Gastos!$F10/12*(1+Gastos!$F$17)^((AK$1-1)/12)</f>
        <v>-21156751.709915198</v>
      </c>
      <c r="AL36" s="145">
        <f>-Gastos!$F10/12*(1+Gastos!$F$17)^((AL$1-1)/12)</f>
        <v>-21242946.935241304</v>
      </c>
      <c r="AM36" s="145">
        <f>-Gastos!$F10/12*(1+Gastos!$F$17)^((AM$1-1)/12)</f>
        <v>-21329493.330584951</v>
      </c>
      <c r="AN36" s="145">
        <f>-Gastos!$F10/12*(1+Gastos!$F$17)^((AN$1-1)/12)</f>
        <v>-21416392.326656252</v>
      </c>
      <c r="AO36" s="145">
        <f>-Gastos!$F10/12*(1+Gastos!$F$17)^((AO$1-1)/12)</f>
        <v>-21503645.359994225</v>
      </c>
      <c r="AP36" s="145">
        <f>-Gastos!$F10/12*(1+Gastos!$F$17)^((AP$1-1)/12)</f>
        <v>-21591253.872990515</v>
      </c>
      <c r="AQ36" s="145">
        <f>-Gastos!$F10/12*(1+Gastos!$F$17)^((AQ$1-1)/12)</f>
        <v>-21679219.31391326</v>
      </c>
      <c r="AR36" s="145">
        <f>-Gastos!$F10/12*(1+Gastos!$F$17)^((AR$1-1)/12)</f>
        <v>-21767543.136930998</v>
      </c>
      <c r="AS36" s="145">
        <f>-Gastos!$F10/12*(1+Gastos!$F$17)^((AS$1-1)/12)</f>
        <v>-21856226.80213676</v>
      </c>
      <c r="AT36" s="145">
        <f>-Gastos!$F10/12*(1+Gastos!$F$17)^((AT$1-1)/12)</f>
        <v>-21945271.775572158</v>
      </c>
      <c r="AU36" s="145">
        <f>-Gastos!$F10/12*(1+Gastos!$F$17)^((AU$1-1)/12)</f>
        <v>-22034679.529251643</v>
      </c>
      <c r="AV36" s="145">
        <f>-Gastos!$F10/12*(1+Gastos!$F$17)^((AV$1-1)/12)</f>
        <v>-22124451.541186832</v>
      </c>
      <c r="AW36" s="145">
        <f>-Gastos!$F10/12*(1+Gastos!$F$17)^((AW$1-1)/12)</f>
        <v>-22214589.295410961</v>
      </c>
      <c r="AX36" s="145">
        <f>-Gastos!$F10/12*(1+Gastos!$F$17)^((AX$1-1)/12)</f>
        <v>-22305094.282003369</v>
      </c>
      <c r="AY36" s="145">
        <f>-Gastos!$F10/12*(1+Gastos!$F$17)^((AY$1-1)/12)</f>
        <v>-22395967.997114196</v>
      </c>
      <c r="AZ36" s="145">
        <f>-Gastos!$F10/12*(1+Gastos!$F$17)^((AZ$1-1)/12)</f>
        <v>-22487211.942989063</v>
      </c>
      <c r="BA36" s="145">
        <f>-Gastos!$F10/12*(1+Gastos!$F$17)^((BA$1-1)/12)</f>
        <v>-22578827.627993941</v>
      </c>
      <c r="BB36" s="145">
        <f>-Gastos!$F10/12*(1+Gastos!$F$17)^((BB$1-1)/12)</f>
        <v>-22670816.566640045</v>
      </c>
      <c r="BC36" s="145">
        <f>-Gastos!$F10/12*(1+Gastos!$F$17)^((BC$1-1)/12)</f>
        <v>-22763180.279608924</v>
      </c>
      <c r="BD36" s="145">
        <f>-Gastos!$F10/12*(1+Gastos!$F$17)^((BD$1-1)/12)</f>
        <v>-22855920.293777548</v>
      </c>
      <c r="BE36" s="145">
        <f>-Gastos!$F10/12*(1+Gastos!$F$17)^((BE$1-1)/12)</f>
        <v>-22949038.142243598</v>
      </c>
      <c r="BF36" s="145">
        <f>-Gastos!$F10/12*(1+Gastos!$F$17)^((BF$1-1)/12)</f>
        <v>-23042535.364350766</v>
      </c>
      <c r="BG36" s="145">
        <f>-Gastos!$F10/12*(1+Gastos!$F$17)^((BG$1-1)/12)</f>
        <v>-23136413.505714223</v>
      </c>
      <c r="BH36" s="145">
        <f>-Gastos!$F10/12*(1+Gastos!$F$17)^((BH$1-1)/12)</f>
        <v>-23230674.118246179</v>
      </c>
      <c r="BI36" s="145">
        <f>-Gastos!$F10/12*(1+Gastos!$F$17)^((BI$1-1)/12)</f>
        <v>-23325318.760181509</v>
      </c>
      <c r="BJ36" s="145">
        <f>-Gastos!$F10/12*(1+Gastos!$F$17)^((BJ$1-1)/12)</f>
        <v>-23420348.99610354</v>
      </c>
      <c r="BK36" s="145">
        <f>-Gastos!$F10/12*(1+Gastos!$F$17)^((BK$1-1)/12)</f>
        <v>-23515766.396969911</v>
      </c>
      <c r="BL36" s="145">
        <f>-Gastos!$F10/12*(1+Gastos!$F$17)^((BL$1-1)/12)</f>
        <v>-23611572.54013852</v>
      </c>
      <c r="BM36" s="145">
        <f>-Gastos!$F10/12*(1+Gastos!$F$17)^((BM$1-1)/12)</f>
        <v>-23707769.009393636</v>
      </c>
      <c r="BN36" s="145">
        <f>-Gastos!$F10/12*(1+Gastos!$F$17)^((BN$1-1)/12)</f>
        <v>-23804357.394972052</v>
      </c>
      <c r="BO36" s="145">
        <f>-Gastos!$F10/12*(1+Gastos!$F$17)^((BO$1-1)/12)</f>
        <v>-23901339.293589368</v>
      </c>
      <c r="BP36" s="145">
        <f>-Gastos!$F10/12*(1+Gastos!$F$17)^((BP$1-1)/12)</f>
        <v>-23998716.308466427</v>
      </c>
      <c r="BQ36" s="145">
        <f>-Gastos!$F10/12*(1+Gastos!$F$17)^((BQ$1-1)/12)</f>
        <v>-24096490.049355783</v>
      </c>
      <c r="BR36" s="145">
        <f>-Gastos!$F10/12*(1+Gastos!$F$17)^((BR$1-1)/12)</f>
        <v>-24194662.132568307</v>
      </c>
      <c r="BS36" s="145">
        <f>-Gastos!$F10/12*(1+Gastos!$F$17)^((BS$1-1)/12)</f>
        <v>-24293234.180999938</v>
      </c>
      <c r="BT36" s="145">
        <f>-Gastos!$F10/12*(1+Gastos!$F$17)^((BT$1-1)/12)</f>
        <v>-24392207.824158486</v>
      </c>
      <c r="BU36" s="145">
        <f>-Gastos!$F10/12*(1+Gastos!$F$17)^((BU$1-1)/12)</f>
        <v>-24491584.698190585</v>
      </c>
      <c r="BV36" s="145">
        <f>-Gastos!$F10/12*(1+Gastos!$F$17)^((BV$1-1)/12)</f>
        <v>-24591366.445908722</v>
      </c>
      <c r="BW36" s="145">
        <f>-Gastos!$F10/12*(1+Gastos!$F$17)^((BW$1-1)/12)</f>
        <v>-24691554.716818407</v>
      </c>
      <c r="BX36" s="145">
        <f>-Gastos!$F10/12*(1+Gastos!$F$17)^((BX$1-1)/12)</f>
        <v>-24792151.167145442</v>
      </c>
      <c r="BY36" s="145">
        <f>-Gastos!$F10/12*(1+Gastos!$F$17)^((BY$1-1)/12)</f>
        <v>-24893157.45986332</v>
      </c>
      <c r="BZ36" s="145">
        <f>-Gastos!$F10/12*(1+Gastos!$F$17)^((BZ$1-1)/12)</f>
        <v>-24994575.264720652</v>
      </c>
      <c r="CA36" s="145">
        <f>-Gastos!$F10/12*(1+Gastos!$F$17)^((CA$1-1)/12)</f>
        <v>-25096406.258268841</v>
      </c>
      <c r="CB36" s="145">
        <f>-Gastos!$F10/12*(1+Gastos!$F$17)^((CB$1-1)/12)</f>
        <v>-25198652.123889748</v>
      </c>
      <c r="CC36" s="145">
        <f>-Gastos!$F10/12*(1+Gastos!$F$17)^((CC$1-1)/12)</f>
        <v>-25301314.551823571</v>
      </c>
      <c r="CD36" s="145">
        <f>-Gastos!$F10/12*(1+Gastos!$F$17)^((CD$1-1)/12)</f>
        <v>-25404395.239196721</v>
      </c>
      <c r="CE36" s="145">
        <f>-Gastos!$F10/12*(1+Gastos!$F$17)^((CE$1-1)/12)</f>
        <v>-25507895.890049938</v>
      </c>
      <c r="CF36" s="145">
        <f>-Gastos!$F10/12*(1+Gastos!$F$17)^((CF$1-1)/12)</f>
        <v>-25611818.215366416</v>
      </c>
      <c r="CG36" s="145">
        <f>-Gastos!$F10/12*(1+Gastos!$F$17)^((CG$1-1)/12)</f>
        <v>-25716163.933100112</v>
      </c>
      <c r="CH36" s="145">
        <f>-Gastos!$F10/12*(1+Gastos!$F$17)^((CH$1-1)/12)</f>
        <v>-25820934.768204156</v>
      </c>
      <c r="CI36" s="145">
        <f>-Gastos!$F10/12*(1+Gastos!$F$17)^((CI$1-1)/12)</f>
        <v>-25926132.452659328</v>
      </c>
      <c r="CJ36" s="145">
        <f>-Gastos!$F10/12*(1+Gastos!$F$17)^((CJ$1-1)/12)</f>
        <v>-26031758.725502718</v>
      </c>
      <c r="CK36" s="145">
        <f>-Gastos!$F10/12*(1+Gastos!$F$17)^((CK$1-1)/12)</f>
        <v>-26137815.332856487</v>
      </c>
      <c r="CL36" s="145">
        <f>-Gastos!$F10/12*(1+Gastos!$F$17)^((CL$1-1)/12)</f>
        <v>-26244304.027956691</v>
      </c>
      <c r="CM36" s="145">
        <f>-Gastos!$F10/12*(1+Gastos!$F$17)^((CM$1-1)/12)</f>
        <v>-26351226.571182285</v>
      </c>
      <c r="CN36" s="145">
        <f>-Gastos!$F10/12*(1+Gastos!$F$17)^((CN$1-1)/12)</f>
        <v>-26458584.730084237</v>
      </c>
      <c r="CO36" s="145">
        <f>-Gastos!$F10/12*(1+Gastos!$F$17)^((CO$1-1)/12)</f>
        <v>-26566380.279414751</v>
      </c>
      <c r="CP36" s="145">
        <f>-Gastos!$F10/12*(1+Gastos!$F$17)^((CP$1-1)/12)</f>
        <v>-26674615.001156561</v>
      </c>
      <c r="CQ36" s="145">
        <f>-Gastos!$F10/12*(1+Gastos!$F$17)^((CQ$1-1)/12)</f>
        <v>-26783290.684552435</v>
      </c>
      <c r="CR36" s="145">
        <f>-Gastos!$F10/12*(1+Gastos!$F$17)^((CR$1-1)/12)</f>
        <v>-26892409.126134735</v>
      </c>
      <c r="CS36" s="145">
        <f>-Gastos!$F10/12*(1+Gastos!$F$17)^((CS$1-1)/12)</f>
        <v>-27001972.129755121</v>
      </c>
      <c r="CT36" s="145">
        <f>-Gastos!$F10/12*(1+Gastos!$F$17)^((CT$1-1)/12)</f>
        <v>-27111981.506614365</v>
      </c>
      <c r="CU36" s="145">
        <f>-Gastos!$F10/12*(1+Gastos!$F$17)^((CU$1-1)/12)</f>
        <v>-27222439.075292297</v>
      </c>
      <c r="CV36" s="145">
        <f>-Gastos!$F10/12*(1+Gastos!$F$17)^((CV$1-1)/12)</f>
        <v>-27333346.661777854</v>
      </c>
      <c r="CW36" s="145">
        <f>-Gastos!$F10/12*(1+Gastos!$F$17)^((CW$1-1)/12)</f>
        <v>-27444706.099499315</v>
      </c>
      <c r="CX36" s="145">
        <f>-Gastos!$F10/12*(1+Gastos!$F$17)^((CX$1-1)/12)</f>
        <v>-27556519.229354523</v>
      </c>
      <c r="CY36" s="145">
        <f>-Gastos!$F10/12*(1+Gastos!$F$17)^((CY$1-1)/12)</f>
        <v>-27668787.8997414</v>
      </c>
      <c r="CZ36" s="145">
        <f>-Gastos!$F10/12*(1+Gastos!$F$17)^((CZ$1-1)/12)</f>
        <v>-27781513.966588456</v>
      </c>
      <c r="DA36" s="145">
        <f>-Gastos!$F10/12*(1+Gastos!$F$17)^((DA$1-1)/12)</f>
        <v>-27894699.293385487</v>
      </c>
      <c r="DB36" s="145">
        <f>-Gastos!$F10/12*(1+Gastos!$F$17)^((DB$1-1)/12)</f>
        <v>-28008345.751214389</v>
      </c>
      <c r="DC36" s="145">
        <f>-Gastos!$F10/12*(1+Gastos!$F$17)^((DC$1-1)/12)</f>
        <v>-28122455.218780059</v>
      </c>
      <c r="DD36" s="145">
        <f>-Gastos!$F10/12*(1+Gastos!$F$17)^((DD$1-1)/12)</f>
        <v>-28237029.582441472</v>
      </c>
      <c r="DE36" s="145">
        <f>-Gastos!$F10/12*(1+Gastos!$F$17)^((DE$1-1)/12)</f>
        <v>-28352070.736242879</v>
      </c>
      <c r="DF36" s="145">
        <f>-Gastos!$F10/12*(1+Gastos!$F$17)^((DF$1-1)/12)</f>
        <v>-28467580.581945084</v>
      </c>
      <c r="DG36" s="145">
        <f>-Gastos!$F10/12*(1+Gastos!$F$17)^((DG$1-1)/12)</f>
        <v>-28583561.02905691</v>
      </c>
      <c r="DH36" s="145">
        <f>-Gastos!$F10/12*(1+Gastos!$F$17)^((DH$1-1)/12)</f>
        <v>-28700013.994866747</v>
      </c>
      <c r="DI36" s="145">
        <f>-Gastos!$F10/12*(1+Gastos!$F$17)^((DI$1-1)/12)</f>
        <v>-28816941.404474281</v>
      </c>
      <c r="DJ36" s="145">
        <f>-Gastos!$F10/12*(1+Gastos!$F$17)^((DJ$1-1)/12)</f>
        <v>-28934345.190822247</v>
      </c>
      <c r="DK36" s="145">
        <f>-Gastos!$F10/12*(1+Gastos!$F$17)^((DK$1-1)/12)</f>
        <v>-29052227.294728469</v>
      </c>
      <c r="DL36" s="145">
        <f>-Gastos!$F10/12*(1+Gastos!$F$17)^((DL$1-1)/12)</f>
        <v>-29170589.664917879</v>
      </c>
      <c r="DM36" s="145">
        <f>-Gastos!$F10/12*(1+Gastos!$F$17)^((DM$1-1)/12)</f>
        <v>-29289434.258054763</v>
      </c>
      <c r="DN36" s="145">
        <f>-Gastos!$F10/12*(1+Gastos!$F$17)^((DN$1-1)/12)</f>
        <v>-29408763.038775109</v>
      </c>
      <c r="DO36" s="145">
        <f>-Gastos!$F10/12*(1+Gastos!$F$17)^((DO$1-1)/12)</f>
        <v>-29528577.979719061</v>
      </c>
      <c r="DP36" s="145">
        <f>-Gastos!$F10/12*(1+Gastos!$F$17)^((DP$1-1)/12)</f>
        <v>-29648881.061563548</v>
      </c>
      <c r="DQ36" s="145">
        <f>-Gastos!$F10/12*(1+Gastos!$F$17)^((DQ$1-1)/12)</f>
        <v>-29769674.273055021</v>
      </c>
      <c r="DR36" s="145">
        <f>-Gastos!$F10/12*(1+Gastos!$F$17)^((DR$1-1)/12)</f>
        <v>-29890959.611042339</v>
      </c>
      <c r="DS36" s="145">
        <f>-Gastos!$F10/12*(1+Gastos!$F$17)^((DS$1-1)/12)</f>
        <v>-30012739.080509756</v>
      </c>
      <c r="DT36" s="145">
        <f>-Gastos!$F10/12*(1+Gastos!$F$17)^((DT$1-1)/12)</f>
        <v>-30135014.694610085</v>
      </c>
      <c r="DU36" s="145">
        <f>-Gastos!$F10/12*(1+Gastos!$F$17)^((DU$1-1)/12)</f>
        <v>-30257788.474697996</v>
      </c>
      <c r="DV36" s="145">
        <f>-Gastos!$F10/12*(1+Gastos!$F$17)^((DV$1-1)/12)</f>
        <v>-30381062.45036336</v>
      </c>
      <c r="DW36" s="145">
        <f>-Gastos!$F10/12*(1+Gastos!$F$17)^((DW$1-1)/12)</f>
        <v>-30504838.659464896</v>
      </c>
      <c r="DX36" s="145">
        <f>-Gastos!$F10/12*(1+Gastos!$F$17)^((DX$1-1)/12)</f>
        <v>-30629119.148163777</v>
      </c>
      <c r="DY36" s="145">
        <f>-Gastos!$F10/12*(1+Gastos!$F$17)^((DY$1-1)/12)</f>
        <v>-30753905.970957503</v>
      </c>
      <c r="DZ36" s="145">
        <f>-Gastos!$F10/12*(1+Gastos!$F$17)^((DZ$1-1)/12)</f>
        <v>-30879201.190713871</v>
      </c>
      <c r="EA36" s="145">
        <f>-Gastos!$F10/12*(1+Gastos!$F$17)^((EA$1-1)/12)</f>
        <v>-31005006.878705017</v>
      </c>
      <c r="EB36" s="145">
        <f>-Gastos!$F10/12*(1+Gastos!$F$17)^((EB$1-1)/12)</f>
        <v>-31131325.114641726</v>
      </c>
      <c r="EC36" s="145">
        <f>-Gastos!$F10/12*(1+Gastos!$F$17)^((EC$1-1)/12)</f>
        <v>-31258157.986707777</v>
      </c>
      <c r="ED36" s="145">
        <f>-Gastos!$F10/12*(1+Gastos!$F$17)^((ED$1-1)/12)</f>
        <v>-31385507.591594458</v>
      </c>
      <c r="EE36" s="146">
        <f>-Gastos!$F10/12*(1+Gastos!$F$17)^((EE$1-1)/12)</f>
        <v>-31513376.034535248</v>
      </c>
    </row>
    <row r="37" spans="1:135" x14ac:dyDescent="0.25">
      <c r="A37" s="152">
        <f>SUMIF($C$1:$EE$1,"&lt;="&amp;Resumen!$K$19,'Flujo de caja mensual'!C37:EE37)</f>
        <v>-7225655523.6541958</v>
      </c>
      <c r="B37" s="5" t="str">
        <f>Gastos!E11</f>
        <v>Utilidad en servicios administrativos</v>
      </c>
      <c r="C37" s="144"/>
      <c r="D37" s="145">
        <f>D26*-Gastos!$F$19</f>
        <v>-44293034.840999998</v>
      </c>
      <c r="E37" s="145">
        <f>E26*-Gastos!$F$19</f>
        <v>-44458770.354182951</v>
      </c>
      <c r="F37" s="145">
        <f>F26*-Gastos!$F$19</f>
        <v>-44625144.791380167</v>
      </c>
      <c r="G37" s="145">
        <f>G26*-Gastos!$F$19</f>
        <v>-44792160.666114219</v>
      </c>
      <c r="H37" s="145">
        <f>H26*-Gastos!$F$19</f>
        <v>-44959820.501927279</v>
      </c>
      <c r="I37" s="145">
        <f>I26*-Gastos!$F$19</f>
        <v>-45128126.832421362</v>
      </c>
      <c r="J37" s="145">
        <f>J26*-Gastos!$F$19</f>
        <v>-45297082.201298818</v>
      </c>
      <c r="K37" s="145">
        <f>K26*-Gastos!$F$19</f>
        <v>-45466689.162402876</v>
      </c>
      <c r="L37" s="145">
        <f>L26*-Gastos!$F$19</f>
        <v>-45636950.279758491</v>
      </c>
      <c r="M37" s="145">
        <f>M26*-Gastos!$F$19</f>
        <v>-45807868.127613135</v>
      </c>
      <c r="N37" s="145">
        <f>N26*-Gastos!$F$19</f>
        <v>-45979445.290478095</v>
      </c>
      <c r="O37" s="145">
        <f>O26*-Gastos!$F$19</f>
        <v>-46611000.656640947</v>
      </c>
      <c r="P37" s="145">
        <f>P26*-Gastos!$F$19</f>
        <v>-49505680.611316904</v>
      </c>
      <c r="Q37" s="145">
        <f>Q26*-Gastos!$F$19</f>
        <v>-50150468.148818173</v>
      </c>
      <c r="R37" s="145">
        <f>R26*-Gastos!$F$19</f>
        <v>-50798952.996900953</v>
      </c>
      <c r="S37" s="145">
        <f>S26*-Gastos!$F$19</f>
        <v>-51451152.468365759</v>
      </c>
      <c r="T37" s="145">
        <f>T26*-Gastos!$F$19</f>
        <v>-52107083.949780226</v>
      </c>
      <c r="U37" s="145">
        <f>U26*-Gastos!$F$19</f>
        <v>-52766764.901776679</v>
      </c>
      <c r="V37" s="145">
        <f>V26*-Gastos!$F$19</f>
        <v>-53430212.859350815</v>
      </c>
      <c r="W37" s="145">
        <f>W26*-Gastos!$F$19</f>
        <v>-53597402.002493814</v>
      </c>
      <c r="X37" s="145">
        <f>X26*-Gastos!$F$19</f>
        <v>-53765119.421359539</v>
      </c>
      <c r="Y37" s="145">
        <f>Y26*-Gastos!$F$19</f>
        <v>-53933366.798382998</v>
      </c>
      <c r="Z37" s="145">
        <f>Z26*-Gastos!$F$19</f>
        <v>-54102145.821391165</v>
      </c>
      <c r="AA37" s="145">
        <f>AA26*-Gastos!$F$19</f>
        <v>-54271458.183620252</v>
      </c>
      <c r="AB37" s="145">
        <f>AB26*-Gastos!$F$19</f>
        <v>-55041531.545068264</v>
      </c>
      <c r="AC37" s="145">
        <f>AC26*-Gastos!$F$19</f>
        <v>-55195620.262206472</v>
      </c>
      <c r="AD37" s="145">
        <f>AD26*-Gastos!$F$19</f>
        <v>-55350141.660140127</v>
      </c>
      <c r="AE37" s="145">
        <f>AE26*-Gastos!$F$19</f>
        <v>-55505096.957148075</v>
      </c>
      <c r="AF37" s="145">
        <f>AF26*-Gastos!$F$19</f>
        <v>-55660487.374947891</v>
      </c>
      <c r="AG37" s="145">
        <f>AG26*-Gastos!$F$19</f>
        <v>-55816314.13870535</v>
      </c>
      <c r="AH37" s="145">
        <f>AH26*-Gastos!$F$19</f>
        <v>-55972578.477044411</v>
      </c>
      <c r="AI37" s="145">
        <f>AI26*-Gastos!$F$19</f>
        <v>-56129281.622056827</v>
      </c>
      <c r="AJ37" s="145">
        <f>AJ26*-Gastos!$F$19</f>
        <v>-56286424.80931206</v>
      </c>
      <c r="AK37" s="145">
        <f>AK26*-Gastos!$F$19</f>
        <v>-56444009.277867064</v>
      </c>
      <c r="AL37" s="145">
        <f>AL26*-Gastos!$F$19</f>
        <v>-56602036.270276189</v>
      </c>
      <c r="AM37" s="145">
        <f>AM26*-Gastos!$F$19</f>
        <v>-56760507.032601044</v>
      </c>
      <c r="AN37" s="145">
        <f>AN26*-Gastos!$F$19</f>
        <v>-56919422.814420424</v>
      </c>
      <c r="AO37" s="145">
        <f>AO26*-Gastos!$F$19</f>
        <v>-57078784.868840277</v>
      </c>
      <c r="AP37" s="145">
        <f>AP26*-Gastos!$F$19</f>
        <v>-57238594.452503622</v>
      </c>
      <c r="AQ37" s="145">
        <f>AQ26*-Gastos!$F$19</f>
        <v>-57398852.825600684</v>
      </c>
      <c r="AR37" s="145">
        <f>AR26*-Gastos!$F$19</f>
        <v>-57559561.251878776</v>
      </c>
      <c r="AS37" s="145">
        <f>AS26*-Gastos!$F$19</f>
        <v>-57720720.998652451</v>
      </c>
      <c r="AT37" s="145">
        <f>AT26*-Gastos!$F$19</f>
        <v>-57882333.336813569</v>
      </c>
      <c r="AU37" s="145">
        <f>AU26*-Gastos!$F$19</f>
        <v>-58044399.54084143</v>
      </c>
      <c r="AV37" s="145">
        <f>AV26*-Gastos!$F$19</f>
        <v>-58206920.888812885</v>
      </c>
      <c r="AW37" s="145">
        <f>AW26*-Gastos!$F$19</f>
        <v>-58369898.662412584</v>
      </c>
      <c r="AX37" s="145">
        <f>AX26*-Gastos!$F$19</f>
        <v>-58533334.146943092</v>
      </c>
      <c r="AY37" s="145">
        <f>AY26*-Gastos!$F$19</f>
        <v>-58697228.631335199</v>
      </c>
      <c r="AZ37" s="145">
        <f>AZ26*-Gastos!$F$19</f>
        <v>-58861583.408158153</v>
      </c>
      <c r="BA37" s="145">
        <f>BA26*-Gastos!$F$19</f>
        <v>-59026399.773629941</v>
      </c>
      <c r="BB37" s="145">
        <f>BB26*-Gastos!$F$19</f>
        <v>-59191679.027627632</v>
      </c>
      <c r="BC37" s="145">
        <f>BC26*-Gastos!$F$19</f>
        <v>-59357422.4736977</v>
      </c>
      <c r="BD37" s="145">
        <f>BD26*-Gastos!$F$19</f>
        <v>-59523631.419066466</v>
      </c>
      <c r="BE37" s="145">
        <f>BE26*-Gastos!$F$19</f>
        <v>-59690307.17465046</v>
      </c>
      <c r="BF37" s="145">
        <f>BF26*-Gastos!$F$19</f>
        <v>-59857451.055066817</v>
      </c>
      <c r="BG37" s="145">
        <f>BG26*-Gastos!$F$19</f>
        <v>-60025064.378643841</v>
      </c>
      <c r="BH37" s="145">
        <f>BH26*-Gastos!$F$19</f>
        <v>-60193148.467431471</v>
      </c>
      <c r="BI37" s="145">
        <f>BI26*-Gastos!$F$19</f>
        <v>-60361704.647211783</v>
      </c>
      <c r="BJ37" s="145">
        <f>BJ26*-Gastos!$F$19</f>
        <v>-60530734.247509547</v>
      </c>
      <c r="BK37" s="145">
        <f>BK26*-Gastos!$F$19</f>
        <v>-60700238.601602852</v>
      </c>
      <c r="BL37" s="145">
        <f>BL26*-Gastos!$F$19</f>
        <v>-60870219.046533704</v>
      </c>
      <c r="BM37" s="145">
        <f>BM26*-Gastos!$F$19</f>
        <v>-61040676.923118666</v>
      </c>
      <c r="BN37" s="145">
        <f>BN26*-Gastos!$F$19</f>
        <v>-61211613.575959563</v>
      </c>
      <c r="BO37" s="145">
        <f>BO26*-Gastos!$F$19</f>
        <v>-61383030.353454135</v>
      </c>
      <c r="BP37" s="145">
        <f>BP26*-Gastos!$F$19</f>
        <v>-61554928.607806914</v>
      </c>
      <c r="BQ37" s="145">
        <f>BQ26*-Gastos!$F$19</f>
        <v>-61727309.695039749</v>
      </c>
      <c r="BR37" s="145">
        <f>BR26*-Gastos!$F$19</f>
        <v>-61900174.97500287</v>
      </c>
      <c r="BS37" s="145">
        <f>BS26*-Gastos!$F$19</f>
        <v>-62073525.811385557</v>
      </c>
      <c r="BT37" s="145">
        <f>BT26*-Gastos!$F$19</f>
        <v>-62247363.571727023</v>
      </c>
      <c r="BU37" s="145">
        <f>BU26*-Gastos!$F$19</f>
        <v>-62421689.627427407</v>
      </c>
      <c r="BV37" s="145">
        <f>BV26*-Gastos!$F$19</f>
        <v>-62596505.353758529</v>
      </c>
      <c r="BW37" s="145">
        <f>BW26*-Gastos!$F$19</f>
        <v>-62771812.129874974</v>
      </c>
      <c r="BX37" s="145">
        <f>BX26*-Gastos!$F$19</f>
        <v>-62947611.338825077</v>
      </c>
      <c r="BY37" s="145">
        <f>BY26*-Gastos!$F$19</f>
        <v>-63123904.367561825</v>
      </c>
      <c r="BZ37" s="145">
        <f>BZ26*-Gastos!$F$19</f>
        <v>-63300692.606954038</v>
      </c>
      <c r="CA37" s="145">
        <f>CA26*-Gastos!$F$19</f>
        <v>-63477977.451797366</v>
      </c>
      <c r="CB37" s="145">
        <f>CB26*-Gastos!$F$19</f>
        <v>-63655760.300825447</v>
      </c>
      <c r="CC37" s="145">
        <f>CC26*-Gastos!$F$19</f>
        <v>-63834042.556720965</v>
      </c>
      <c r="CD37" s="145">
        <f>CD26*-Gastos!$F$19</f>
        <v>-64012825.626126938</v>
      </c>
      <c r="CE37" s="145">
        <f>CE26*-Gastos!$F$19</f>
        <v>-64192110.919657879</v>
      </c>
      <c r="CF37" s="145">
        <f>CF26*-Gastos!$F$19</f>
        <v>-64371899.851910993</v>
      </c>
      <c r="CG37" s="145">
        <f>CG26*-Gastos!$F$19</f>
        <v>-64552193.841477469</v>
      </c>
      <c r="CH37" s="145">
        <f>CH26*-Gastos!$F$19</f>
        <v>-64732994.310953811</v>
      </c>
      <c r="CI37" s="145">
        <f>CI26*-Gastos!$F$19</f>
        <v>-64914302.686953142</v>
      </c>
      <c r="CJ37" s="145">
        <f>CJ26*-Gastos!$F$19</f>
        <v>-65096120.400116548</v>
      </c>
      <c r="CK37" s="145">
        <f>CK26*-Gastos!$F$19</f>
        <v>-65278448.885124542</v>
      </c>
      <c r="CL37" s="145">
        <f>CL26*-Gastos!$F$19</f>
        <v>-65461289.580708429</v>
      </c>
      <c r="CM37" s="145">
        <f>CM26*-Gastos!$F$19</f>
        <v>-65644643.929661803</v>
      </c>
      <c r="CN37" s="145">
        <f>CN26*-Gastos!$F$19</f>
        <v>-65828513.378851987</v>
      </c>
      <c r="CO37" s="145">
        <f>CO26*-Gastos!$F$19</f>
        <v>-66012899.379231654</v>
      </c>
      <c r="CP37" s="145">
        <f>CP26*-Gastos!$F$19</f>
        <v>-66197803.385850348</v>
      </c>
      <c r="CQ37" s="145">
        <f>CQ26*-Gastos!$F$19</f>
        <v>-66383226.857865967</v>
      </c>
      <c r="CR37" s="145">
        <f>CR26*-Gastos!$F$19</f>
        <v>-66569171.258556597</v>
      </c>
      <c r="CS37" s="145">
        <f>CS26*-Gastos!$F$19</f>
        <v>-66755638.055331983</v>
      </c>
      <c r="CT37" s="145">
        <f>CT26*-Gastos!$F$19</f>
        <v>-66942628.719745331</v>
      </c>
      <c r="CU37" s="145">
        <f>CU26*-Gastos!$F$19</f>
        <v>-67130144.727504984</v>
      </c>
      <c r="CV37" s="145">
        <f>CV26*-Gastos!$F$19</f>
        <v>-67318187.558486193</v>
      </c>
      <c r="CW37" s="145">
        <f>CW26*-Gastos!$F$19</f>
        <v>-67506758.696742892</v>
      </c>
      <c r="CX37" s="145">
        <f>CX26*-Gastos!$F$19</f>
        <v>-67695859.630519539</v>
      </c>
      <c r="CY37" s="145">
        <f>CY26*-Gastos!$F$19</f>
        <v>-67885491.852262989</v>
      </c>
      <c r="CZ37" s="145">
        <f>CZ26*-Gastos!$F$19</f>
        <v>-68075656.858634382</v>
      </c>
      <c r="DA37" s="145">
        <f>DA26*-Gastos!$F$19</f>
        <v>-68266356.150520995</v>
      </c>
      <c r="DB37" s="145">
        <f>DB26*-Gastos!$F$19</f>
        <v>-68457591.23304832</v>
      </c>
      <c r="DC37" s="145">
        <f>DC26*-Gastos!$F$19</f>
        <v>-68649363.615591928</v>
      </c>
      <c r="DD37" s="145">
        <f>DD26*-Gastos!$F$19</f>
        <v>-68841674.811789662</v>
      </c>
      <c r="DE37" s="145">
        <f>DE26*-Gastos!$F$19</f>
        <v>-69034526.339553505</v>
      </c>
      <c r="DF37" s="145">
        <f>DF26*-Gastos!$F$19</f>
        <v>-69227919.721081823</v>
      </c>
      <c r="DG37" s="145">
        <f>DG26*-Gastos!$F$19</f>
        <v>-69421856.482871428</v>
      </c>
      <c r="DH37" s="145">
        <f>DH26*-Gastos!$F$19</f>
        <v>-69616338.155729756</v>
      </c>
      <c r="DI37" s="145">
        <f>DI26*-Gastos!$F$19</f>
        <v>-69811366.274787053</v>
      </c>
      <c r="DJ37" s="145">
        <f>DJ26*-Gastos!$F$19</f>
        <v>-70006942.379508644</v>
      </c>
      <c r="DK37" s="145">
        <f>DK26*-Gastos!$F$19</f>
        <v>-70203068.013707146</v>
      </c>
      <c r="DL37" s="145">
        <f>DL26*-Gastos!$F$19</f>
        <v>-70399744.725554854</v>
      </c>
      <c r="DM37" s="145">
        <f>DM26*-Gastos!$F$19</f>
        <v>-70596974.067595959</v>
      </c>
      <c r="DN37" s="145">
        <f>DN26*-Gastos!$F$19</f>
        <v>-70794757.596759036</v>
      </c>
      <c r="DO37" s="145">
        <f>DO26*-Gastos!$F$19</f>
        <v>-70993096.874369353</v>
      </c>
      <c r="DP37" s="145">
        <f>DP26*-Gastos!$F$19</f>
        <v>-71191993.466161385</v>
      </c>
      <c r="DQ37" s="145">
        <f>DQ26*-Gastos!$F$19</f>
        <v>-71391448.942291319</v>
      </c>
      <c r="DR37" s="145">
        <f>DR26*-Gastos!$F$19</f>
        <v>-71591464.877349436</v>
      </c>
      <c r="DS37" s="145">
        <f>DS26*-Gastos!$F$19</f>
        <v>-71792042.850372776</v>
      </c>
      <c r="DT37" s="145">
        <f>DT26*-Gastos!$F$19</f>
        <v>-71993184.444857702</v>
      </c>
      <c r="DU37" s="145">
        <f>DU26*-Gastos!$F$19</f>
        <v>-72194891.248772502</v>
      </c>
      <c r="DV37" s="145">
        <f>DV26*-Gastos!$F$19</f>
        <v>-72397164.854569972</v>
      </c>
      <c r="DW37" s="145">
        <f>DW26*-Gastos!$F$19</f>
        <v>-72600006.859200314</v>
      </c>
      <c r="DX37" s="145">
        <f>DX26*-Gastos!$F$19</f>
        <v>-72803418.864123568</v>
      </c>
      <c r="DY37" s="145">
        <f>DY26*-Gastos!$F$19</f>
        <v>-73007402.475322723</v>
      </c>
      <c r="DZ37" s="145">
        <f>DZ26*-Gastos!$F$19</f>
        <v>-73211959.303316221</v>
      </c>
      <c r="EA37" s="145">
        <f>EA26*-Gastos!$F$19</f>
        <v>-73417090.963170886</v>
      </c>
      <c r="EB37" s="145">
        <f>EB26*-Gastos!$F$19</f>
        <v>-73622799.074514881</v>
      </c>
      <c r="EC37" s="145">
        <f>EC26*-Gastos!$F$19</f>
        <v>-73829085.261550546</v>
      </c>
      <c r="ED37" s="145">
        <f>ED26*-Gastos!$F$19</f>
        <v>-74035951.153067291</v>
      </c>
      <c r="EE37" s="146">
        <f>EE26*-Gastos!$F$19</f>
        <v>-74243398.382454723</v>
      </c>
    </row>
    <row r="38" spans="1:135" x14ac:dyDescent="0.25">
      <c r="A38" s="152">
        <f>SUMIF($C$1:$EE$1,"&lt;="&amp;Resumen!$K$19,'Flujo de caja mensual'!C38:EE38)</f>
        <v>-19485504484.004402</v>
      </c>
      <c r="B38" s="5" t="str">
        <f>Gastos!E12</f>
        <v>Impuestos</v>
      </c>
      <c r="C38" s="144"/>
      <c r="D38" s="145">
        <f>IF(AND(D1&gt;Resumen!$K$19,Gastos!$B$18="Yes"),('Flujo de caja mensual'!$A$64*Gastos!$B$19*Gastos!$B$17+HLOOKUP('Flujo de caja mensual'!D2,Gastos!$J$6:$T$10,4,0))/-12,HLOOKUP('Flujo de caja mensual'!D2,Gastos!$J$6:$T$10,5,0)/-12)</f>
        <v>-140400000</v>
      </c>
      <c r="E38" s="145">
        <f>IF(AND(E1&gt;Resumen!$K$19,Gastos!$B$18="Yes"),('Flujo de caja mensual'!$A$64*Gastos!$B$19*Gastos!$B$17+HLOOKUP('Flujo de caja mensual'!E2,Gastos!$J$6:$T$10,4,0))/-12,HLOOKUP('Flujo de caja mensual'!E2,Gastos!$J$6:$T$10,5,0)/-12)</f>
        <v>-140400000</v>
      </c>
      <c r="F38" s="145">
        <f>IF(AND(F1&gt;Resumen!$K$19,Gastos!$B$18="Yes"),('Flujo de caja mensual'!$A$64*Gastos!$B$19*Gastos!$B$17+HLOOKUP('Flujo de caja mensual'!F2,Gastos!$J$6:$T$10,4,0))/-12,HLOOKUP('Flujo de caja mensual'!F2,Gastos!$J$6:$T$10,5,0)/-12)</f>
        <v>-140400000</v>
      </c>
      <c r="G38" s="145">
        <f>IF(AND(G1&gt;Resumen!$K$19,Gastos!$B$18="Yes"),('Flujo de caja mensual'!$A$64*Gastos!$B$19*Gastos!$B$17+HLOOKUP('Flujo de caja mensual'!G2,Gastos!$J$6:$T$10,4,0))/-12,HLOOKUP('Flujo de caja mensual'!G2,Gastos!$J$6:$T$10,5,0)/-12)</f>
        <v>-140400000</v>
      </c>
      <c r="H38" s="145">
        <f>IF(AND(H1&gt;Resumen!$K$19,Gastos!$B$18="Yes"),('Flujo de caja mensual'!$A$64*Gastos!$B$19*Gastos!$B$17+HLOOKUP('Flujo de caja mensual'!H2,Gastos!$J$6:$T$10,4,0))/-12,HLOOKUP('Flujo de caja mensual'!H2,Gastos!$J$6:$T$10,5,0)/-12)</f>
        <v>-140400000</v>
      </c>
      <c r="I38" s="145">
        <f>IF(AND(I1&gt;Resumen!$K$19,Gastos!$B$18="Yes"),('Flujo de caja mensual'!$A$64*Gastos!$B$19*Gastos!$B$17+HLOOKUP('Flujo de caja mensual'!I2,Gastos!$J$6:$T$10,4,0))/-12,HLOOKUP('Flujo de caja mensual'!I2,Gastos!$J$6:$T$10,5,0)/-12)</f>
        <v>-140400000</v>
      </c>
      <c r="J38" s="145">
        <f>IF(AND(J1&gt;Resumen!$K$19,Gastos!$B$18="Yes"),('Flujo de caja mensual'!$A$64*Gastos!$B$19*Gastos!$B$17+HLOOKUP('Flujo de caja mensual'!J2,Gastos!$J$6:$T$10,4,0))/-12,HLOOKUP('Flujo de caja mensual'!J2,Gastos!$J$6:$T$10,5,0)/-12)</f>
        <v>-140400000</v>
      </c>
      <c r="K38" s="145">
        <f>IF(AND(K1&gt;Resumen!$K$19,Gastos!$B$18="Yes"),('Flujo de caja mensual'!$A$64*Gastos!$B$19*Gastos!$B$17+HLOOKUP('Flujo de caja mensual'!K2,Gastos!$J$6:$T$10,4,0))/-12,HLOOKUP('Flujo de caja mensual'!K2,Gastos!$J$6:$T$10,5,0)/-12)</f>
        <v>-140400000</v>
      </c>
      <c r="L38" s="145">
        <f>IF(AND(L1&gt;Resumen!$K$19,Gastos!$B$18="Yes"),('Flujo de caja mensual'!$A$64*Gastos!$B$19*Gastos!$B$17+HLOOKUP('Flujo de caja mensual'!L2,Gastos!$J$6:$T$10,4,0))/-12,HLOOKUP('Flujo de caja mensual'!L2,Gastos!$J$6:$T$10,5,0)/-12)</f>
        <v>-140400000</v>
      </c>
      <c r="M38" s="145">
        <f>IF(AND(M1&gt;Resumen!$K$19,Gastos!$B$18="Yes"),('Flujo de caja mensual'!$A$64*Gastos!$B$19*Gastos!$B$17+HLOOKUP('Flujo de caja mensual'!M2,Gastos!$J$6:$T$10,4,0))/-12,HLOOKUP('Flujo de caja mensual'!M2,Gastos!$J$6:$T$10,5,0)/-12)</f>
        <v>-140400000</v>
      </c>
      <c r="N38" s="145">
        <f>IF(AND(N1&gt;Resumen!$K$19,Gastos!$B$18="Yes"),('Flujo de caja mensual'!$A$64*Gastos!$B$19*Gastos!$B$17+HLOOKUP('Flujo de caja mensual'!N2,Gastos!$J$6:$T$10,4,0))/-12,HLOOKUP('Flujo de caja mensual'!N2,Gastos!$J$6:$T$10,5,0)/-12)</f>
        <v>-140400000</v>
      </c>
      <c r="O38" s="145">
        <f>IF(AND(O1&gt;Resumen!$K$19,Gastos!$B$18="Yes"),('Flujo de caja mensual'!$A$64*Gastos!$B$19*Gastos!$B$17+HLOOKUP('Flujo de caja mensual'!O2,Gastos!$J$6:$T$10,4,0))/-12,HLOOKUP('Flujo de caja mensual'!O2,Gastos!$J$6:$T$10,5,0)/-12)</f>
        <v>-140400000</v>
      </c>
      <c r="P38" s="145">
        <f>IF(AND(P1&gt;Resumen!$K$19,Gastos!$B$18="Yes"),('Flujo de caja mensual'!$A$64*Gastos!$B$19*Gastos!$B$17+HLOOKUP('Flujo de caja mensual'!P2,Gastos!$J$6:$T$10,4,0))/-12,HLOOKUP('Flujo de caja mensual'!P2,Gastos!$J$6:$T$10,5,0)/-12)</f>
        <v>-146016000</v>
      </c>
      <c r="Q38" s="145">
        <f>IF(AND(Q1&gt;Resumen!$K$19,Gastos!$B$18="Yes"),('Flujo de caja mensual'!$A$64*Gastos!$B$19*Gastos!$B$17+HLOOKUP('Flujo de caja mensual'!Q2,Gastos!$J$6:$T$10,4,0))/-12,HLOOKUP('Flujo de caja mensual'!Q2,Gastos!$J$6:$T$10,5,0)/-12)</f>
        <v>-146016000</v>
      </c>
      <c r="R38" s="145">
        <f>IF(AND(R1&gt;Resumen!$K$19,Gastos!$B$18="Yes"),('Flujo de caja mensual'!$A$64*Gastos!$B$19*Gastos!$B$17+HLOOKUP('Flujo de caja mensual'!R2,Gastos!$J$6:$T$10,4,0))/-12,HLOOKUP('Flujo de caja mensual'!R2,Gastos!$J$6:$T$10,5,0)/-12)</f>
        <v>-146016000</v>
      </c>
      <c r="S38" s="145">
        <f>IF(AND(S1&gt;Resumen!$K$19,Gastos!$B$18="Yes"),('Flujo de caja mensual'!$A$64*Gastos!$B$19*Gastos!$B$17+HLOOKUP('Flujo de caja mensual'!S2,Gastos!$J$6:$T$10,4,0))/-12,HLOOKUP('Flujo de caja mensual'!S2,Gastos!$J$6:$T$10,5,0)/-12)</f>
        <v>-146016000</v>
      </c>
      <c r="T38" s="145">
        <f>IF(AND(T1&gt;Resumen!$K$19,Gastos!$B$18="Yes"),('Flujo de caja mensual'!$A$64*Gastos!$B$19*Gastos!$B$17+HLOOKUP('Flujo de caja mensual'!T2,Gastos!$J$6:$T$10,4,0))/-12,HLOOKUP('Flujo de caja mensual'!T2,Gastos!$J$6:$T$10,5,0)/-12)</f>
        <v>-146016000</v>
      </c>
      <c r="U38" s="145">
        <f>IF(AND(U1&gt;Resumen!$K$19,Gastos!$B$18="Yes"),('Flujo de caja mensual'!$A$64*Gastos!$B$19*Gastos!$B$17+HLOOKUP('Flujo de caja mensual'!U2,Gastos!$J$6:$T$10,4,0))/-12,HLOOKUP('Flujo de caja mensual'!U2,Gastos!$J$6:$T$10,5,0)/-12)</f>
        <v>-146016000</v>
      </c>
      <c r="V38" s="145">
        <f>IF(AND(V1&gt;Resumen!$K$19,Gastos!$B$18="Yes"),('Flujo de caja mensual'!$A$64*Gastos!$B$19*Gastos!$B$17+HLOOKUP('Flujo de caja mensual'!V2,Gastos!$J$6:$T$10,4,0))/-12,HLOOKUP('Flujo de caja mensual'!V2,Gastos!$J$6:$T$10,5,0)/-12)</f>
        <v>-146016000</v>
      </c>
      <c r="W38" s="145">
        <f>IF(AND(W1&gt;Resumen!$K$19,Gastos!$B$18="Yes"),('Flujo de caja mensual'!$A$64*Gastos!$B$19*Gastos!$B$17+HLOOKUP('Flujo de caja mensual'!W2,Gastos!$J$6:$T$10,4,0))/-12,HLOOKUP('Flujo de caja mensual'!W2,Gastos!$J$6:$T$10,5,0)/-12)</f>
        <v>-146016000</v>
      </c>
      <c r="X38" s="145">
        <f>IF(AND(X1&gt;Resumen!$K$19,Gastos!$B$18="Yes"),('Flujo de caja mensual'!$A$64*Gastos!$B$19*Gastos!$B$17+HLOOKUP('Flujo de caja mensual'!X2,Gastos!$J$6:$T$10,4,0))/-12,HLOOKUP('Flujo de caja mensual'!X2,Gastos!$J$6:$T$10,5,0)/-12)</f>
        <v>-146016000</v>
      </c>
      <c r="Y38" s="145">
        <f>IF(AND(Y1&gt;Resumen!$K$19,Gastos!$B$18="Yes"),('Flujo de caja mensual'!$A$64*Gastos!$B$19*Gastos!$B$17+HLOOKUP('Flujo de caja mensual'!Y2,Gastos!$J$6:$T$10,4,0))/-12,HLOOKUP('Flujo de caja mensual'!Y2,Gastos!$J$6:$T$10,5,0)/-12)</f>
        <v>-146016000</v>
      </c>
      <c r="Z38" s="145">
        <f>IF(AND(Z1&gt;Resumen!$K$19,Gastos!$B$18="Yes"),('Flujo de caja mensual'!$A$64*Gastos!$B$19*Gastos!$B$17+HLOOKUP('Flujo de caja mensual'!Z2,Gastos!$J$6:$T$10,4,0))/-12,HLOOKUP('Flujo de caja mensual'!Z2,Gastos!$J$6:$T$10,5,0)/-12)</f>
        <v>-146016000</v>
      </c>
      <c r="AA38" s="145">
        <f>IF(AND(AA1&gt;Resumen!$K$19,Gastos!$B$18="Yes"),('Flujo de caja mensual'!$A$64*Gastos!$B$19*Gastos!$B$17+HLOOKUP('Flujo de caja mensual'!AA2,Gastos!$J$6:$T$10,4,0))/-12,HLOOKUP('Flujo de caja mensual'!AA2,Gastos!$J$6:$T$10,5,0)/-12)</f>
        <v>-146016000</v>
      </c>
      <c r="AB38" s="145">
        <f>IF(AND(AB1&gt;Resumen!$K$19,Gastos!$B$18="Yes"),('Flujo de caja mensual'!$A$64*Gastos!$B$19*Gastos!$B$17+HLOOKUP('Flujo de caja mensual'!AB2,Gastos!$J$6:$T$10,4,0))/-12,HLOOKUP('Flujo de caja mensual'!AB2,Gastos!$J$6:$T$10,5,0)/-12)</f>
        <v>-150396480</v>
      </c>
      <c r="AC38" s="145">
        <f>IF(AND(AC1&gt;Resumen!$K$19,Gastos!$B$18="Yes"),('Flujo de caja mensual'!$A$64*Gastos!$B$19*Gastos!$B$17+HLOOKUP('Flujo de caja mensual'!AC2,Gastos!$J$6:$T$10,4,0))/-12,HLOOKUP('Flujo de caja mensual'!AC2,Gastos!$J$6:$T$10,5,0)/-12)</f>
        <v>-150396480</v>
      </c>
      <c r="AD38" s="145">
        <f>IF(AND(AD1&gt;Resumen!$K$19,Gastos!$B$18="Yes"),('Flujo de caja mensual'!$A$64*Gastos!$B$19*Gastos!$B$17+HLOOKUP('Flujo de caja mensual'!AD2,Gastos!$J$6:$T$10,4,0))/-12,HLOOKUP('Flujo de caja mensual'!AD2,Gastos!$J$6:$T$10,5,0)/-12)</f>
        <v>-150396480</v>
      </c>
      <c r="AE38" s="145">
        <f>IF(AND(AE1&gt;Resumen!$K$19,Gastos!$B$18="Yes"),('Flujo de caja mensual'!$A$64*Gastos!$B$19*Gastos!$B$17+HLOOKUP('Flujo de caja mensual'!AE2,Gastos!$J$6:$T$10,4,0))/-12,HLOOKUP('Flujo de caja mensual'!AE2,Gastos!$J$6:$T$10,5,0)/-12)</f>
        <v>-150396480</v>
      </c>
      <c r="AF38" s="145">
        <f>IF(AND(AF1&gt;Resumen!$K$19,Gastos!$B$18="Yes"),('Flujo de caja mensual'!$A$64*Gastos!$B$19*Gastos!$B$17+HLOOKUP('Flujo de caja mensual'!AF2,Gastos!$J$6:$T$10,4,0))/-12,HLOOKUP('Flujo de caja mensual'!AF2,Gastos!$J$6:$T$10,5,0)/-12)</f>
        <v>-150396480</v>
      </c>
      <c r="AG38" s="145">
        <f>IF(AND(AG1&gt;Resumen!$K$19,Gastos!$B$18="Yes"),('Flujo de caja mensual'!$A$64*Gastos!$B$19*Gastos!$B$17+HLOOKUP('Flujo de caja mensual'!AG2,Gastos!$J$6:$T$10,4,0))/-12,HLOOKUP('Flujo de caja mensual'!AG2,Gastos!$J$6:$T$10,5,0)/-12)</f>
        <v>-150396480</v>
      </c>
      <c r="AH38" s="145">
        <f>IF(AND(AH1&gt;Resumen!$K$19,Gastos!$B$18="Yes"),('Flujo de caja mensual'!$A$64*Gastos!$B$19*Gastos!$B$17+HLOOKUP('Flujo de caja mensual'!AH2,Gastos!$J$6:$T$10,4,0))/-12,HLOOKUP('Flujo de caja mensual'!AH2,Gastos!$J$6:$T$10,5,0)/-12)</f>
        <v>-150396480</v>
      </c>
      <c r="AI38" s="145">
        <f>IF(AND(AI1&gt;Resumen!$K$19,Gastos!$B$18="Yes"),('Flujo de caja mensual'!$A$64*Gastos!$B$19*Gastos!$B$17+HLOOKUP('Flujo de caja mensual'!AI2,Gastos!$J$6:$T$10,4,0))/-12,HLOOKUP('Flujo de caja mensual'!AI2,Gastos!$J$6:$T$10,5,0)/-12)</f>
        <v>-150396480</v>
      </c>
      <c r="AJ38" s="145">
        <f>IF(AND(AJ1&gt;Resumen!$K$19,Gastos!$B$18="Yes"),('Flujo de caja mensual'!$A$64*Gastos!$B$19*Gastos!$B$17+HLOOKUP('Flujo de caja mensual'!AJ2,Gastos!$J$6:$T$10,4,0))/-12,HLOOKUP('Flujo de caja mensual'!AJ2,Gastos!$J$6:$T$10,5,0)/-12)</f>
        <v>-150396480</v>
      </c>
      <c r="AK38" s="145">
        <f>IF(AND(AK1&gt;Resumen!$K$19,Gastos!$B$18="Yes"),('Flujo de caja mensual'!$A$64*Gastos!$B$19*Gastos!$B$17+HLOOKUP('Flujo de caja mensual'!AK2,Gastos!$J$6:$T$10,4,0))/-12,HLOOKUP('Flujo de caja mensual'!AK2,Gastos!$J$6:$T$10,5,0)/-12)</f>
        <v>-150396480</v>
      </c>
      <c r="AL38" s="145">
        <f>IF(AND(AL1&gt;Resumen!$K$19,Gastos!$B$18="Yes"),('Flujo de caja mensual'!$A$64*Gastos!$B$19*Gastos!$B$17+HLOOKUP('Flujo de caja mensual'!AL2,Gastos!$J$6:$T$10,4,0))/-12,HLOOKUP('Flujo de caja mensual'!AL2,Gastos!$J$6:$T$10,5,0)/-12)</f>
        <v>-150396480</v>
      </c>
      <c r="AM38" s="145">
        <f>IF(AND(AM1&gt;Resumen!$K$19,Gastos!$B$18="Yes"),('Flujo de caja mensual'!$A$64*Gastos!$B$19*Gastos!$B$17+HLOOKUP('Flujo de caja mensual'!AM2,Gastos!$J$6:$T$10,4,0))/-12,HLOOKUP('Flujo de caja mensual'!AM2,Gastos!$J$6:$T$10,5,0)/-12)</f>
        <v>-150396480</v>
      </c>
      <c r="AN38" s="145">
        <f>IF(AND(AN1&gt;Resumen!$K$19,Gastos!$B$18="Yes"),('Flujo de caja mensual'!$A$64*Gastos!$B$19*Gastos!$B$17+HLOOKUP('Flujo de caja mensual'!AN2,Gastos!$J$6:$T$10,4,0))/-12,HLOOKUP('Flujo de caja mensual'!AN2,Gastos!$J$6:$T$10,5,0)/-12)</f>
        <v>-154908374.40000001</v>
      </c>
      <c r="AO38" s="145">
        <f>IF(AND(AO1&gt;Resumen!$K$19,Gastos!$B$18="Yes"),('Flujo de caja mensual'!$A$64*Gastos!$B$19*Gastos!$B$17+HLOOKUP('Flujo de caja mensual'!AO2,Gastos!$J$6:$T$10,4,0))/-12,HLOOKUP('Flujo de caja mensual'!AO2,Gastos!$J$6:$T$10,5,0)/-12)</f>
        <v>-154908374.40000001</v>
      </c>
      <c r="AP38" s="145">
        <f>IF(AND(AP1&gt;Resumen!$K$19,Gastos!$B$18="Yes"),('Flujo de caja mensual'!$A$64*Gastos!$B$19*Gastos!$B$17+HLOOKUP('Flujo de caja mensual'!AP2,Gastos!$J$6:$T$10,4,0))/-12,HLOOKUP('Flujo de caja mensual'!AP2,Gastos!$J$6:$T$10,5,0)/-12)</f>
        <v>-154908374.40000001</v>
      </c>
      <c r="AQ38" s="145">
        <f>IF(AND(AQ1&gt;Resumen!$K$19,Gastos!$B$18="Yes"),('Flujo de caja mensual'!$A$64*Gastos!$B$19*Gastos!$B$17+HLOOKUP('Flujo de caja mensual'!AQ2,Gastos!$J$6:$T$10,4,0))/-12,HLOOKUP('Flujo de caja mensual'!AQ2,Gastos!$J$6:$T$10,5,0)/-12)</f>
        <v>-154908374.40000001</v>
      </c>
      <c r="AR38" s="145">
        <f>IF(AND(AR1&gt;Resumen!$K$19,Gastos!$B$18="Yes"),('Flujo de caja mensual'!$A$64*Gastos!$B$19*Gastos!$B$17+HLOOKUP('Flujo de caja mensual'!AR2,Gastos!$J$6:$T$10,4,0))/-12,HLOOKUP('Flujo de caja mensual'!AR2,Gastos!$J$6:$T$10,5,0)/-12)</f>
        <v>-154908374.40000001</v>
      </c>
      <c r="AS38" s="145">
        <f>IF(AND(AS1&gt;Resumen!$K$19,Gastos!$B$18="Yes"),('Flujo de caja mensual'!$A$64*Gastos!$B$19*Gastos!$B$17+HLOOKUP('Flujo de caja mensual'!AS2,Gastos!$J$6:$T$10,4,0))/-12,HLOOKUP('Flujo de caja mensual'!AS2,Gastos!$J$6:$T$10,5,0)/-12)</f>
        <v>-154908374.40000001</v>
      </c>
      <c r="AT38" s="145">
        <f>IF(AND(AT1&gt;Resumen!$K$19,Gastos!$B$18="Yes"),('Flujo de caja mensual'!$A$64*Gastos!$B$19*Gastos!$B$17+HLOOKUP('Flujo de caja mensual'!AT2,Gastos!$J$6:$T$10,4,0))/-12,HLOOKUP('Flujo de caja mensual'!AT2,Gastos!$J$6:$T$10,5,0)/-12)</f>
        <v>-154908374.40000001</v>
      </c>
      <c r="AU38" s="145">
        <f>IF(AND(AU1&gt;Resumen!$K$19,Gastos!$B$18="Yes"),('Flujo de caja mensual'!$A$64*Gastos!$B$19*Gastos!$B$17+HLOOKUP('Flujo de caja mensual'!AU2,Gastos!$J$6:$T$10,4,0))/-12,HLOOKUP('Flujo de caja mensual'!AU2,Gastos!$J$6:$T$10,5,0)/-12)</f>
        <v>-154908374.40000001</v>
      </c>
      <c r="AV38" s="145">
        <f>IF(AND(AV1&gt;Resumen!$K$19,Gastos!$B$18="Yes"),('Flujo de caja mensual'!$A$64*Gastos!$B$19*Gastos!$B$17+HLOOKUP('Flujo de caja mensual'!AV2,Gastos!$J$6:$T$10,4,0))/-12,HLOOKUP('Flujo de caja mensual'!AV2,Gastos!$J$6:$T$10,5,0)/-12)</f>
        <v>-154908374.40000001</v>
      </c>
      <c r="AW38" s="145">
        <f>IF(AND(AW1&gt;Resumen!$K$19,Gastos!$B$18="Yes"),('Flujo de caja mensual'!$A$64*Gastos!$B$19*Gastos!$B$17+HLOOKUP('Flujo de caja mensual'!AW2,Gastos!$J$6:$T$10,4,0))/-12,HLOOKUP('Flujo de caja mensual'!AW2,Gastos!$J$6:$T$10,5,0)/-12)</f>
        <v>-154908374.40000001</v>
      </c>
      <c r="AX38" s="145">
        <f>IF(AND(AX1&gt;Resumen!$K$19,Gastos!$B$18="Yes"),('Flujo de caja mensual'!$A$64*Gastos!$B$19*Gastos!$B$17+HLOOKUP('Flujo de caja mensual'!AX2,Gastos!$J$6:$T$10,4,0))/-12,HLOOKUP('Flujo de caja mensual'!AX2,Gastos!$J$6:$T$10,5,0)/-12)</f>
        <v>-154908374.40000001</v>
      </c>
      <c r="AY38" s="145">
        <f>IF(AND(AY1&gt;Resumen!$K$19,Gastos!$B$18="Yes"),('Flujo de caja mensual'!$A$64*Gastos!$B$19*Gastos!$B$17+HLOOKUP('Flujo de caja mensual'!AY2,Gastos!$J$6:$T$10,4,0))/-12,HLOOKUP('Flujo de caja mensual'!AY2,Gastos!$J$6:$T$10,5,0)/-12)</f>
        <v>-154908374.40000001</v>
      </c>
      <c r="AZ38" s="145">
        <f>IF(AND(AZ1&gt;Resumen!$K$19,Gastos!$B$18="Yes"),('Flujo de caja mensual'!$A$64*Gastos!$B$19*Gastos!$B$17+HLOOKUP('Flujo de caja mensual'!AZ2,Gastos!$J$6:$T$10,4,0))/-12,HLOOKUP('Flujo de caja mensual'!AZ2,Gastos!$J$6:$T$10,5,0)/-12)</f>
        <v>-159555625.632</v>
      </c>
      <c r="BA38" s="145">
        <f>IF(AND(BA1&gt;Resumen!$K$19,Gastos!$B$18="Yes"),('Flujo de caja mensual'!$A$64*Gastos!$B$19*Gastos!$B$17+HLOOKUP('Flujo de caja mensual'!BA2,Gastos!$J$6:$T$10,4,0))/-12,HLOOKUP('Flujo de caja mensual'!BA2,Gastos!$J$6:$T$10,5,0)/-12)</f>
        <v>-159555625.632</v>
      </c>
      <c r="BB38" s="145">
        <f>IF(AND(BB1&gt;Resumen!$K$19,Gastos!$B$18="Yes"),('Flujo de caja mensual'!$A$64*Gastos!$B$19*Gastos!$B$17+HLOOKUP('Flujo de caja mensual'!BB2,Gastos!$J$6:$T$10,4,0))/-12,HLOOKUP('Flujo de caja mensual'!BB2,Gastos!$J$6:$T$10,5,0)/-12)</f>
        <v>-159555625.632</v>
      </c>
      <c r="BC38" s="145">
        <f>IF(AND(BC1&gt;Resumen!$K$19,Gastos!$B$18="Yes"),('Flujo de caja mensual'!$A$64*Gastos!$B$19*Gastos!$B$17+HLOOKUP('Flujo de caja mensual'!BC2,Gastos!$J$6:$T$10,4,0))/-12,HLOOKUP('Flujo de caja mensual'!BC2,Gastos!$J$6:$T$10,5,0)/-12)</f>
        <v>-159555625.632</v>
      </c>
      <c r="BD38" s="145">
        <f>IF(AND(BD1&gt;Resumen!$K$19,Gastos!$B$18="Yes"),('Flujo de caja mensual'!$A$64*Gastos!$B$19*Gastos!$B$17+HLOOKUP('Flujo de caja mensual'!BD2,Gastos!$J$6:$T$10,4,0))/-12,HLOOKUP('Flujo de caja mensual'!BD2,Gastos!$J$6:$T$10,5,0)/-12)</f>
        <v>-159555625.632</v>
      </c>
      <c r="BE38" s="145">
        <f>IF(AND(BE1&gt;Resumen!$K$19,Gastos!$B$18="Yes"),('Flujo de caja mensual'!$A$64*Gastos!$B$19*Gastos!$B$17+HLOOKUP('Flujo de caja mensual'!BE2,Gastos!$J$6:$T$10,4,0))/-12,HLOOKUP('Flujo de caja mensual'!BE2,Gastos!$J$6:$T$10,5,0)/-12)</f>
        <v>-159555625.632</v>
      </c>
      <c r="BF38" s="145">
        <f>IF(AND(BF1&gt;Resumen!$K$19,Gastos!$B$18="Yes"),('Flujo de caja mensual'!$A$64*Gastos!$B$19*Gastos!$B$17+HLOOKUP('Flujo de caja mensual'!BF2,Gastos!$J$6:$T$10,4,0))/-12,HLOOKUP('Flujo de caja mensual'!BF2,Gastos!$J$6:$T$10,5,0)/-12)</f>
        <v>-159555625.632</v>
      </c>
      <c r="BG38" s="145">
        <f>IF(AND(BG1&gt;Resumen!$K$19,Gastos!$B$18="Yes"),('Flujo de caja mensual'!$A$64*Gastos!$B$19*Gastos!$B$17+HLOOKUP('Flujo de caja mensual'!BG2,Gastos!$J$6:$T$10,4,0))/-12,HLOOKUP('Flujo de caja mensual'!BG2,Gastos!$J$6:$T$10,5,0)/-12)</f>
        <v>-159555625.632</v>
      </c>
      <c r="BH38" s="145">
        <f>IF(AND(BH1&gt;Resumen!$K$19,Gastos!$B$18="Yes"),('Flujo de caja mensual'!$A$64*Gastos!$B$19*Gastos!$B$17+HLOOKUP('Flujo de caja mensual'!BH2,Gastos!$J$6:$T$10,4,0))/-12,HLOOKUP('Flujo de caja mensual'!BH2,Gastos!$J$6:$T$10,5,0)/-12)</f>
        <v>-159555625.632</v>
      </c>
      <c r="BI38" s="145">
        <f>IF(AND(BI1&gt;Resumen!$K$19,Gastos!$B$18="Yes"),('Flujo de caja mensual'!$A$64*Gastos!$B$19*Gastos!$B$17+HLOOKUP('Flujo de caja mensual'!BI2,Gastos!$J$6:$T$10,4,0))/-12,HLOOKUP('Flujo de caja mensual'!BI2,Gastos!$J$6:$T$10,5,0)/-12)</f>
        <v>-159555625.632</v>
      </c>
      <c r="BJ38" s="145">
        <f>IF(AND(BJ1&gt;Resumen!$K$19,Gastos!$B$18="Yes"),('Flujo de caja mensual'!$A$64*Gastos!$B$19*Gastos!$B$17+HLOOKUP('Flujo de caja mensual'!BJ2,Gastos!$J$6:$T$10,4,0))/-12,HLOOKUP('Flujo de caja mensual'!BJ2,Gastos!$J$6:$T$10,5,0)/-12)</f>
        <v>-159555625.632</v>
      </c>
      <c r="BK38" s="145">
        <f>IF(AND(BK1&gt;Resumen!$K$19,Gastos!$B$18="Yes"),('Flujo de caja mensual'!$A$64*Gastos!$B$19*Gastos!$B$17+HLOOKUP('Flujo de caja mensual'!BK2,Gastos!$J$6:$T$10,4,0))/-12,HLOOKUP('Flujo de caja mensual'!BK2,Gastos!$J$6:$T$10,5,0)/-12)</f>
        <v>-159555625.632</v>
      </c>
      <c r="BL38" s="145">
        <f>IF(AND(BL1&gt;Resumen!$K$19,Gastos!$B$18="Yes"),('Flujo de caja mensual'!$A$64*Gastos!$B$19*Gastos!$B$17+HLOOKUP('Flujo de caja mensual'!BL2,Gastos!$J$6:$T$10,4,0))/-12,HLOOKUP('Flujo de caja mensual'!BL2,Gastos!$J$6:$T$10,5,0)/-12)</f>
        <v>-164342294.40096</v>
      </c>
      <c r="BM38" s="145">
        <f>IF(AND(BM1&gt;Resumen!$K$19,Gastos!$B$18="Yes"),('Flujo de caja mensual'!$A$64*Gastos!$B$19*Gastos!$B$17+HLOOKUP('Flujo de caja mensual'!BM2,Gastos!$J$6:$T$10,4,0))/-12,HLOOKUP('Flujo de caja mensual'!BM2,Gastos!$J$6:$T$10,5,0)/-12)</f>
        <v>-164342294.40096</v>
      </c>
      <c r="BN38" s="145">
        <f>IF(AND(BN1&gt;Resumen!$K$19,Gastos!$B$18="Yes"),('Flujo de caja mensual'!$A$64*Gastos!$B$19*Gastos!$B$17+HLOOKUP('Flujo de caja mensual'!BN2,Gastos!$J$6:$T$10,4,0))/-12,HLOOKUP('Flujo de caja mensual'!BN2,Gastos!$J$6:$T$10,5,0)/-12)</f>
        <v>-164342294.40096</v>
      </c>
      <c r="BO38" s="145">
        <f>IF(AND(BO1&gt;Resumen!$K$19,Gastos!$B$18="Yes"),('Flujo de caja mensual'!$A$64*Gastos!$B$19*Gastos!$B$17+HLOOKUP('Flujo de caja mensual'!BO2,Gastos!$J$6:$T$10,4,0))/-12,HLOOKUP('Flujo de caja mensual'!BO2,Gastos!$J$6:$T$10,5,0)/-12)</f>
        <v>-164342294.40096</v>
      </c>
      <c r="BP38" s="145">
        <f>IF(AND(BP1&gt;Resumen!$K$19,Gastos!$B$18="Yes"),('Flujo de caja mensual'!$A$64*Gastos!$B$19*Gastos!$B$17+HLOOKUP('Flujo de caja mensual'!BP2,Gastos!$J$6:$T$10,4,0))/-12,HLOOKUP('Flujo de caja mensual'!BP2,Gastos!$J$6:$T$10,5,0)/-12)</f>
        <v>-164342294.40096</v>
      </c>
      <c r="BQ38" s="145">
        <f>IF(AND(BQ1&gt;Resumen!$K$19,Gastos!$B$18="Yes"),('Flujo de caja mensual'!$A$64*Gastos!$B$19*Gastos!$B$17+HLOOKUP('Flujo de caja mensual'!BQ2,Gastos!$J$6:$T$10,4,0))/-12,HLOOKUP('Flujo de caja mensual'!BQ2,Gastos!$J$6:$T$10,5,0)/-12)</f>
        <v>-164342294.40096</v>
      </c>
      <c r="BR38" s="145">
        <f>IF(AND(BR1&gt;Resumen!$K$19,Gastos!$B$18="Yes"),('Flujo de caja mensual'!$A$64*Gastos!$B$19*Gastos!$B$17+HLOOKUP('Flujo de caja mensual'!BR2,Gastos!$J$6:$T$10,4,0))/-12,HLOOKUP('Flujo de caja mensual'!BR2,Gastos!$J$6:$T$10,5,0)/-12)</f>
        <v>-164342294.40096</v>
      </c>
      <c r="BS38" s="145">
        <f>IF(AND(BS1&gt;Resumen!$K$19,Gastos!$B$18="Yes"),('Flujo de caja mensual'!$A$64*Gastos!$B$19*Gastos!$B$17+HLOOKUP('Flujo de caja mensual'!BS2,Gastos!$J$6:$T$10,4,0))/-12,HLOOKUP('Flujo de caja mensual'!BS2,Gastos!$J$6:$T$10,5,0)/-12)</f>
        <v>-164342294.40096</v>
      </c>
      <c r="BT38" s="145">
        <f>IF(AND(BT1&gt;Resumen!$K$19,Gastos!$B$18="Yes"),('Flujo de caja mensual'!$A$64*Gastos!$B$19*Gastos!$B$17+HLOOKUP('Flujo de caja mensual'!BT2,Gastos!$J$6:$T$10,4,0))/-12,HLOOKUP('Flujo de caja mensual'!BT2,Gastos!$J$6:$T$10,5,0)/-12)</f>
        <v>-164342294.40096</v>
      </c>
      <c r="BU38" s="145">
        <f>IF(AND(BU1&gt;Resumen!$K$19,Gastos!$B$18="Yes"),('Flujo de caja mensual'!$A$64*Gastos!$B$19*Gastos!$B$17+HLOOKUP('Flujo de caja mensual'!BU2,Gastos!$J$6:$T$10,4,0))/-12,HLOOKUP('Flujo de caja mensual'!BU2,Gastos!$J$6:$T$10,5,0)/-12)</f>
        <v>-164342294.40096</v>
      </c>
      <c r="BV38" s="145">
        <f>IF(AND(BV1&gt;Resumen!$K$19,Gastos!$B$18="Yes"),('Flujo de caja mensual'!$A$64*Gastos!$B$19*Gastos!$B$17+HLOOKUP('Flujo de caja mensual'!BV2,Gastos!$J$6:$T$10,4,0))/-12,HLOOKUP('Flujo de caja mensual'!BV2,Gastos!$J$6:$T$10,5,0)/-12)</f>
        <v>-164342294.40096</v>
      </c>
      <c r="BW38" s="145">
        <f>IF(AND(BW1&gt;Resumen!$K$19,Gastos!$B$18="Yes"),('Flujo de caja mensual'!$A$64*Gastos!$B$19*Gastos!$B$17+HLOOKUP('Flujo de caja mensual'!BW2,Gastos!$J$6:$T$10,4,0))/-12,HLOOKUP('Flujo de caja mensual'!BW2,Gastos!$J$6:$T$10,5,0)/-12)</f>
        <v>-164342294.40096</v>
      </c>
      <c r="BX38" s="145">
        <f>IF(AND(BX1&gt;Resumen!$K$19,Gastos!$B$18="Yes"),('Flujo de caja mensual'!$A$64*Gastos!$B$19*Gastos!$B$17+HLOOKUP('Flujo de caja mensual'!BX2,Gastos!$J$6:$T$10,4,0))/-12,HLOOKUP('Flujo de caja mensual'!BX2,Gastos!$J$6:$T$10,5,0)/-12)</f>
        <v>-169272563.2329888</v>
      </c>
      <c r="BY38" s="145">
        <f>IF(AND(BY1&gt;Resumen!$K$19,Gastos!$B$18="Yes"),('Flujo de caja mensual'!$A$64*Gastos!$B$19*Gastos!$B$17+HLOOKUP('Flujo de caja mensual'!BY2,Gastos!$J$6:$T$10,4,0))/-12,HLOOKUP('Flujo de caja mensual'!BY2,Gastos!$J$6:$T$10,5,0)/-12)</f>
        <v>-169272563.2329888</v>
      </c>
      <c r="BZ38" s="145">
        <f>IF(AND(BZ1&gt;Resumen!$K$19,Gastos!$B$18="Yes"),('Flujo de caja mensual'!$A$64*Gastos!$B$19*Gastos!$B$17+HLOOKUP('Flujo de caja mensual'!BZ2,Gastos!$J$6:$T$10,4,0))/-12,HLOOKUP('Flujo de caja mensual'!BZ2,Gastos!$J$6:$T$10,5,0)/-12)</f>
        <v>-169272563.2329888</v>
      </c>
      <c r="CA38" s="145">
        <f>IF(AND(CA1&gt;Resumen!$K$19,Gastos!$B$18="Yes"),('Flujo de caja mensual'!$A$64*Gastos!$B$19*Gastos!$B$17+HLOOKUP('Flujo de caja mensual'!CA2,Gastos!$J$6:$T$10,4,0))/-12,HLOOKUP('Flujo de caja mensual'!CA2,Gastos!$J$6:$T$10,5,0)/-12)</f>
        <v>-169272563.2329888</v>
      </c>
      <c r="CB38" s="145">
        <f>IF(AND(CB1&gt;Resumen!$K$19,Gastos!$B$18="Yes"),('Flujo de caja mensual'!$A$64*Gastos!$B$19*Gastos!$B$17+HLOOKUP('Flujo de caja mensual'!CB2,Gastos!$J$6:$T$10,4,0))/-12,HLOOKUP('Flujo de caja mensual'!CB2,Gastos!$J$6:$T$10,5,0)/-12)</f>
        <v>-169272563.2329888</v>
      </c>
      <c r="CC38" s="145">
        <f>IF(AND(CC1&gt;Resumen!$K$19,Gastos!$B$18="Yes"),('Flujo de caja mensual'!$A$64*Gastos!$B$19*Gastos!$B$17+HLOOKUP('Flujo de caja mensual'!CC2,Gastos!$J$6:$T$10,4,0))/-12,HLOOKUP('Flujo de caja mensual'!CC2,Gastos!$J$6:$T$10,5,0)/-12)</f>
        <v>-169272563.2329888</v>
      </c>
      <c r="CD38" s="145">
        <f>IF(AND(CD1&gt;Resumen!$K$19,Gastos!$B$18="Yes"),('Flujo de caja mensual'!$A$64*Gastos!$B$19*Gastos!$B$17+HLOOKUP('Flujo de caja mensual'!CD2,Gastos!$J$6:$T$10,4,0))/-12,HLOOKUP('Flujo de caja mensual'!CD2,Gastos!$J$6:$T$10,5,0)/-12)</f>
        <v>-169272563.2329888</v>
      </c>
      <c r="CE38" s="145">
        <f>IF(AND(CE1&gt;Resumen!$K$19,Gastos!$B$18="Yes"),('Flujo de caja mensual'!$A$64*Gastos!$B$19*Gastos!$B$17+HLOOKUP('Flujo de caja mensual'!CE2,Gastos!$J$6:$T$10,4,0))/-12,HLOOKUP('Flujo de caja mensual'!CE2,Gastos!$J$6:$T$10,5,0)/-12)</f>
        <v>-169272563.2329888</v>
      </c>
      <c r="CF38" s="145">
        <f>IF(AND(CF1&gt;Resumen!$K$19,Gastos!$B$18="Yes"),('Flujo de caja mensual'!$A$64*Gastos!$B$19*Gastos!$B$17+HLOOKUP('Flujo de caja mensual'!CF2,Gastos!$J$6:$T$10,4,0))/-12,HLOOKUP('Flujo de caja mensual'!CF2,Gastos!$J$6:$T$10,5,0)/-12)</f>
        <v>-169272563.2329888</v>
      </c>
      <c r="CG38" s="145">
        <f>IF(AND(CG1&gt;Resumen!$K$19,Gastos!$B$18="Yes"),('Flujo de caja mensual'!$A$64*Gastos!$B$19*Gastos!$B$17+HLOOKUP('Flujo de caja mensual'!CG2,Gastos!$J$6:$T$10,4,0))/-12,HLOOKUP('Flujo de caja mensual'!CG2,Gastos!$J$6:$T$10,5,0)/-12)</f>
        <v>-169272563.2329888</v>
      </c>
      <c r="CH38" s="145">
        <f>IF(AND(CH1&gt;Resumen!$K$19,Gastos!$B$18="Yes"),('Flujo de caja mensual'!$A$64*Gastos!$B$19*Gastos!$B$17+HLOOKUP('Flujo de caja mensual'!CH2,Gastos!$J$6:$T$10,4,0))/-12,HLOOKUP('Flujo de caja mensual'!CH2,Gastos!$J$6:$T$10,5,0)/-12)</f>
        <v>-169272563.2329888</v>
      </c>
      <c r="CI38" s="145">
        <f>IF(AND(CI1&gt;Resumen!$K$19,Gastos!$B$18="Yes"),('Flujo de caja mensual'!$A$64*Gastos!$B$19*Gastos!$B$17+HLOOKUP('Flujo de caja mensual'!CI2,Gastos!$J$6:$T$10,4,0))/-12,HLOOKUP('Flujo de caja mensual'!CI2,Gastos!$J$6:$T$10,5,0)/-12)</f>
        <v>-169272563.2329888</v>
      </c>
      <c r="CJ38" s="145">
        <f>IF(AND(CJ1&gt;Resumen!$K$19,Gastos!$B$18="Yes"),('Flujo de caja mensual'!$A$64*Gastos!$B$19*Gastos!$B$17+HLOOKUP('Flujo de caja mensual'!CJ2,Gastos!$J$6:$T$10,4,0))/-12,HLOOKUP('Flujo de caja mensual'!CJ2,Gastos!$J$6:$T$10,5,0)/-12)</f>
        <v>-174350740.12997845</v>
      </c>
      <c r="CK38" s="145">
        <f>IF(AND(CK1&gt;Resumen!$K$19,Gastos!$B$18="Yes"),('Flujo de caja mensual'!$A$64*Gastos!$B$19*Gastos!$B$17+HLOOKUP('Flujo de caja mensual'!CK2,Gastos!$J$6:$T$10,4,0))/-12,HLOOKUP('Flujo de caja mensual'!CK2,Gastos!$J$6:$T$10,5,0)/-12)</f>
        <v>-174350740.12997845</v>
      </c>
      <c r="CL38" s="145">
        <f>IF(AND(CL1&gt;Resumen!$K$19,Gastos!$B$18="Yes"),('Flujo de caja mensual'!$A$64*Gastos!$B$19*Gastos!$B$17+HLOOKUP('Flujo de caja mensual'!CL2,Gastos!$J$6:$T$10,4,0))/-12,HLOOKUP('Flujo de caja mensual'!CL2,Gastos!$J$6:$T$10,5,0)/-12)</f>
        <v>-174350740.12997845</v>
      </c>
      <c r="CM38" s="145">
        <f>IF(AND(CM1&gt;Resumen!$K$19,Gastos!$B$18="Yes"),('Flujo de caja mensual'!$A$64*Gastos!$B$19*Gastos!$B$17+HLOOKUP('Flujo de caja mensual'!CM2,Gastos!$J$6:$T$10,4,0))/-12,HLOOKUP('Flujo de caja mensual'!CM2,Gastos!$J$6:$T$10,5,0)/-12)</f>
        <v>-174350740.12997845</v>
      </c>
      <c r="CN38" s="145">
        <f>IF(AND(CN1&gt;Resumen!$K$19,Gastos!$B$18="Yes"),('Flujo de caja mensual'!$A$64*Gastos!$B$19*Gastos!$B$17+HLOOKUP('Flujo de caja mensual'!CN2,Gastos!$J$6:$T$10,4,0))/-12,HLOOKUP('Flujo de caja mensual'!CN2,Gastos!$J$6:$T$10,5,0)/-12)</f>
        <v>-174350740.12997845</v>
      </c>
      <c r="CO38" s="145">
        <f>IF(AND(CO1&gt;Resumen!$K$19,Gastos!$B$18="Yes"),('Flujo de caja mensual'!$A$64*Gastos!$B$19*Gastos!$B$17+HLOOKUP('Flujo de caja mensual'!CO2,Gastos!$J$6:$T$10,4,0))/-12,HLOOKUP('Flujo de caja mensual'!CO2,Gastos!$J$6:$T$10,5,0)/-12)</f>
        <v>-174350740.12997845</v>
      </c>
      <c r="CP38" s="145">
        <f>IF(AND(CP1&gt;Resumen!$K$19,Gastos!$B$18="Yes"),('Flujo de caja mensual'!$A$64*Gastos!$B$19*Gastos!$B$17+HLOOKUP('Flujo de caja mensual'!CP2,Gastos!$J$6:$T$10,4,0))/-12,HLOOKUP('Flujo de caja mensual'!CP2,Gastos!$J$6:$T$10,5,0)/-12)</f>
        <v>-174350740.12997845</v>
      </c>
      <c r="CQ38" s="145">
        <f>IF(AND(CQ1&gt;Resumen!$K$19,Gastos!$B$18="Yes"),('Flujo de caja mensual'!$A$64*Gastos!$B$19*Gastos!$B$17+HLOOKUP('Flujo de caja mensual'!CQ2,Gastos!$J$6:$T$10,4,0))/-12,HLOOKUP('Flujo de caja mensual'!CQ2,Gastos!$J$6:$T$10,5,0)/-12)</f>
        <v>-174350740.12997845</v>
      </c>
      <c r="CR38" s="145">
        <f>IF(AND(CR1&gt;Resumen!$K$19,Gastos!$B$18="Yes"),('Flujo de caja mensual'!$A$64*Gastos!$B$19*Gastos!$B$17+HLOOKUP('Flujo de caja mensual'!CR2,Gastos!$J$6:$T$10,4,0))/-12,HLOOKUP('Flujo de caja mensual'!CR2,Gastos!$J$6:$T$10,5,0)/-12)</f>
        <v>-174350740.12997845</v>
      </c>
      <c r="CS38" s="145">
        <f>IF(AND(CS1&gt;Resumen!$K$19,Gastos!$B$18="Yes"),('Flujo de caja mensual'!$A$64*Gastos!$B$19*Gastos!$B$17+HLOOKUP('Flujo de caja mensual'!CS2,Gastos!$J$6:$T$10,4,0))/-12,HLOOKUP('Flujo de caja mensual'!CS2,Gastos!$J$6:$T$10,5,0)/-12)</f>
        <v>-174350740.12997845</v>
      </c>
      <c r="CT38" s="145">
        <f>IF(AND(CT1&gt;Resumen!$K$19,Gastos!$B$18="Yes"),('Flujo de caja mensual'!$A$64*Gastos!$B$19*Gastos!$B$17+HLOOKUP('Flujo de caja mensual'!CT2,Gastos!$J$6:$T$10,4,0))/-12,HLOOKUP('Flujo de caja mensual'!CT2,Gastos!$J$6:$T$10,5,0)/-12)</f>
        <v>-174350740.12997845</v>
      </c>
      <c r="CU38" s="145">
        <f>IF(AND(CU1&gt;Resumen!$K$19,Gastos!$B$18="Yes"),('Flujo de caja mensual'!$A$64*Gastos!$B$19*Gastos!$B$17+HLOOKUP('Flujo de caja mensual'!CU2,Gastos!$J$6:$T$10,4,0))/-12,HLOOKUP('Flujo de caja mensual'!CU2,Gastos!$J$6:$T$10,5,0)/-12)</f>
        <v>-174350740.12997845</v>
      </c>
      <c r="CV38" s="145">
        <f>IF(AND(CV1&gt;Resumen!$K$19,Gastos!$B$18="Yes"),('Flujo de caja mensual'!$A$64*Gastos!$B$19*Gastos!$B$17+HLOOKUP('Flujo de caja mensual'!CV2,Gastos!$J$6:$T$10,4,0))/-12,HLOOKUP('Flujo de caja mensual'!CV2,Gastos!$J$6:$T$10,5,0)/-12)</f>
        <v>-179581262.3338778</v>
      </c>
      <c r="CW38" s="145">
        <f>IF(AND(CW1&gt;Resumen!$K$19,Gastos!$B$18="Yes"),('Flujo de caja mensual'!$A$64*Gastos!$B$19*Gastos!$B$17+HLOOKUP('Flujo de caja mensual'!CW2,Gastos!$J$6:$T$10,4,0))/-12,HLOOKUP('Flujo de caja mensual'!CW2,Gastos!$J$6:$T$10,5,0)/-12)</f>
        <v>-179581262.3338778</v>
      </c>
      <c r="CX38" s="145">
        <f>IF(AND(CX1&gt;Resumen!$K$19,Gastos!$B$18="Yes"),('Flujo de caja mensual'!$A$64*Gastos!$B$19*Gastos!$B$17+HLOOKUP('Flujo de caja mensual'!CX2,Gastos!$J$6:$T$10,4,0))/-12,HLOOKUP('Flujo de caja mensual'!CX2,Gastos!$J$6:$T$10,5,0)/-12)</f>
        <v>-179581262.3338778</v>
      </c>
      <c r="CY38" s="145">
        <f>IF(AND(CY1&gt;Resumen!$K$19,Gastos!$B$18="Yes"),('Flujo de caja mensual'!$A$64*Gastos!$B$19*Gastos!$B$17+HLOOKUP('Flujo de caja mensual'!CY2,Gastos!$J$6:$T$10,4,0))/-12,HLOOKUP('Flujo de caja mensual'!CY2,Gastos!$J$6:$T$10,5,0)/-12)</f>
        <v>-179581262.3338778</v>
      </c>
      <c r="CZ38" s="145">
        <f>IF(AND(CZ1&gt;Resumen!$K$19,Gastos!$B$18="Yes"),('Flujo de caja mensual'!$A$64*Gastos!$B$19*Gastos!$B$17+HLOOKUP('Flujo de caja mensual'!CZ2,Gastos!$J$6:$T$10,4,0))/-12,HLOOKUP('Flujo de caja mensual'!CZ2,Gastos!$J$6:$T$10,5,0)/-12)</f>
        <v>-179581262.3338778</v>
      </c>
      <c r="DA38" s="145">
        <f>IF(AND(DA1&gt;Resumen!$K$19,Gastos!$B$18="Yes"),('Flujo de caja mensual'!$A$64*Gastos!$B$19*Gastos!$B$17+HLOOKUP('Flujo de caja mensual'!DA2,Gastos!$J$6:$T$10,4,0))/-12,HLOOKUP('Flujo de caja mensual'!DA2,Gastos!$J$6:$T$10,5,0)/-12)</f>
        <v>-179581262.3338778</v>
      </c>
      <c r="DB38" s="145">
        <f>IF(AND(DB1&gt;Resumen!$K$19,Gastos!$B$18="Yes"),('Flujo de caja mensual'!$A$64*Gastos!$B$19*Gastos!$B$17+HLOOKUP('Flujo de caja mensual'!DB2,Gastos!$J$6:$T$10,4,0))/-12,HLOOKUP('Flujo de caja mensual'!DB2,Gastos!$J$6:$T$10,5,0)/-12)</f>
        <v>-179581262.3338778</v>
      </c>
      <c r="DC38" s="145">
        <f>IF(AND(DC1&gt;Resumen!$K$19,Gastos!$B$18="Yes"),('Flujo de caja mensual'!$A$64*Gastos!$B$19*Gastos!$B$17+HLOOKUP('Flujo de caja mensual'!DC2,Gastos!$J$6:$T$10,4,0))/-12,HLOOKUP('Flujo de caja mensual'!DC2,Gastos!$J$6:$T$10,5,0)/-12)</f>
        <v>-179581262.3338778</v>
      </c>
      <c r="DD38" s="145">
        <f>IF(AND(DD1&gt;Resumen!$K$19,Gastos!$B$18="Yes"),('Flujo de caja mensual'!$A$64*Gastos!$B$19*Gastos!$B$17+HLOOKUP('Flujo de caja mensual'!DD2,Gastos!$J$6:$T$10,4,0))/-12,HLOOKUP('Flujo de caja mensual'!DD2,Gastos!$J$6:$T$10,5,0)/-12)</f>
        <v>-179581262.3338778</v>
      </c>
      <c r="DE38" s="145">
        <f>IF(AND(DE1&gt;Resumen!$K$19,Gastos!$B$18="Yes"),('Flujo de caja mensual'!$A$64*Gastos!$B$19*Gastos!$B$17+HLOOKUP('Flujo de caja mensual'!DE2,Gastos!$J$6:$T$10,4,0))/-12,HLOOKUP('Flujo de caja mensual'!DE2,Gastos!$J$6:$T$10,5,0)/-12)</f>
        <v>-179581262.3338778</v>
      </c>
      <c r="DF38" s="145">
        <f>IF(AND(DF1&gt;Resumen!$K$19,Gastos!$B$18="Yes"),('Flujo de caja mensual'!$A$64*Gastos!$B$19*Gastos!$B$17+HLOOKUP('Flujo de caja mensual'!DF2,Gastos!$J$6:$T$10,4,0))/-12,HLOOKUP('Flujo de caja mensual'!DF2,Gastos!$J$6:$T$10,5,0)/-12)</f>
        <v>-179581262.3338778</v>
      </c>
      <c r="DG38" s="145">
        <f>IF(AND(DG1&gt;Resumen!$K$19,Gastos!$B$18="Yes"),('Flujo de caja mensual'!$A$64*Gastos!$B$19*Gastos!$B$17+HLOOKUP('Flujo de caja mensual'!DG2,Gastos!$J$6:$T$10,4,0))/-12,HLOOKUP('Flujo de caja mensual'!DG2,Gastos!$J$6:$T$10,5,0)/-12)</f>
        <v>-179581262.3338778</v>
      </c>
      <c r="DH38" s="145">
        <f>IF(AND(DH1&gt;Resumen!$K$19,Gastos!$B$18="Yes"),('Flujo de caja mensual'!$A$64*Gastos!$B$19*Gastos!$B$17+HLOOKUP('Flujo de caja mensual'!DH2,Gastos!$J$6:$T$10,4,0))/-12,HLOOKUP('Flujo de caja mensual'!DH2,Gastos!$J$6:$T$10,5,0)/-12)</f>
        <v>-184968700.20389414</v>
      </c>
      <c r="DI38" s="145">
        <f>IF(AND(DI1&gt;Resumen!$K$19,Gastos!$B$18="Yes"),('Flujo de caja mensual'!$A$64*Gastos!$B$19*Gastos!$B$17+HLOOKUP('Flujo de caja mensual'!DI2,Gastos!$J$6:$T$10,4,0))/-12,HLOOKUP('Flujo de caja mensual'!DI2,Gastos!$J$6:$T$10,5,0)/-12)</f>
        <v>-184968700.20389414</v>
      </c>
      <c r="DJ38" s="145">
        <f>IF(AND(DJ1&gt;Resumen!$K$19,Gastos!$B$18="Yes"),('Flujo de caja mensual'!$A$64*Gastos!$B$19*Gastos!$B$17+HLOOKUP('Flujo de caja mensual'!DJ2,Gastos!$J$6:$T$10,4,0))/-12,HLOOKUP('Flujo de caja mensual'!DJ2,Gastos!$J$6:$T$10,5,0)/-12)</f>
        <v>-184968700.20389414</v>
      </c>
      <c r="DK38" s="145">
        <f>IF(AND(DK1&gt;Resumen!$K$19,Gastos!$B$18="Yes"),('Flujo de caja mensual'!$A$64*Gastos!$B$19*Gastos!$B$17+HLOOKUP('Flujo de caja mensual'!DK2,Gastos!$J$6:$T$10,4,0))/-12,HLOOKUP('Flujo de caja mensual'!DK2,Gastos!$J$6:$T$10,5,0)/-12)</f>
        <v>-184968700.20389414</v>
      </c>
      <c r="DL38" s="145">
        <f>IF(AND(DL1&gt;Resumen!$K$19,Gastos!$B$18="Yes"),('Flujo de caja mensual'!$A$64*Gastos!$B$19*Gastos!$B$17+HLOOKUP('Flujo de caja mensual'!DL2,Gastos!$J$6:$T$10,4,0))/-12,HLOOKUP('Flujo de caja mensual'!DL2,Gastos!$J$6:$T$10,5,0)/-12)</f>
        <v>-184968700.20389414</v>
      </c>
      <c r="DM38" s="145">
        <f>IF(AND(DM1&gt;Resumen!$K$19,Gastos!$B$18="Yes"),('Flujo de caja mensual'!$A$64*Gastos!$B$19*Gastos!$B$17+HLOOKUP('Flujo de caja mensual'!DM2,Gastos!$J$6:$T$10,4,0))/-12,HLOOKUP('Flujo de caja mensual'!DM2,Gastos!$J$6:$T$10,5,0)/-12)</f>
        <v>-184968700.20389414</v>
      </c>
      <c r="DN38" s="145">
        <f>IF(AND(DN1&gt;Resumen!$K$19,Gastos!$B$18="Yes"),('Flujo de caja mensual'!$A$64*Gastos!$B$19*Gastos!$B$17+HLOOKUP('Flujo de caja mensual'!DN2,Gastos!$J$6:$T$10,4,0))/-12,HLOOKUP('Flujo de caja mensual'!DN2,Gastos!$J$6:$T$10,5,0)/-12)</f>
        <v>-184968700.20389414</v>
      </c>
      <c r="DO38" s="145">
        <f>IF(AND(DO1&gt;Resumen!$K$19,Gastos!$B$18="Yes"),('Flujo de caja mensual'!$A$64*Gastos!$B$19*Gastos!$B$17+HLOOKUP('Flujo de caja mensual'!DO2,Gastos!$J$6:$T$10,4,0))/-12,HLOOKUP('Flujo de caja mensual'!DO2,Gastos!$J$6:$T$10,5,0)/-12)</f>
        <v>-184968700.20389414</v>
      </c>
      <c r="DP38" s="145">
        <f>IF(AND(DP1&gt;Resumen!$K$19,Gastos!$B$18="Yes"),('Flujo de caja mensual'!$A$64*Gastos!$B$19*Gastos!$B$17+HLOOKUP('Flujo de caja mensual'!DP2,Gastos!$J$6:$T$10,4,0))/-12,HLOOKUP('Flujo de caja mensual'!DP2,Gastos!$J$6:$T$10,5,0)/-12)</f>
        <v>-184968700.20389414</v>
      </c>
      <c r="DQ38" s="145">
        <f>IF(AND(DQ1&gt;Resumen!$K$19,Gastos!$B$18="Yes"),('Flujo de caja mensual'!$A$64*Gastos!$B$19*Gastos!$B$17+HLOOKUP('Flujo de caja mensual'!DQ2,Gastos!$J$6:$T$10,4,0))/-12,HLOOKUP('Flujo de caja mensual'!DQ2,Gastos!$J$6:$T$10,5,0)/-12)</f>
        <v>-184968700.20389414</v>
      </c>
      <c r="DR38" s="145">
        <f>IF(AND(DR1&gt;Resumen!$K$19,Gastos!$B$18="Yes"),('Flujo de caja mensual'!$A$64*Gastos!$B$19*Gastos!$B$17+HLOOKUP('Flujo de caja mensual'!DR2,Gastos!$J$6:$T$10,4,0))/-12,HLOOKUP('Flujo de caja mensual'!DR2,Gastos!$J$6:$T$10,5,0)/-12)</f>
        <v>-184968700.20389414</v>
      </c>
      <c r="DS38" s="145">
        <f>IF(AND(DS1&gt;Resumen!$K$19,Gastos!$B$18="Yes"),('Flujo de caja mensual'!$A$64*Gastos!$B$19*Gastos!$B$17+HLOOKUP('Flujo de caja mensual'!DS2,Gastos!$J$6:$T$10,4,0))/-12,HLOOKUP('Flujo de caja mensual'!DS2,Gastos!$J$6:$T$10,5,0)/-12)</f>
        <v>-184968700.20389414</v>
      </c>
      <c r="DT38" s="145">
        <f>IF(AND(DT1&gt;Resumen!$K$19,Gastos!$B$18="Yes"),('Flujo de caja mensual'!$A$64*Gastos!$B$19*Gastos!$B$17+HLOOKUP('Flujo de caja mensual'!DT2,Gastos!$J$6:$T$10,4,0))/-12,HLOOKUP('Flujo de caja mensual'!DT2,Gastos!$J$6:$T$10,5,0)/-12)</f>
        <v>-190517761.21001098</v>
      </c>
      <c r="DU38" s="145">
        <f>IF(AND(DU1&gt;Resumen!$K$19,Gastos!$B$18="Yes"),('Flujo de caja mensual'!$A$64*Gastos!$B$19*Gastos!$B$17+HLOOKUP('Flujo de caja mensual'!DU2,Gastos!$J$6:$T$10,4,0))/-12,HLOOKUP('Flujo de caja mensual'!DU2,Gastos!$J$6:$T$10,5,0)/-12)</f>
        <v>-190517761.21001098</v>
      </c>
      <c r="DV38" s="145">
        <f>IF(AND(DV1&gt;Resumen!$K$19,Gastos!$B$18="Yes"),('Flujo de caja mensual'!$A$64*Gastos!$B$19*Gastos!$B$17+HLOOKUP('Flujo de caja mensual'!DV2,Gastos!$J$6:$T$10,4,0))/-12,HLOOKUP('Flujo de caja mensual'!DV2,Gastos!$J$6:$T$10,5,0)/-12)</f>
        <v>-190517761.21001098</v>
      </c>
      <c r="DW38" s="145">
        <f>IF(AND(DW1&gt;Resumen!$K$19,Gastos!$B$18="Yes"),('Flujo de caja mensual'!$A$64*Gastos!$B$19*Gastos!$B$17+HLOOKUP('Flujo de caja mensual'!DW2,Gastos!$J$6:$T$10,4,0))/-12,HLOOKUP('Flujo de caja mensual'!DW2,Gastos!$J$6:$T$10,5,0)/-12)</f>
        <v>-190517761.21001098</v>
      </c>
      <c r="DX38" s="145">
        <f>IF(AND(DX1&gt;Resumen!$K$19,Gastos!$B$18="Yes"),('Flujo de caja mensual'!$A$64*Gastos!$B$19*Gastos!$B$17+HLOOKUP('Flujo de caja mensual'!DX2,Gastos!$J$6:$T$10,4,0))/-12,HLOOKUP('Flujo de caja mensual'!DX2,Gastos!$J$6:$T$10,5,0)/-12)</f>
        <v>-190517761.21001098</v>
      </c>
      <c r="DY38" s="145">
        <f>IF(AND(DY1&gt;Resumen!$K$19,Gastos!$B$18="Yes"),('Flujo de caja mensual'!$A$64*Gastos!$B$19*Gastos!$B$17+HLOOKUP('Flujo de caja mensual'!DY2,Gastos!$J$6:$T$10,4,0))/-12,HLOOKUP('Flujo de caja mensual'!DY2,Gastos!$J$6:$T$10,5,0)/-12)</f>
        <v>-190517761.21001098</v>
      </c>
      <c r="DZ38" s="145">
        <f>IF(AND(DZ1&gt;Resumen!$K$19,Gastos!$B$18="Yes"),('Flujo de caja mensual'!$A$64*Gastos!$B$19*Gastos!$B$17+HLOOKUP('Flujo de caja mensual'!DZ2,Gastos!$J$6:$T$10,4,0))/-12,HLOOKUP('Flujo de caja mensual'!DZ2,Gastos!$J$6:$T$10,5,0)/-12)</f>
        <v>-190517761.21001098</v>
      </c>
      <c r="EA38" s="145">
        <f>IF(AND(EA1&gt;Resumen!$K$19,Gastos!$B$18="Yes"),('Flujo de caja mensual'!$A$64*Gastos!$B$19*Gastos!$B$17+HLOOKUP('Flujo de caja mensual'!EA2,Gastos!$J$6:$T$10,4,0))/-12,HLOOKUP('Flujo de caja mensual'!EA2,Gastos!$J$6:$T$10,5,0)/-12)</f>
        <v>-190517761.21001098</v>
      </c>
      <c r="EB38" s="145">
        <f>IF(AND(EB1&gt;Resumen!$K$19,Gastos!$B$18="Yes"),('Flujo de caja mensual'!$A$64*Gastos!$B$19*Gastos!$B$17+HLOOKUP('Flujo de caja mensual'!EB2,Gastos!$J$6:$T$10,4,0))/-12,HLOOKUP('Flujo de caja mensual'!EB2,Gastos!$J$6:$T$10,5,0)/-12)</f>
        <v>-190517761.21001098</v>
      </c>
      <c r="EC38" s="145">
        <f>IF(AND(EC1&gt;Resumen!$K$19,Gastos!$B$18="Yes"),('Flujo de caja mensual'!$A$64*Gastos!$B$19*Gastos!$B$17+HLOOKUP('Flujo de caja mensual'!EC2,Gastos!$J$6:$T$10,4,0))/-12,HLOOKUP('Flujo de caja mensual'!EC2,Gastos!$J$6:$T$10,5,0)/-12)</f>
        <v>-190517761.21001098</v>
      </c>
      <c r="ED38" s="145">
        <f>IF(AND(ED1&gt;Resumen!$K$19,Gastos!$B$18="Yes"),('Flujo de caja mensual'!$A$64*Gastos!$B$19*Gastos!$B$17+HLOOKUP('Flujo de caja mensual'!ED2,Gastos!$J$6:$T$10,4,0))/-12,HLOOKUP('Flujo de caja mensual'!ED2,Gastos!$J$6:$T$10,5,0)/-12)</f>
        <v>-190517761.21001098</v>
      </c>
      <c r="EE38" s="146">
        <f>IF(AND(EE1&gt;Resumen!$K$19,Gastos!$B$18="Yes"),('Flujo de caja mensual'!$A$64*Gastos!$B$19*Gastos!$B$17+HLOOKUP('Flujo de caja mensual'!EE2,Gastos!$J$6:$T$10,4,0))/-12,HLOOKUP('Flujo de caja mensual'!EE2,Gastos!$J$6:$T$10,5,0)/-12)</f>
        <v>-190517761.21001098</v>
      </c>
    </row>
    <row r="39" spans="1:135" x14ac:dyDescent="0.25">
      <c r="A39" s="152">
        <f>SUMIF($C$1:$EE$1,"&lt;="&amp;Resumen!$K$19,'Flujo de caja mensual'!C39:EE39)</f>
        <v>-1099181606.0644224</v>
      </c>
      <c r="B39" s="5" t="str">
        <f>Gastos!E13</f>
        <v>Seguros</v>
      </c>
      <c r="C39" s="144"/>
      <c r="D39" s="145">
        <f>-Gastos!$F$13/12*(1+Gastos!$F$17)^('Flujo de caja mensual'!D2-1)</f>
        <v>-7282497.2000000002</v>
      </c>
      <c r="E39" s="145">
        <f>-Gastos!$F$13/12*(1+Gastos!$F$17)^('Flujo de caja mensual'!E2-1)</f>
        <v>-7282497.2000000002</v>
      </c>
      <c r="F39" s="145">
        <f>-Gastos!$F$13/12*(1+Gastos!$F$17)^('Flujo de caja mensual'!F2-1)</f>
        <v>-7282497.2000000002</v>
      </c>
      <c r="G39" s="145">
        <f>-Gastos!$F$13/12*(1+Gastos!$F$17)^('Flujo de caja mensual'!G2-1)</f>
        <v>-7282497.2000000002</v>
      </c>
      <c r="H39" s="145">
        <f>-Gastos!$F$13/12*(1+Gastos!$F$17)^('Flujo de caja mensual'!H2-1)</f>
        <v>-7282497.2000000002</v>
      </c>
      <c r="I39" s="145">
        <f>-Gastos!$F$13/12*(1+Gastos!$F$17)^('Flujo de caja mensual'!I2-1)</f>
        <v>-7282497.2000000002</v>
      </c>
      <c r="J39" s="145">
        <f>-Gastos!$F$13/12*(1+Gastos!$F$17)^('Flujo de caja mensual'!J2-1)</f>
        <v>-7282497.2000000002</v>
      </c>
      <c r="K39" s="145">
        <f>-Gastos!$F$13/12*(1+Gastos!$F$17)^('Flujo de caja mensual'!K2-1)</f>
        <v>-7282497.2000000002</v>
      </c>
      <c r="L39" s="145">
        <f>-Gastos!$F$13/12*(1+Gastos!$F$17)^('Flujo de caja mensual'!L2-1)</f>
        <v>-7282497.2000000002</v>
      </c>
      <c r="M39" s="145">
        <f>-Gastos!$F$13/12*(1+Gastos!$F$17)^('Flujo de caja mensual'!M2-1)</f>
        <v>-7282497.2000000002</v>
      </c>
      <c r="N39" s="145">
        <f>-Gastos!$F$13/12*(1+Gastos!$F$17)^('Flujo de caja mensual'!N2-1)</f>
        <v>-7282497.2000000002</v>
      </c>
      <c r="O39" s="145">
        <f>-Gastos!$F$13/12*(1+Gastos!$F$17)^('Flujo de caja mensual'!O2-1)</f>
        <v>-7282497.2000000002</v>
      </c>
      <c r="P39" s="145">
        <f>-Gastos!$F$13/12*(1+Gastos!$F$17)^('Flujo de caja mensual'!P2-1)</f>
        <v>-7646622.0600000005</v>
      </c>
      <c r="Q39" s="145">
        <f>-Gastos!$F$13/12*(1+Gastos!$F$17)^('Flujo de caja mensual'!Q2-1)</f>
        <v>-7646622.0600000005</v>
      </c>
      <c r="R39" s="145">
        <f>-Gastos!$F$13/12*(1+Gastos!$F$17)^('Flujo de caja mensual'!R2-1)</f>
        <v>-7646622.0600000005</v>
      </c>
      <c r="S39" s="145">
        <f>-Gastos!$F$13/12*(1+Gastos!$F$17)^('Flujo de caja mensual'!S2-1)</f>
        <v>-7646622.0600000005</v>
      </c>
      <c r="T39" s="145">
        <f>-Gastos!$F$13/12*(1+Gastos!$F$17)^('Flujo de caja mensual'!T2-1)</f>
        <v>-7646622.0600000005</v>
      </c>
      <c r="U39" s="145">
        <f>-Gastos!$F$13/12*(1+Gastos!$F$17)^('Flujo de caja mensual'!U2-1)</f>
        <v>-7646622.0600000005</v>
      </c>
      <c r="V39" s="145">
        <f>-Gastos!$F$13/12*(1+Gastos!$F$17)^('Flujo de caja mensual'!V2-1)</f>
        <v>-7646622.0600000005</v>
      </c>
      <c r="W39" s="145">
        <f>-Gastos!$F$13/12*(1+Gastos!$F$17)^('Flujo de caja mensual'!W2-1)</f>
        <v>-7646622.0600000005</v>
      </c>
      <c r="X39" s="145">
        <f>-Gastos!$F$13/12*(1+Gastos!$F$17)^('Flujo de caja mensual'!X2-1)</f>
        <v>-7646622.0600000005</v>
      </c>
      <c r="Y39" s="145">
        <f>-Gastos!$F$13/12*(1+Gastos!$F$17)^('Flujo de caja mensual'!Y2-1)</f>
        <v>-7646622.0600000005</v>
      </c>
      <c r="Z39" s="145">
        <f>-Gastos!$F$13/12*(1+Gastos!$F$17)^('Flujo de caja mensual'!Z2-1)</f>
        <v>-7646622.0600000005</v>
      </c>
      <c r="AA39" s="145">
        <f>-Gastos!$F$13/12*(1+Gastos!$F$17)^('Flujo de caja mensual'!AA2-1)</f>
        <v>-7646622.0600000005</v>
      </c>
      <c r="AB39" s="145">
        <f>-Gastos!$F$13/12*(1+Gastos!$F$17)^('Flujo de caja mensual'!AB2-1)</f>
        <v>-8028953.1630000006</v>
      </c>
      <c r="AC39" s="145">
        <f>-Gastos!$F$13/12*(1+Gastos!$F$17)^('Flujo de caja mensual'!AC2-1)</f>
        <v>-8028953.1630000006</v>
      </c>
      <c r="AD39" s="145">
        <f>-Gastos!$F$13/12*(1+Gastos!$F$17)^('Flujo de caja mensual'!AD2-1)</f>
        <v>-8028953.1630000006</v>
      </c>
      <c r="AE39" s="145">
        <f>-Gastos!$F$13/12*(1+Gastos!$F$17)^('Flujo de caja mensual'!AE2-1)</f>
        <v>-8028953.1630000006</v>
      </c>
      <c r="AF39" s="145">
        <f>-Gastos!$F$13/12*(1+Gastos!$F$17)^('Flujo de caja mensual'!AF2-1)</f>
        <v>-8028953.1630000006</v>
      </c>
      <c r="AG39" s="145">
        <f>-Gastos!$F$13/12*(1+Gastos!$F$17)^('Flujo de caja mensual'!AG2-1)</f>
        <v>-8028953.1630000006</v>
      </c>
      <c r="AH39" s="145">
        <f>-Gastos!$F$13/12*(1+Gastos!$F$17)^('Flujo de caja mensual'!AH2-1)</f>
        <v>-8028953.1630000006</v>
      </c>
      <c r="AI39" s="145">
        <f>-Gastos!$F$13/12*(1+Gastos!$F$17)^('Flujo de caja mensual'!AI2-1)</f>
        <v>-8028953.1630000006</v>
      </c>
      <c r="AJ39" s="145">
        <f>-Gastos!$F$13/12*(1+Gastos!$F$17)^('Flujo de caja mensual'!AJ2-1)</f>
        <v>-8028953.1630000006</v>
      </c>
      <c r="AK39" s="145">
        <f>-Gastos!$F$13/12*(1+Gastos!$F$17)^('Flujo de caja mensual'!AK2-1)</f>
        <v>-8028953.1630000006</v>
      </c>
      <c r="AL39" s="145">
        <f>-Gastos!$F$13/12*(1+Gastos!$F$17)^('Flujo de caja mensual'!AL2-1)</f>
        <v>-8028953.1630000006</v>
      </c>
      <c r="AM39" s="145">
        <f>-Gastos!$F$13/12*(1+Gastos!$F$17)^('Flujo de caja mensual'!AM2-1)</f>
        <v>-8028953.1630000006</v>
      </c>
      <c r="AN39" s="145">
        <f>-Gastos!$F$13/12*(1+Gastos!$F$17)^('Flujo de caja mensual'!AN2-1)</f>
        <v>-8430400.8211500011</v>
      </c>
      <c r="AO39" s="145">
        <f>-Gastos!$F$13/12*(1+Gastos!$F$17)^('Flujo de caja mensual'!AO2-1)</f>
        <v>-8430400.8211500011</v>
      </c>
      <c r="AP39" s="145">
        <f>-Gastos!$F$13/12*(1+Gastos!$F$17)^('Flujo de caja mensual'!AP2-1)</f>
        <v>-8430400.8211500011</v>
      </c>
      <c r="AQ39" s="145">
        <f>-Gastos!$F$13/12*(1+Gastos!$F$17)^('Flujo de caja mensual'!AQ2-1)</f>
        <v>-8430400.8211500011</v>
      </c>
      <c r="AR39" s="145">
        <f>-Gastos!$F$13/12*(1+Gastos!$F$17)^('Flujo de caja mensual'!AR2-1)</f>
        <v>-8430400.8211500011</v>
      </c>
      <c r="AS39" s="145">
        <f>-Gastos!$F$13/12*(1+Gastos!$F$17)^('Flujo de caja mensual'!AS2-1)</f>
        <v>-8430400.8211500011</v>
      </c>
      <c r="AT39" s="145">
        <f>-Gastos!$F$13/12*(1+Gastos!$F$17)^('Flujo de caja mensual'!AT2-1)</f>
        <v>-8430400.8211500011</v>
      </c>
      <c r="AU39" s="145">
        <f>-Gastos!$F$13/12*(1+Gastos!$F$17)^('Flujo de caja mensual'!AU2-1)</f>
        <v>-8430400.8211500011</v>
      </c>
      <c r="AV39" s="145">
        <f>-Gastos!$F$13/12*(1+Gastos!$F$17)^('Flujo de caja mensual'!AV2-1)</f>
        <v>-8430400.8211500011</v>
      </c>
      <c r="AW39" s="145">
        <f>-Gastos!$F$13/12*(1+Gastos!$F$17)^('Flujo de caja mensual'!AW2-1)</f>
        <v>-8430400.8211500011</v>
      </c>
      <c r="AX39" s="145">
        <f>-Gastos!$F$13/12*(1+Gastos!$F$17)^('Flujo de caja mensual'!AX2-1)</f>
        <v>-8430400.8211500011</v>
      </c>
      <c r="AY39" s="145">
        <f>-Gastos!$F$13/12*(1+Gastos!$F$17)^('Flujo de caja mensual'!AY2-1)</f>
        <v>-8430400.8211500011</v>
      </c>
      <c r="AZ39" s="145">
        <f>-Gastos!$F$13/12*(1+Gastos!$F$17)^('Flujo de caja mensual'!AZ2-1)</f>
        <v>-8851920.8622075003</v>
      </c>
      <c r="BA39" s="145">
        <f>-Gastos!$F$13/12*(1+Gastos!$F$17)^('Flujo de caja mensual'!BA2-1)</f>
        <v>-8851920.8622075003</v>
      </c>
      <c r="BB39" s="145">
        <f>-Gastos!$F$13/12*(1+Gastos!$F$17)^('Flujo de caja mensual'!BB2-1)</f>
        <v>-8851920.8622075003</v>
      </c>
      <c r="BC39" s="145">
        <f>-Gastos!$F$13/12*(1+Gastos!$F$17)^('Flujo de caja mensual'!BC2-1)</f>
        <v>-8851920.8622075003</v>
      </c>
      <c r="BD39" s="145">
        <f>-Gastos!$F$13/12*(1+Gastos!$F$17)^('Flujo de caja mensual'!BD2-1)</f>
        <v>-8851920.8622075003</v>
      </c>
      <c r="BE39" s="145">
        <f>-Gastos!$F$13/12*(1+Gastos!$F$17)^('Flujo de caja mensual'!BE2-1)</f>
        <v>-8851920.8622075003</v>
      </c>
      <c r="BF39" s="145">
        <f>-Gastos!$F$13/12*(1+Gastos!$F$17)^('Flujo de caja mensual'!BF2-1)</f>
        <v>-8851920.8622075003</v>
      </c>
      <c r="BG39" s="145">
        <f>-Gastos!$F$13/12*(1+Gastos!$F$17)^('Flujo de caja mensual'!BG2-1)</f>
        <v>-8851920.8622075003</v>
      </c>
      <c r="BH39" s="145">
        <f>-Gastos!$F$13/12*(1+Gastos!$F$17)^('Flujo de caja mensual'!BH2-1)</f>
        <v>-8851920.8622075003</v>
      </c>
      <c r="BI39" s="145">
        <f>-Gastos!$F$13/12*(1+Gastos!$F$17)^('Flujo de caja mensual'!BI2-1)</f>
        <v>-8851920.8622075003</v>
      </c>
      <c r="BJ39" s="145">
        <f>-Gastos!$F$13/12*(1+Gastos!$F$17)^('Flujo de caja mensual'!BJ2-1)</f>
        <v>-8851920.8622075003</v>
      </c>
      <c r="BK39" s="145">
        <f>-Gastos!$F$13/12*(1+Gastos!$F$17)^('Flujo de caja mensual'!BK2-1)</f>
        <v>-8851920.8622075003</v>
      </c>
      <c r="BL39" s="145">
        <f>-Gastos!$F$13/12*(1+Gastos!$F$17)^('Flujo de caja mensual'!BL2-1)</f>
        <v>-9294516.9053178765</v>
      </c>
      <c r="BM39" s="145">
        <f>-Gastos!$F$13/12*(1+Gastos!$F$17)^('Flujo de caja mensual'!BM2-1)</f>
        <v>-9294516.9053178765</v>
      </c>
      <c r="BN39" s="145">
        <f>-Gastos!$F$13/12*(1+Gastos!$F$17)^('Flujo de caja mensual'!BN2-1)</f>
        <v>-9294516.9053178765</v>
      </c>
      <c r="BO39" s="145">
        <f>-Gastos!$F$13/12*(1+Gastos!$F$17)^('Flujo de caja mensual'!BO2-1)</f>
        <v>-9294516.9053178765</v>
      </c>
      <c r="BP39" s="145">
        <f>-Gastos!$F$13/12*(1+Gastos!$F$17)^('Flujo de caja mensual'!BP2-1)</f>
        <v>-9294516.9053178765</v>
      </c>
      <c r="BQ39" s="145">
        <f>-Gastos!$F$13/12*(1+Gastos!$F$17)^('Flujo de caja mensual'!BQ2-1)</f>
        <v>-9294516.9053178765</v>
      </c>
      <c r="BR39" s="145">
        <f>-Gastos!$F$13/12*(1+Gastos!$F$17)^('Flujo de caja mensual'!BR2-1)</f>
        <v>-9294516.9053178765</v>
      </c>
      <c r="BS39" s="145">
        <f>-Gastos!$F$13/12*(1+Gastos!$F$17)^('Flujo de caja mensual'!BS2-1)</f>
        <v>-9294516.9053178765</v>
      </c>
      <c r="BT39" s="145">
        <f>-Gastos!$F$13/12*(1+Gastos!$F$17)^('Flujo de caja mensual'!BT2-1)</f>
        <v>-9294516.9053178765</v>
      </c>
      <c r="BU39" s="145">
        <f>-Gastos!$F$13/12*(1+Gastos!$F$17)^('Flujo de caja mensual'!BU2-1)</f>
        <v>-9294516.9053178765</v>
      </c>
      <c r="BV39" s="145">
        <f>-Gastos!$F$13/12*(1+Gastos!$F$17)^('Flujo de caja mensual'!BV2-1)</f>
        <v>-9294516.9053178765</v>
      </c>
      <c r="BW39" s="145">
        <f>-Gastos!$F$13/12*(1+Gastos!$F$17)^('Flujo de caja mensual'!BW2-1)</f>
        <v>-9294516.9053178765</v>
      </c>
      <c r="BX39" s="145">
        <f>-Gastos!$F$13/12*(1+Gastos!$F$17)^('Flujo de caja mensual'!BX2-1)</f>
        <v>-9759242.7505837679</v>
      </c>
      <c r="BY39" s="145">
        <f>-Gastos!$F$13/12*(1+Gastos!$F$17)^('Flujo de caja mensual'!BY2-1)</f>
        <v>-9759242.7505837679</v>
      </c>
      <c r="BZ39" s="145">
        <f>-Gastos!$F$13/12*(1+Gastos!$F$17)^('Flujo de caja mensual'!BZ2-1)</f>
        <v>-9759242.7505837679</v>
      </c>
      <c r="CA39" s="145">
        <f>-Gastos!$F$13/12*(1+Gastos!$F$17)^('Flujo de caja mensual'!CA2-1)</f>
        <v>-9759242.7505837679</v>
      </c>
      <c r="CB39" s="145">
        <f>-Gastos!$F$13/12*(1+Gastos!$F$17)^('Flujo de caja mensual'!CB2-1)</f>
        <v>-9759242.7505837679</v>
      </c>
      <c r="CC39" s="145">
        <f>-Gastos!$F$13/12*(1+Gastos!$F$17)^('Flujo de caja mensual'!CC2-1)</f>
        <v>-9759242.7505837679</v>
      </c>
      <c r="CD39" s="145">
        <f>-Gastos!$F$13/12*(1+Gastos!$F$17)^('Flujo de caja mensual'!CD2-1)</f>
        <v>-9759242.7505837679</v>
      </c>
      <c r="CE39" s="145">
        <f>-Gastos!$F$13/12*(1+Gastos!$F$17)^('Flujo de caja mensual'!CE2-1)</f>
        <v>-9759242.7505837679</v>
      </c>
      <c r="CF39" s="145">
        <f>-Gastos!$F$13/12*(1+Gastos!$F$17)^('Flujo de caja mensual'!CF2-1)</f>
        <v>-9759242.7505837679</v>
      </c>
      <c r="CG39" s="145">
        <f>-Gastos!$F$13/12*(1+Gastos!$F$17)^('Flujo de caja mensual'!CG2-1)</f>
        <v>-9759242.7505837679</v>
      </c>
      <c r="CH39" s="145">
        <f>-Gastos!$F$13/12*(1+Gastos!$F$17)^('Flujo de caja mensual'!CH2-1)</f>
        <v>-9759242.7505837679</v>
      </c>
      <c r="CI39" s="145">
        <f>-Gastos!$F$13/12*(1+Gastos!$F$17)^('Flujo de caja mensual'!CI2-1)</f>
        <v>-9759242.7505837679</v>
      </c>
      <c r="CJ39" s="145">
        <f>-Gastos!$F$13/12*(1+Gastos!$F$17)^('Flujo de caja mensual'!CJ2-1)</f>
        <v>-10247204.888112959</v>
      </c>
      <c r="CK39" s="145">
        <f>-Gastos!$F$13/12*(1+Gastos!$F$17)^('Flujo de caja mensual'!CK2-1)</f>
        <v>-10247204.888112959</v>
      </c>
      <c r="CL39" s="145">
        <f>-Gastos!$F$13/12*(1+Gastos!$F$17)^('Flujo de caja mensual'!CL2-1)</f>
        <v>-10247204.888112959</v>
      </c>
      <c r="CM39" s="145">
        <f>-Gastos!$F$13/12*(1+Gastos!$F$17)^('Flujo de caja mensual'!CM2-1)</f>
        <v>-10247204.888112959</v>
      </c>
      <c r="CN39" s="145">
        <f>-Gastos!$F$13/12*(1+Gastos!$F$17)^('Flujo de caja mensual'!CN2-1)</f>
        <v>-10247204.888112959</v>
      </c>
      <c r="CO39" s="145">
        <f>-Gastos!$F$13/12*(1+Gastos!$F$17)^('Flujo de caja mensual'!CO2-1)</f>
        <v>-10247204.888112959</v>
      </c>
      <c r="CP39" s="145">
        <f>-Gastos!$F$13/12*(1+Gastos!$F$17)^('Flujo de caja mensual'!CP2-1)</f>
        <v>-10247204.888112959</v>
      </c>
      <c r="CQ39" s="145">
        <f>-Gastos!$F$13/12*(1+Gastos!$F$17)^('Flujo de caja mensual'!CQ2-1)</f>
        <v>-10247204.888112959</v>
      </c>
      <c r="CR39" s="145">
        <f>-Gastos!$F$13/12*(1+Gastos!$F$17)^('Flujo de caja mensual'!CR2-1)</f>
        <v>-10247204.888112959</v>
      </c>
      <c r="CS39" s="145">
        <f>-Gastos!$F$13/12*(1+Gastos!$F$17)^('Flujo de caja mensual'!CS2-1)</f>
        <v>-10247204.888112959</v>
      </c>
      <c r="CT39" s="145">
        <f>-Gastos!$F$13/12*(1+Gastos!$F$17)^('Flujo de caja mensual'!CT2-1)</f>
        <v>-10247204.888112959</v>
      </c>
      <c r="CU39" s="145">
        <f>-Gastos!$F$13/12*(1+Gastos!$F$17)^('Flujo de caja mensual'!CU2-1)</f>
        <v>-10247204.888112959</v>
      </c>
      <c r="CV39" s="145">
        <f>-Gastos!$F$13/12*(1+Gastos!$F$17)^('Flujo de caja mensual'!CV2-1)</f>
        <v>-10759565.132518606</v>
      </c>
      <c r="CW39" s="145">
        <f>-Gastos!$F$13/12*(1+Gastos!$F$17)^('Flujo de caja mensual'!CW2-1)</f>
        <v>-10759565.132518606</v>
      </c>
      <c r="CX39" s="145">
        <f>-Gastos!$F$13/12*(1+Gastos!$F$17)^('Flujo de caja mensual'!CX2-1)</f>
        <v>-10759565.132518606</v>
      </c>
      <c r="CY39" s="145">
        <f>-Gastos!$F$13/12*(1+Gastos!$F$17)^('Flujo de caja mensual'!CY2-1)</f>
        <v>-10759565.132518606</v>
      </c>
      <c r="CZ39" s="145">
        <f>-Gastos!$F$13/12*(1+Gastos!$F$17)^('Flujo de caja mensual'!CZ2-1)</f>
        <v>-10759565.132518606</v>
      </c>
      <c r="DA39" s="145">
        <f>-Gastos!$F$13/12*(1+Gastos!$F$17)^('Flujo de caja mensual'!DA2-1)</f>
        <v>-10759565.132518606</v>
      </c>
      <c r="DB39" s="145">
        <f>-Gastos!$F$13/12*(1+Gastos!$F$17)^('Flujo de caja mensual'!DB2-1)</f>
        <v>-10759565.132518606</v>
      </c>
      <c r="DC39" s="145">
        <f>-Gastos!$F$13/12*(1+Gastos!$F$17)^('Flujo de caja mensual'!DC2-1)</f>
        <v>-10759565.132518606</v>
      </c>
      <c r="DD39" s="145">
        <f>-Gastos!$F$13/12*(1+Gastos!$F$17)^('Flujo de caja mensual'!DD2-1)</f>
        <v>-10759565.132518606</v>
      </c>
      <c r="DE39" s="145">
        <f>-Gastos!$F$13/12*(1+Gastos!$F$17)^('Flujo de caja mensual'!DE2-1)</f>
        <v>-10759565.132518606</v>
      </c>
      <c r="DF39" s="145">
        <f>-Gastos!$F$13/12*(1+Gastos!$F$17)^('Flujo de caja mensual'!DF2-1)</f>
        <v>-10759565.132518606</v>
      </c>
      <c r="DG39" s="145">
        <f>-Gastos!$F$13/12*(1+Gastos!$F$17)^('Flujo de caja mensual'!DG2-1)</f>
        <v>-10759565.132518606</v>
      </c>
      <c r="DH39" s="145">
        <f>-Gastos!$F$13/12*(1+Gastos!$F$17)^('Flujo de caja mensual'!DH2-1)</f>
        <v>-11297543.389144536</v>
      </c>
      <c r="DI39" s="145">
        <f>-Gastos!$F$13/12*(1+Gastos!$F$17)^('Flujo de caja mensual'!DI2-1)</f>
        <v>-11297543.389144536</v>
      </c>
      <c r="DJ39" s="145">
        <f>-Gastos!$F$13/12*(1+Gastos!$F$17)^('Flujo de caja mensual'!DJ2-1)</f>
        <v>-11297543.389144536</v>
      </c>
      <c r="DK39" s="145">
        <f>-Gastos!$F$13/12*(1+Gastos!$F$17)^('Flujo de caja mensual'!DK2-1)</f>
        <v>-11297543.389144536</v>
      </c>
      <c r="DL39" s="145">
        <f>-Gastos!$F$13/12*(1+Gastos!$F$17)^('Flujo de caja mensual'!DL2-1)</f>
        <v>-11297543.389144536</v>
      </c>
      <c r="DM39" s="145">
        <f>-Gastos!$F$13/12*(1+Gastos!$F$17)^('Flujo de caja mensual'!DM2-1)</f>
        <v>-11297543.389144536</v>
      </c>
      <c r="DN39" s="145">
        <f>-Gastos!$F$13/12*(1+Gastos!$F$17)^('Flujo de caja mensual'!DN2-1)</f>
        <v>-11297543.389144536</v>
      </c>
      <c r="DO39" s="145">
        <f>-Gastos!$F$13/12*(1+Gastos!$F$17)^('Flujo de caja mensual'!DO2-1)</f>
        <v>-11297543.389144536</v>
      </c>
      <c r="DP39" s="145">
        <f>-Gastos!$F$13/12*(1+Gastos!$F$17)^('Flujo de caja mensual'!DP2-1)</f>
        <v>-11297543.389144536</v>
      </c>
      <c r="DQ39" s="145">
        <f>-Gastos!$F$13/12*(1+Gastos!$F$17)^('Flujo de caja mensual'!DQ2-1)</f>
        <v>-11297543.389144536</v>
      </c>
      <c r="DR39" s="145">
        <f>-Gastos!$F$13/12*(1+Gastos!$F$17)^('Flujo de caja mensual'!DR2-1)</f>
        <v>-11297543.389144536</v>
      </c>
      <c r="DS39" s="145">
        <f>-Gastos!$F$13/12*(1+Gastos!$F$17)^('Flujo de caja mensual'!DS2-1)</f>
        <v>-11297543.389144536</v>
      </c>
      <c r="DT39" s="145">
        <f>-Gastos!$F$13/12*(1+Gastos!$F$17)^('Flujo de caja mensual'!DT2-1)</f>
        <v>-11862420.558601763</v>
      </c>
      <c r="DU39" s="145">
        <f>-Gastos!$F$13/12*(1+Gastos!$F$17)^('Flujo de caja mensual'!DU2-1)</f>
        <v>-11862420.558601763</v>
      </c>
      <c r="DV39" s="145">
        <f>-Gastos!$F$13/12*(1+Gastos!$F$17)^('Flujo de caja mensual'!DV2-1)</f>
        <v>-11862420.558601763</v>
      </c>
      <c r="DW39" s="145">
        <f>-Gastos!$F$13/12*(1+Gastos!$F$17)^('Flujo de caja mensual'!DW2-1)</f>
        <v>-11862420.558601763</v>
      </c>
      <c r="DX39" s="145">
        <f>-Gastos!$F$13/12*(1+Gastos!$F$17)^('Flujo de caja mensual'!DX2-1)</f>
        <v>-11862420.558601763</v>
      </c>
      <c r="DY39" s="145">
        <f>-Gastos!$F$13/12*(1+Gastos!$F$17)^('Flujo de caja mensual'!DY2-1)</f>
        <v>-11862420.558601763</v>
      </c>
      <c r="DZ39" s="145">
        <f>-Gastos!$F$13/12*(1+Gastos!$F$17)^('Flujo de caja mensual'!DZ2-1)</f>
        <v>-11862420.558601763</v>
      </c>
      <c r="EA39" s="145">
        <f>-Gastos!$F$13/12*(1+Gastos!$F$17)^('Flujo de caja mensual'!EA2-1)</f>
        <v>-11862420.558601763</v>
      </c>
      <c r="EB39" s="145">
        <f>-Gastos!$F$13/12*(1+Gastos!$F$17)^('Flujo de caja mensual'!EB2-1)</f>
        <v>-11862420.558601763</v>
      </c>
      <c r="EC39" s="145">
        <f>-Gastos!$F$13/12*(1+Gastos!$F$17)^('Flujo de caja mensual'!EC2-1)</f>
        <v>-11862420.558601763</v>
      </c>
      <c r="ED39" s="145">
        <f>-Gastos!$F$13/12*(1+Gastos!$F$17)^('Flujo de caja mensual'!ED2-1)</f>
        <v>-11862420.558601763</v>
      </c>
      <c r="EE39" s="146">
        <f>-Gastos!$F$13/12*(1+Gastos!$F$17)^('Flujo de caja mensual'!EE2-1)</f>
        <v>-11862420.558601763</v>
      </c>
    </row>
    <row r="40" spans="1:135" x14ac:dyDescent="0.25">
      <c r="A40" s="152">
        <f>SUMIF($C$1:$EE$1,"&lt;="&amp;Resumen!$K$19,'Flujo de caja mensual'!C40:EE40)</f>
        <v>0</v>
      </c>
      <c r="B40" s="5" t="s">
        <v>41</v>
      </c>
      <c r="C40" s="144"/>
      <c r="D40" s="145">
        <f>-Gastos!$F$18/12*Ingresos!$A$23*(1+Gastos!$F$17)^('Flujo de caja mensual'!D2-1)</f>
        <v>0</v>
      </c>
      <c r="E40" s="145">
        <f>-Gastos!$F$18/12*Ingresos!$A$23*(1+Gastos!$F$17)^('Flujo de caja mensual'!E2-1)</f>
        <v>0</v>
      </c>
      <c r="F40" s="145">
        <f>-Gastos!$F$18/12*Ingresos!$A$23*(1+Gastos!$F$17)^('Flujo de caja mensual'!F2-1)</f>
        <v>0</v>
      </c>
      <c r="G40" s="145">
        <f>-Gastos!$F$18/12*Ingresos!$A$23*(1+Gastos!$F$17)^('Flujo de caja mensual'!G2-1)</f>
        <v>0</v>
      </c>
      <c r="H40" s="145">
        <f>-Gastos!$F$18/12*Ingresos!$A$23*(1+Gastos!$F$17)^('Flujo de caja mensual'!H2-1)</f>
        <v>0</v>
      </c>
      <c r="I40" s="145">
        <f>-Gastos!$F$18/12*Ingresos!$A$23*(1+Gastos!$F$17)^('Flujo de caja mensual'!I2-1)</f>
        <v>0</v>
      </c>
      <c r="J40" s="145">
        <f>-Gastos!$F$18/12*Ingresos!$A$23*(1+Gastos!$F$17)^('Flujo de caja mensual'!J2-1)</f>
        <v>0</v>
      </c>
      <c r="K40" s="145">
        <f>-Gastos!$F$18/12*Ingresos!$A$23*(1+Gastos!$F$17)^('Flujo de caja mensual'!K2-1)</f>
        <v>0</v>
      </c>
      <c r="L40" s="145">
        <f>-Gastos!$F$18/12*Ingresos!$A$23*(1+Gastos!$F$17)^('Flujo de caja mensual'!L2-1)</f>
        <v>0</v>
      </c>
      <c r="M40" s="145">
        <f>-Gastos!$F$18/12*Ingresos!$A$23*(1+Gastos!$F$17)^('Flujo de caja mensual'!M2-1)</f>
        <v>0</v>
      </c>
      <c r="N40" s="145">
        <f>-Gastos!$F$18/12*Ingresos!$A$23*(1+Gastos!$F$17)^('Flujo de caja mensual'!N2-1)</f>
        <v>0</v>
      </c>
      <c r="O40" s="145">
        <f>-Gastos!$F$18/12*Ingresos!$A$23*(1+Gastos!$F$17)^('Flujo de caja mensual'!O2-1)</f>
        <v>0</v>
      </c>
      <c r="P40" s="145">
        <f>-Gastos!$F$18/12*Ingresos!$A$23*(1+Gastos!$F$17)^('Flujo de caja mensual'!P2-1)</f>
        <v>0</v>
      </c>
      <c r="Q40" s="145">
        <f>-Gastos!$F$18/12*Ingresos!$A$23*(1+Gastos!$F$17)^('Flujo de caja mensual'!Q2-1)</f>
        <v>0</v>
      </c>
      <c r="R40" s="145">
        <f>-Gastos!$F$18/12*Ingresos!$A$23*(1+Gastos!$F$17)^('Flujo de caja mensual'!R2-1)</f>
        <v>0</v>
      </c>
      <c r="S40" s="145">
        <f>-Gastos!$F$18/12*Ingresos!$A$23*(1+Gastos!$F$17)^('Flujo de caja mensual'!S2-1)</f>
        <v>0</v>
      </c>
      <c r="T40" s="145">
        <f>-Gastos!$F$18/12*Ingresos!$A$23*(1+Gastos!$F$17)^('Flujo de caja mensual'!T2-1)</f>
        <v>0</v>
      </c>
      <c r="U40" s="145">
        <f>-Gastos!$F$18/12*Ingresos!$A$23*(1+Gastos!$F$17)^('Flujo de caja mensual'!U2-1)</f>
        <v>0</v>
      </c>
      <c r="V40" s="145">
        <f>-Gastos!$F$18/12*Ingresos!$A$23*(1+Gastos!$F$17)^('Flujo de caja mensual'!V2-1)</f>
        <v>0</v>
      </c>
      <c r="W40" s="145">
        <f>-Gastos!$F$18/12*Ingresos!$A$23*(1+Gastos!$F$17)^('Flujo de caja mensual'!W2-1)</f>
        <v>0</v>
      </c>
      <c r="X40" s="145">
        <f>-Gastos!$F$18/12*Ingresos!$A$23*(1+Gastos!$F$17)^('Flujo de caja mensual'!X2-1)</f>
        <v>0</v>
      </c>
      <c r="Y40" s="145">
        <f>-Gastos!$F$18/12*Ingresos!$A$23*(1+Gastos!$F$17)^('Flujo de caja mensual'!Y2-1)</f>
        <v>0</v>
      </c>
      <c r="Z40" s="145">
        <f>-Gastos!$F$18/12*Ingresos!$A$23*(1+Gastos!$F$17)^('Flujo de caja mensual'!Z2-1)</f>
        <v>0</v>
      </c>
      <c r="AA40" s="145">
        <f>-Gastos!$F$18/12*Ingresos!$A$23*(1+Gastos!$F$17)^('Flujo de caja mensual'!AA2-1)</f>
        <v>0</v>
      </c>
      <c r="AB40" s="145">
        <f>-Gastos!$F$18/12*Ingresos!$A$23*(1+Gastos!$F$17)^('Flujo de caja mensual'!AB2-1)</f>
        <v>0</v>
      </c>
      <c r="AC40" s="145">
        <f>-Gastos!$F$18/12*Ingresos!$A$23*(1+Gastos!$F$17)^('Flujo de caja mensual'!AC2-1)</f>
        <v>0</v>
      </c>
      <c r="AD40" s="145">
        <f>-Gastos!$F$18/12*Ingresos!$A$23*(1+Gastos!$F$17)^('Flujo de caja mensual'!AD2-1)</f>
        <v>0</v>
      </c>
      <c r="AE40" s="145">
        <f>-Gastos!$F$18/12*Ingresos!$A$23*(1+Gastos!$F$17)^('Flujo de caja mensual'!AE2-1)</f>
        <v>0</v>
      </c>
      <c r="AF40" s="145">
        <f>-Gastos!$F$18/12*Ingresos!$A$23*(1+Gastos!$F$17)^('Flujo de caja mensual'!AF2-1)</f>
        <v>0</v>
      </c>
      <c r="AG40" s="145">
        <f>-Gastos!$F$18/12*Ingresos!$A$23*(1+Gastos!$F$17)^('Flujo de caja mensual'!AG2-1)</f>
        <v>0</v>
      </c>
      <c r="AH40" s="145">
        <f>-Gastos!$F$18/12*Ingresos!$A$23*(1+Gastos!$F$17)^('Flujo de caja mensual'!AH2-1)</f>
        <v>0</v>
      </c>
      <c r="AI40" s="145">
        <f>-Gastos!$F$18/12*Ingresos!$A$23*(1+Gastos!$F$17)^('Flujo de caja mensual'!AI2-1)</f>
        <v>0</v>
      </c>
      <c r="AJ40" s="145">
        <f>-Gastos!$F$18/12*Ingresos!$A$23*(1+Gastos!$F$17)^('Flujo de caja mensual'!AJ2-1)</f>
        <v>0</v>
      </c>
      <c r="AK40" s="145">
        <f>-Gastos!$F$18/12*Ingresos!$A$23*(1+Gastos!$F$17)^('Flujo de caja mensual'!AK2-1)</f>
        <v>0</v>
      </c>
      <c r="AL40" s="145">
        <f>-Gastos!$F$18/12*Ingresos!$A$23*(1+Gastos!$F$17)^('Flujo de caja mensual'!AL2-1)</f>
        <v>0</v>
      </c>
      <c r="AM40" s="145">
        <f>-Gastos!$F$18/12*Ingresos!$A$23*(1+Gastos!$F$17)^('Flujo de caja mensual'!AM2-1)</f>
        <v>0</v>
      </c>
      <c r="AN40" s="145">
        <f>-Gastos!$F$18/12*Ingresos!$A$23*(1+Gastos!$F$17)^('Flujo de caja mensual'!AN2-1)</f>
        <v>0</v>
      </c>
      <c r="AO40" s="145">
        <f>-Gastos!$F$18/12*Ingresos!$A$23*(1+Gastos!$F$17)^('Flujo de caja mensual'!AO2-1)</f>
        <v>0</v>
      </c>
      <c r="AP40" s="145">
        <f>-Gastos!$F$18/12*Ingresos!$A$23*(1+Gastos!$F$17)^('Flujo de caja mensual'!AP2-1)</f>
        <v>0</v>
      </c>
      <c r="AQ40" s="145">
        <f>-Gastos!$F$18/12*Ingresos!$A$23*(1+Gastos!$F$17)^('Flujo de caja mensual'!AQ2-1)</f>
        <v>0</v>
      </c>
      <c r="AR40" s="145">
        <f>-Gastos!$F$18/12*Ingresos!$A$23*(1+Gastos!$F$17)^('Flujo de caja mensual'!AR2-1)</f>
        <v>0</v>
      </c>
      <c r="AS40" s="145">
        <f>-Gastos!$F$18/12*Ingresos!$A$23*(1+Gastos!$F$17)^('Flujo de caja mensual'!AS2-1)</f>
        <v>0</v>
      </c>
      <c r="AT40" s="145">
        <f>-Gastos!$F$18/12*Ingresos!$A$23*(1+Gastos!$F$17)^('Flujo de caja mensual'!AT2-1)</f>
        <v>0</v>
      </c>
      <c r="AU40" s="145">
        <f>-Gastos!$F$18/12*Ingresos!$A$23*(1+Gastos!$F$17)^('Flujo de caja mensual'!AU2-1)</f>
        <v>0</v>
      </c>
      <c r="AV40" s="145">
        <f>-Gastos!$F$18/12*Ingresos!$A$23*(1+Gastos!$F$17)^('Flujo de caja mensual'!AV2-1)</f>
        <v>0</v>
      </c>
      <c r="AW40" s="145">
        <f>-Gastos!$F$18/12*Ingresos!$A$23*(1+Gastos!$F$17)^('Flujo de caja mensual'!AW2-1)</f>
        <v>0</v>
      </c>
      <c r="AX40" s="145">
        <f>-Gastos!$F$18/12*Ingresos!$A$23*(1+Gastos!$F$17)^('Flujo de caja mensual'!AX2-1)</f>
        <v>0</v>
      </c>
      <c r="AY40" s="145">
        <f>-Gastos!$F$18/12*Ingresos!$A$23*(1+Gastos!$F$17)^('Flujo de caja mensual'!AY2-1)</f>
        <v>0</v>
      </c>
      <c r="AZ40" s="145">
        <f>-Gastos!$F$18/12*Ingresos!$A$23*(1+Gastos!$F$17)^('Flujo de caja mensual'!AZ2-1)</f>
        <v>0</v>
      </c>
      <c r="BA40" s="145">
        <f>-Gastos!$F$18/12*Ingresos!$A$23*(1+Gastos!$F$17)^('Flujo de caja mensual'!BA2-1)</f>
        <v>0</v>
      </c>
      <c r="BB40" s="145">
        <f>-Gastos!$F$18/12*Ingresos!$A$23*(1+Gastos!$F$17)^('Flujo de caja mensual'!BB2-1)</f>
        <v>0</v>
      </c>
      <c r="BC40" s="145">
        <f>-Gastos!$F$18/12*Ingresos!$A$23*(1+Gastos!$F$17)^('Flujo de caja mensual'!BC2-1)</f>
        <v>0</v>
      </c>
      <c r="BD40" s="145">
        <f>-Gastos!$F$18/12*Ingresos!$A$23*(1+Gastos!$F$17)^('Flujo de caja mensual'!BD2-1)</f>
        <v>0</v>
      </c>
      <c r="BE40" s="145">
        <f>-Gastos!$F$18/12*Ingresos!$A$23*(1+Gastos!$F$17)^('Flujo de caja mensual'!BE2-1)</f>
        <v>0</v>
      </c>
      <c r="BF40" s="145">
        <f>-Gastos!$F$18/12*Ingresos!$A$23*(1+Gastos!$F$17)^('Flujo de caja mensual'!BF2-1)</f>
        <v>0</v>
      </c>
      <c r="BG40" s="145">
        <f>-Gastos!$F$18/12*Ingresos!$A$23*(1+Gastos!$F$17)^('Flujo de caja mensual'!BG2-1)</f>
        <v>0</v>
      </c>
      <c r="BH40" s="145">
        <f>-Gastos!$F$18/12*Ingresos!$A$23*(1+Gastos!$F$17)^('Flujo de caja mensual'!BH2-1)</f>
        <v>0</v>
      </c>
      <c r="BI40" s="145">
        <f>-Gastos!$F$18/12*Ingresos!$A$23*(1+Gastos!$F$17)^('Flujo de caja mensual'!BI2-1)</f>
        <v>0</v>
      </c>
      <c r="BJ40" s="145">
        <f>-Gastos!$F$18/12*Ingresos!$A$23*(1+Gastos!$F$17)^('Flujo de caja mensual'!BJ2-1)</f>
        <v>0</v>
      </c>
      <c r="BK40" s="145">
        <f>-Gastos!$F$18/12*Ingresos!$A$23*(1+Gastos!$F$17)^('Flujo de caja mensual'!BK2-1)</f>
        <v>0</v>
      </c>
      <c r="BL40" s="145">
        <f>-Gastos!$F$18/12*Ingresos!$A$23*(1+Gastos!$F$17)^('Flujo de caja mensual'!BL2-1)</f>
        <v>0</v>
      </c>
      <c r="BM40" s="145">
        <f>-Gastos!$F$18/12*Ingresos!$A$23*(1+Gastos!$F$17)^('Flujo de caja mensual'!BM2-1)</f>
        <v>0</v>
      </c>
      <c r="BN40" s="145">
        <f>-Gastos!$F$18/12*Ingresos!$A$23*(1+Gastos!$F$17)^('Flujo de caja mensual'!BN2-1)</f>
        <v>0</v>
      </c>
      <c r="BO40" s="145">
        <f>-Gastos!$F$18/12*Ingresos!$A$23*(1+Gastos!$F$17)^('Flujo de caja mensual'!BO2-1)</f>
        <v>0</v>
      </c>
      <c r="BP40" s="145">
        <f>-Gastos!$F$18/12*Ingresos!$A$23*(1+Gastos!$F$17)^('Flujo de caja mensual'!BP2-1)</f>
        <v>0</v>
      </c>
      <c r="BQ40" s="145">
        <f>-Gastos!$F$18/12*Ingresos!$A$23*(1+Gastos!$F$17)^('Flujo de caja mensual'!BQ2-1)</f>
        <v>0</v>
      </c>
      <c r="BR40" s="145">
        <f>-Gastos!$F$18/12*Ingresos!$A$23*(1+Gastos!$F$17)^('Flujo de caja mensual'!BR2-1)</f>
        <v>0</v>
      </c>
      <c r="BS40" s="145">
        <f>-Gastos!$F$18/12*Ingresos!$A$23*(1+Gastos!$F$17)^('Flujo de caja mensual'!BS2-1)</f>
        <v>0</v>
      </c>
      <c r="BT40" s="145">
        <f>-Gastos!$F$18/12*Ingresos!$A$23*(1+Gastos!$F$17)^('Flujo de caja mensual'!BT2-1)</f>
        <v>0</v>
      </c>
      <c r="BU40" s="145">
        <f>-Gastos!$F$18/12*Ingresos!$A$23*(1+Gastos!$F$17)^('Flujo de caja mensual'!BU2-1)</f>
        <v>0</v>
      </c>
      <c r="BV40" s="145">
        <f>-Gastos!$F$18/12*Ingresos!$A$23*(1+Gastos!$F$17)^('Flujo de caja mensual'!BV2-1)</f>
        <v>0</v>
      </c>
      <c r="BW40" s="145">
        <f>-Gastos!$F$18/12*Ingresos!$A$23*(1+Gastos!$F$17)^('Flujo de caja mensual'!BW2-1)</f>
        <v>0</v>
      </c>
      <c r="BX40" s="145">
        <f>-Gastos!$F$18/12*Ingresos!$A$23*(1+Gastos!$F$17)^('Flujo de caja mensual'!BX2-1)</f>
        <v>0</v>
      </c>
      <c r="BY40" s="145">
        <f>-Gastos!$F$18/12*Ingresos!$A$23*(1+Gastos!$F$17)^('Flujo de caja mensual'!BY2-1)</f>
        <v>0</v>
      </c>
      <c r="BZ40" s="145">
        <f>-Gastos!$F$18/12*Ingresos!$A$23*(1+Gastos!$F$17)^('Flujo de caja mensual'!BZ2-1)</f>
        <v>0</v>
      </c>
      <c r="CA40" s="145">
        <f>-Gastos!$F$18/12*Ingresos!$A$23*(1+Gastos!$F$17)^('Flujo de caja mensual'!CA2-1)</f>
        <v>0</v>
      </c>
      <c r="CB40" s="145">
        <f>-Gastos!$F$18/12*Ingresos!$A$23*(1+Gastos!$F$17)^('Flujo de caja mensual'!CB2-1)</f>
        <v>0</v>
      </c>
      <c r="CC40" s="145">
        <f>-Gastos!$F$18/12*Ingresos!$A$23*(1+Gastos!$F$17)^('Flujo de caja mensual'!CC2-1)</f>
        <v>0</v>
      </c>
      <c r="CD40" s="145">
        <f>-Gastos!$F$18/12*Ingresos!$A$23*(1+Gastos!$F$17)^('Flujo de caja mensual'!CD2-1)</f>
        <v>0</v>
      </c>
      <c r="CE40" s="145">
        <f>-Gastos!$F$18/12*Ingresos!$A$23*(1+Gastos!$F$17)^('Flujo de caja mensual'!CE2-1)</f>
        <v>0</v>
      </c>
      <c r="CF40" s="145">
        <f>-Gastos!$F$18/12*Ingresos!$A$23*(1+Gastos!$F$17)^('Flujo de caja mensual'!CF2-1)</f>
        <v>0</v>
      </c>
      <c r="CG40" s="145">
        <f>-Gastos!$F$18/12*Ingresos!$A$23*(1+Gastos!$F$17)^('Flujo de caja mensual'!CG2-1)</f>
        <v>0</v>
      </c>
      <c r="CH40" s="145">
        <f>-Gastos!$F$18/12*Ingresos!$A$23*(1+Gastos!$F$17)^('Flujo de caja mensual'!CH2-1)</f>
        <v>0</v>
      </c>
      <c r="CI40" s="145">
        <f>-Gastos!$F$18/12*Ingresos!$A$23*(1+Gastos!$F$17)^('Flujo de caja mensual'!CI2-1)</f>
        <v>0</v>
      </c>
      <c r="CJ40" s="145">
        <f>-Gastos!$F$18/12*Ingresos!$A$23*(1+Gastos!$F$17)^('Flujo de caja mensual'!CJ2-1)</f>
        <v>0</v>
      </c>
      <c r="CK40" s="145">
        <f>-Gastos!$F$18/12*Ingresos!$A$23*(1+Gastos!$F$17)^('Flujo de caja mensual'!CK2-1)</f>
        <v>0</v>
      </c>
      <c r="CL40" s="145">
        <f>-Gastos!$F$18/12*Ingresos!$A$23*(1+Gastos!$F$17)^('Flujo de caja mensual'!CL2-1)</f>
        <v>0</v>
      </c>
      <c r="CM40" s="145">
        <f>-Gastos!$F$18/12*Ingresos!$A$23*(1+Gastos!$F$17)^('Flujo de caja mensual'!CM2-1)</f>
        <v>0</v>
      </c>
      <c r="CN40" s="145">
        <f>-Gastos!$F$18/12*Ingresos!$A$23*(1+Gastos!$F$17)^('Flujo de caja mensual'!CN2-1)</f>
        <v>0</v>
      </c>
      <c r="CO40" s="145">
        <f>-Gastos!$F$18/12*Ingresos!$A$23*(1+Gastos!$F$17)^('Flujo de caja mensual'!CO2-1)</f>
        <v>0</v>
      </c>
      <c r="CP40" s="145">
        <f>-Gastos!$F$18/12*Ingresos!$A$23*(1+Gastos!$F$17)^('Flujo de caja mensual'!CP2-1)</f>
        <v>0</v>
      </c>
      <c r="CQ40" s="145">
        <f>-Gastos!$F$18/12*Ingresos!$A$23*(1+Gastos!$F$17)^('Flujo de caja mensual'!CQ2-1)</f>
        <v>0</v>
      </c>
      <c r="CR40" s="145">
        <f>-Gastos!$F$18/12*Ingresos!$A$23*(1+Gastos!$F$17)^('Flujo de caja mensual'!CR2-1)</f>
        <v>0</v>
      </c>
      <c r="CS40" s="145">
        <f>-Gastos!$F$18/12*Ingresos!$A$23*(1+Gastos!$F$17)^('Flujo de caja mensual'!CS2-1)</f>
        <v>0</v>
      </c>
      <c r="CT40" s="145">
        <f>-Gastos!$F$18/12*Ingresos!$A$23*(1+Gastos!$F$17)^('Flujo de caja mensual'!CT2-1)</f>
        <v>0</v>
      </c>
      <c r="CU40" s="145">
        <f>-Gastos!$F$18/12*Ingresos!$A$23*(1+Gastos!$F$17)^('Flujo de caja mensual'!CU2-1)</f>
        <v>0</v>
      </c>
      <c r="CV40" s="145">
        <f>-Gastos!$F$18/12*Ingresos!$A$23*(1+Gastos!$F$17)^('Flujo de caja mensual'!CV2-1)</f>
        <v>0</v>
      </c>
      <c r="CW40" s="145">
        <f>-Gastos!$F$18/12*Ingresos!$A$23*(1+Gastos!$F$17)^('Flujo de caja mensual'!CW2-1)</f>
        <v>0</v>
      </c>
      <c r="CX40" s="145">
        <f>-Gastos!$F$18/12*Ingresos!$A$23*(1+Gastos!$F$17)^('Flujo de caja mensual'!CX2-1)</f>
        <v>0</v>
      </c>
      <c r="CY40" s="145">
        <f>-Gastos!$F$18/12*Ingresos!$A$23*(1+Gastos!$F$17)^('Flujo de caja mensual'!CY2-1)</f>
        <v>0</v>
      </c>
      <c r="CZ40" s="145">
        <f>-Gastos!$F$18/12*Ingresos!$A$23*(1+Gastos!$F$17)^('Flujo de caja mensual'!CZ2-1)</f>
        <v>0</v>
      </c>
      <c r="DA40" s="145">
        <f>-Gastos!$F$18/12*Ingresos!$A$23*(1+Gastos!$F$17)^('Flujo de caja mensual'!DA2-1)</f>
        <v>0</v>
      </c>
      <c r="DB40" s="145">
        <f>-Gastos!$F$18/12*Ingresos!$A$23*(1+Gastos!$F$17)^('Flujo de caja mensual'!DB2-1)</f>
        <v>0</v>
      </c>
      <c r="DC40" s="145">
        <f>-Gastos!$F$18/12*Ingresos!$A$23*(1+Gastos!$F$17)^('Flujo de caja mensual'!DC2-1)</f>
        <v>0</v>
      </c>
      <c r="DD40" s="145">
        <f>-Gastos!$F$18/12*Ingresos!$A$23*(1+Gastos!$F$17)^('Flujo de caja mensual'!DD2-1)</f>
        <v>0</v>
      </c>
      <c r="DE40" s="145">
        <f>-Gastos!$F$18/12*Ingresos!$A$23*(1+Gastos!$F$17)^('Flujo de caja mensual'!DE2-1)</f>
        <v>0</v>
      </c>
      <c r="DF40" s="145">
        <f>-Gastos!$F$18/12*Ingresos!$A$23*(1+Gastos!$F$17)^('Flujo de caja mensual'!DF2-1)</f>
        <v>0</v>
      </c>
      <c r="DG40" s="145">
        <f>-Gastos!$F$18/12*Ingresos!$A$23*(1+Gastos!$F$17)^('Flujo de caja mensual'!DG2-1)</f>
        <v>0</v>
      </c>
      <c r="DH40" s="145">
        <f>-Gastos!$F$18/12*Ingresos!$A$23*(1+Gastos!$F$17)^('Flujo de caja mensual'!DH2-1)</f>
        <v>0</v>
      </c>
      <c r="DI40" s="145">
        <f>-Gastos!$F$18/12*Ingresos!$A$23*(1+Gastos!$F$17)^('Flujo de caja mensual'!DI2-1)</f>
        <v>0</v>
      </c>
      <c r="DJ40" s="145">
        <f>-Gastos!$F$18/12*Ingresos!$A$23*(1+Gastos!$F$17)^('Flujo de caja mensual'!DJ2-1)</f>
        <v>0</v>
      </c>
      <c r="DK40" s="145">
        <f>-Gastos!$F$18/12*Ingresos!$A$23*(1+Gastos!$F$17)^('Flujo de caja mensual'!DK2-1)</f>
        <v>0</v>
      </c>
      <c r="DL40" s="145">
        <f>-Gastos!$F$18/12*Ingresos!$A$23*(1+Gastos!$F$17)^('Flujo de caja mensual'!DL2-1)</f>
        <v>0</v>
      </c>
      <c r="DM40" s="145">
        <f>-Gastos!$F$18/12*Ingresos!$A$23*(1+Gastos!$F$17)^('Flujo de caja mensual'!DM2-1)</f>
        <v>0</v>
      </c>
      <c r="DN40" s="145">
        <f>-Gastos!$F$18/12*Ingresos!$A$23*(1+Gastos!$F$17)^('Flujo de caja mensual'!DN2-1)</f>
        <v>0</v>
      </c>
      <c r="DO40" s="145">
        <f>-Gastos!$F$18/12*Ingresos!$A$23*(1+Gastos!$F$17)^('Flujo de caja mensual'!DO2-1)</f>
        <v>0</v>
      </c>
      <c r="DP40" s="145">
        <f>-Gastos!$F$18/12*Ingresos!$A$23*(1+Gastos!$F$17)^('Flujo de caja mensual'!DP2-1)</f>
        <v>0</v>
      </c>
      <c r="DQ40" s="145">
        <f>-Gastos!$F$18/12*Ingresos!$A$23*(1+Gastos!$F$17)^('Flujo de caja mensual'!DQ2-1)</f>
        <v>0</v>
      </c>
      <c r="DR40" s="145">
        <f>-Gastos!$F$18/12*Ingresos!$A$23*(1+Gastos!$F$17)^('Flujo de caja mensual'!DR2-1)</f>
        <v>0</v>
      </c>
      <c r="DS40" s="145">
        <f>-Gastos!$F$18/12*Ingresos!$A$23*(1+Gastos!$F$17)^('Flujo de caja mensual'!DS2-1)</f>
        <v>0</v>
      </c>
      <c r="DT40" s="145">
        <f>-Gastos!$F$18/12*Ingresos!$A$23*(1+Gastos!$F$17)^('Flujo de caja mensual'!DT2-1)</f>
        <v>0</v>
      </c>
      <c r="DU40" s="145">
        <f>-Gastos!$F$18/12*Ingresos!$A$23*(1+Gastos!$F$17)^('Flujo de caja mensual'!DU2-1)</f>
        <v>0</v>
      </c>
      <c r="DV40" s="145">
        <f>-Gastos!$F$18/12*Ingresos!$A$23*(1+Gastos!$F$17)^('Flujo de caja mensual'!DV2-1)</f>
        <v>0</v>
      </c>
      <c r="DW40" s="145">
        <f>-Gastos!$F$18/12*Ingresos!$A$23*(1+Gastos!$F$17)^('Flujo de caja mensual'!DW2-1)</f>
        <v>0</v>
      </c>
      <c r="DX40" s="145">
        <f>-Gastos!$F$18/12*Ingresos!$A$23*(1+Gastos!$F$17)^('Flujo de caja mensual'!DX2-1)</f>
        <v>0</v>
      </c>
      <c r="DY40" s="145">
        <f>-Gastos!$F$18/12*Ingresos!$A$23*(1+Gastos!$F$17)^('Flujo de caja mensual'!DY2-1)</f>
        <v>0</v>
      </c>
      <c r="DZ40" s="145">
        <f>-Gastos!$F$18/12*Ingresos!$A$23*(1+Gastos!$F$17)^('Flujo de caja mensual'!DZ2-1)</f>
        <v>0</v>
      </c>
      <c r="EA40" s="145">
        <f>-Gastos!$F$18/12*Ingresos!$A$23*(1+Gastos!$F$17)^('Flujo de caja mensual'!EA2-1)</f>
        <v>0</v>
      </c>
      <c r="EB40" s="145">
        <f>-Gastos!$F$18/12*Ingresos!$A$23*(1+Gastos!$F$17)^('Flujo de caja mensual'!EB2-1)</f>
        <v>0</v>
      </c>
      <c r="EC40" s="145">
        <f>-Gastos!$F$18/12*Ingresos!$A$23*(1+Gastos!$F$17)^('Flujo de caja mensual'!EC2-1)</f>
        <v>0</v>
      </c>
      <c r="ED40" s="145">
        <f>-Gastos!$F$18/12*Ingresos!$A$23*(1+Gastos!$F$17)^('Flujo de caja mensual'!ED2-1)</f>
        <v>0</v>
      </c>
      <c r="EE40" s="146">
        <f>-Gastos!$F$18/12*Ingresos!$A$23*(1+Gastos!$F$17)^('Flujo de caja mensual'!EE2-1)</f>
        <v>0</v>
      </c>
    </row>
    <row r="41" spans="1:135" x14ac:dyDescent="0.25">
      <c r="A41" s="152">
        <f>SUMIF($C$1:$EE$1,"&lt;="&amp;Resumen!$K$19,'Flujo de caja mensual'!C41:EE41)</f>
        <v>-40381812043.370094</v>
      </c>
      <c r="B41" s="14" t="s">
        <v>200</v>
      </c>
      <c r="C41" s="150"/>
      <c r="D41" s="148">
        <f>SUM(D29:D40)</f>
        <v>-273416403.83744782</v>
      </c>
      <c r="E41" s="148">
        <f t="shared" ref="E41:BP41" si="12">SUM(E29:E40)</f>
        <v>-273913939.54337776</v>
      </c>
      <c r="F41" s="148">
        <f t="shared" si="12"/>
        <v>-274413465.9683786</v>
      </c>
      <c r="G41" s="148">
        <f t="shared" si="12"/>
        <v>-274914991.13335341</v>
      </c>
      <c r="H41" s="148">
        <f t="shared" si="12"/>
        <v>-275418523.09166241</v>
      </c>
      <c r="I41" s="148">
        <f t="shared" si="12"/>
        <v>-275924069.92925495</v>
      </c>
      <c r="J41" s="148">
        <f t="shared" si="12"/>
        <v>-276431639.76480168</v>
      </c>
      <c r="K41" s="148">
        <f t="shared" si="12"/>
        <v>-276941240.74982709</v>
      </c>
      <c r="L41" s="148">
        <f t="shared" si="12"/>
        <v>-277452881.06884331</v>
      </c>
      <c r="M41" s="148">
        <f t="shared" si="12"/>
        <v>-277966568.93948323</v>
      </c>
      <c r="N41" s="148">
        <f t="shared" si="12"/>
        <v>-278482312.61263561</v>
      </c>
      <c r="O41" s="148">
        <f t="shared" si="12"/>
        <v>-279459436.66605103</v>
      </c>
      <c r="P41" s="148">
        <f t="shared" si="12"/>
        <v>-288681218.05758709</v>
      </c>
      <c r="Q41" s="148">
        <f t="shared" si="12"/>
        <v>-289674395.79747266</v>
      </c>
      <c r="R41" s="148">
        <f t="shared" si="12"/>
        <v>-290672690.23274928</v>
      </c>
      <c r="S41" s="148">
        <f t="shared" si="12"/>
        <v>-291676124.45896691</v>
      </c>
      <c r="T41" s="148">
        <f t="shared" si="12"/>
        <v>-292684721.66900212</v>
      </c>
      <c r="U41" s="148">
        <f t="shared" si="12"/>
        <v>-293698505.15345198</v>
      </c>
      <c r="V41" s="148">
        <f t="shared" si="12"/>
        <v>-294717498.30102879</v>
      </c>
      <c r="W41" s="148">
        <f t="shared" si="12"/>
        <v>-295241681.16928929</v>
      </c>
      <c r="X41" s="148">
        <f t="shared" si="12"/>
        <v>-295767846.74989861</v>
      </c>
      <c r="Y41" s="148">
        <f t="shared" si="12"/>
        <v>-296296002.6508466</v>
      </c>
      <c r="Z41" s="148">
        <f t="shared" si="12"/>
        <v>-296826156.50965661</v>
      </c>
      <c r="AA41" s="148">
        <f t="shared" si="12"/>
        <v>-297358315.99350083</v>
      </c>
      <c r="AB41" s="148">
        <f t="shared" si="12"/>
        <v>-303255525.86365199</v>
      </c>
      <c r="AC41" s="148">
        <f t="shared" si="12"/>
        <v>-303775424.29329371</v>
      </c>
      <c r="AD41" s="148">
        <f t="shared" si="12"/>
        <v>-304297245.75778091</v>
      </c>
      <c r="AE41" s="148">
        <f t="shared" si="12"/>
        <v>-304820997.54727924</v>
      </c>
      <c r="AF41" s="148">
        <f t="shared" si="12"/>
        <v>-305346686.98013085</v>
      </c>
      <c r="AG41" s="148">
        <f t="shared" si="12"/>
        <v>-305874321.40296435</v>
      </c>
      <c r="AH41" s="148">
        <f t="shared" si="12"/>
        <v>-306403908.19080627</v>
      </c>
      <c r="AI41" s="148">
        <f t="shared" si="12"/>
        <v>-306935454.74719208</v>
      </c>
      <c r="AJ41" s="148">
        <f t="shared" si="12"/>
        <v>-307468968.50427806</v>
      </c>
      <c r="AK41" s="148">
        <f t="shared" si="12"/>
        <v>-308004456.92295384</v>
      </c>
      <c r="AL41" s="148">
        <f t="shared" si="12"/>
        <v>-308541927.49295485</v>
      </c>
      <c r="AM41" s="148">
        <f t="shared" si="12"/>
        <v>-309081387.7329756</v>
      </c>
      <c r="AN41" s="148">
        <f t="shared" si="12"/>
        <v>-314536187.24893337</v>
      </c>
      <c r="AO41" s="148">
        <f t="shared" si="12"/>
        <v>-315079649.50148189</v>
      </c>
      <c r="AP41" s="148">
        <f t="shared" si="12"/>
        <v>-315625124.1550265</v>
      </c>
      <c r="AQ41" s="148">
        <f t="shared" si="12"/>
        <v>-316172618.84523845</v>
      </c>
      <c r="AR41" s="148">
        <f t="shared" si="12"/>
        <v>-316722141.2373209</v>
      </c>
      <c r="AS41" s="148">
        <f t="shared" si="12"/>
        <v>-317273699.02612448</v>
      </c>
      <c r="AT41" s="148">
        <f t="shared" si="12"/>
        <v>-317827299.93626362</v>
      </c>
      <c r="AU41" s="148">
        <f t="shared" si="12"/>
        <v>-318382951.72223347</v>
      </c>
      <c r="AV41" s="148">
        <f t="shared" si="12"/>
        <v>-318940662.16852719</v>
      </c>
      <c r="AW41" s="148">
        <f t="shared" si="12"/>
        <v>-319500439.08975369</v>
      </c>
      <c r="AX41" s="148">
        <f t="shared" si="12"/>
        <v>-320062290.33075577</v>
      </c>
      <c r="AY41" s="148">
        <f t="shared" si="12"/>
        <v>-320626223.76672858</v>
      </c>
      <c r="AZ41" s="148">
        <f t="shared" si="12"/>
        <v>-326261018.57639664</v>
      </c>
      <c r="BA41" s="148">
        <f t="shared" si="12"/>
        <v>-326829140.1499036</v>
      </c>
      <c r="BB41" s="148">
        <f t="shared" si="12"/>
        <v>-327399367.72727656</v>
      </c>
      <c r="BC41" s="148">
        <f t="shared" si="12"/>
        <v>-327971709.30631727</v>
      </c>
      <c r="BD41" s="148">
        <f t="shared" si="12"/>
        <v>-328546172.9157806</v>
      </c>
      <c r="BE41" s="148">
        <f t="shared" si="12"/>
        <v>-329122766.61549598</v>
      </c>
      <c r="BF41" s="148">
        <f t="shared" si="12"/>
        <v>-329701498.49648929</v>
      </c>
      <c r="BG41" s="148">
        <f t="shared" si="12"/>
        <v>-330282376.68110543</v>
      </c>
      <c r="BH41" s="148">
        <f t="shared" si="12"/>
        <v>-330865409.3231315</v>
      </c>
      <c r="BI41" s="148">
        <f t="shared" si="12"/>
        <v>-331450604.60791999</v>
      </c>
      <c r="BJ41" s="148">
        <f t="shared" si="12"/>
        <v>-332037970.75251275</v>
      </c>
      <c r="BK41" s="148">
        <f t="shared" si="12"/>
        <v>-332627516.00576586</v>
      </c>
      <c r="BL41" s="148">
        <f t="shared" si="12"/>
        <v>-338448513.46054423</v>
      </c>
      <c r="BM41" s="148">
        <f t="shared" si="12"/>
        <v>-339042441.80556607</v>
      </c>
      <c r="BN41" s="148">
        <f t="shared" si="12"/>
        <v>-339638574.19795102</v>
      </c>
      <c r="BO41" s="148">
        <f t="shared" si="12"/>
        <v>-340236919.01506478</v>
      </c>
      <c r="BP41" s="148">
        <f t="shared" si="12"/>
        <v>-340837484.66671693</v>
      </c>
      <c r="BQ41" s="148">
        <f t="shared" ref="BQ41:EB41" si="13">SUM(BQ29:BQ40)</f>
        <v>-341440279.59528768</v>
      </c>
      <c r="BR41" s="148">
        <f t="shared" si="13"/>
        <v>-342045312.27585649</v>
      </c>
      <c r="BS41" s="148">
        <f t="shared" si="13"/>
        <v>-342652591.21633029</v>
      </c>
      <c r="BT41" s="148">
        <f t="shared" si="13"/>
        <v>-343262124.9575721</v>
      </c>
      <c r="BU41" s="148">
        <f t="shared" si="13"/>
        <v>-343873922.07353103</v>
      </c>
      <c r="BV41" s="148">
        <f t="shared" si="13"/>
        <v>-344487991.17137194</v>
      </c>
      <c r="BW41" s="148">
        <f t="shared" si="13"/>
        <v>-345104340.89160621</v>
      </c>
      <c r="BX41" s="148">
        <f t="shared" si="13"/>
        <v>-351117974.58551693</v>
      </c>
      <c r="BY41" s="148">
        <f t="shared" si="13"/>
        <v>-351738911.60611236</v>
      </c>
      <c r="BZ41" s="148">
        <f t="shared" si="13"/>
        <v>-352362155.37202585</v>
      </c>
      <c r="CA41" s="148">
        <f t="shared" si="13"/>
        <v>-352987714.65846932</v>
      </c>
      <c r="CB41" s="148">
        <f t="shared" si="13"/>
        <v>-353615598.27466166</v>
      </c>
      <c r="CC41" s="148">
        <f t="shared" si="13"/>
        <v>-354245815.0639621</v>
      </c>
      <c r="CD41" s="148">
        <f t="shared" si="13"/>
        <v>-354878373.9040041</v>
      </c>
      <c r="CE41" s="148">
        <f t="shared" si="13"/>
        <v>-355513283.70683062</v>
      </c>
      <c r="CF41" s="148">
        <f t="shared" si="13"/>
        <v>-356150553.41902912</v>
      </c>
      <c r="CG41" s="148">
        <f t="shared" si="13"/>
        <v>-356790192.02186704</v>
      </c>
      <c r="CH41" s="148">
        <f t="shared" si="13"/>
        <v>-357432208.53142869</v>
      </c>
      <c r="CI41" s="148">
        <f t="shared" si="13"/>
        <v>-358076611.99875164</v>
      </c>
      <c r="CJ41" s="148">
        <f t="shared" si="13"/>
        <v>-364289550.54448313</v>
      </c>
      <c r="CK41" s="148">
        <f t="shared" si="13"/>
        <v>-364938755.22094285</v>
      </c>
      <c r="CL41" s="148">
        <f t="shared" si="13"/>
        <v>-365590374.219374</v>
      </c>
      <c r="CM41" s="148">
        <f t="shared" si="13"/>
        <v>-366244416.73200756</v>
      </c>
      <c r="CN41" s="148">
        <f t="shared" si="13"/>
        <v>-366900891.98672026</v>
      </c>
      <c r="CO41" s="148">
        <f t="shared" si="13"/>
        <v>-367559809.24717504</v>
      </c>
      <c r="CP41" s="148">
        <f t="shared" si="13"/>
        <v>-368221177.81296152</v>
      </c>
      <c r="CQ41" s="148">
        <f t="shared" si="13"/>
        <v>-368885007.01973754</v>
      </c>
      <c r="CR41" s="148">
        <f t="shared" si="13"/>
        <v>-369551306.23937082</v>
      </c>
      <c r="CS41" s="148">
        <f t="shared" si="13"/>
        <v>-370220084.88008124</v>
      </c>
      <c r="CT41" s="148">
        <f t="shared" si="13"/>
        <v>-370891352.38658422</v>
      </c>
      <c r="CU41" s="148">
        <f t="shared" si="13"/>
        <v>-371565118.2402336</v>
      </c>
      <c r="CV41" s="148">
        <f t="shared" si="13"/>
        <v>-377984274.40747154</v>
      </c>
      <c r="CW41" s="148">
        <f t="shared" si="13"/>
        <v>-378663065.54675257</v>
      </c>
      <c r="CX41" s="148">
        <f t="shared" si="13"/>
        <v>-379344383.69851881</v>
      </c>
      <c r="CY41" s="148">
        <f t="shared" si="13"/>
        <v>-380028238.49212646</v>
      </c>
      <c r="CZ41" s="148">
        <f t="shared" si="13"/>
        <v>-380714639.59429651</v>
      </c>
      <c r="DA41" s="148">
        <f t="shared" si="13"/>
        <v>-381403596.70926195</v>
      </c>
      <c r="DB41" s="148">
        <f t="shared" si="13"/>
        <v>-382095119.57891548</v>
      </c>
      <c r="DC41" s="148">
        <f t="shared" si="13"/>
        <v>-382789217.98295754</v>
      </c>
      <c r="DD41" s="148">
        <f t="shared" si="13"/>
        <v>-383485901.73904496</v>
      </c>
      <c r="DE41" s="148">
        <f t="shared" si="13"/>
        <v>-384185180.70294064</v>
      </c>
      <c r="DF41" s="148">
        <f t="shared" si="13"/>
        <v>-384887064.76866305</v>
      </c>
      <c r="DG41" s="148">
        <f t="shared" si="13"/>
        <v>-385591563.86863691</v>
      </c>
      <c r="DH41" s="148">
        <f t="shared" si="13"/>
        <v>-392224104.10048687</v>
      </c>
      <c r="DI41" s="148">
        <f t="shared" si="13"/>
        <v>-392933863.22061968</v>
      </c>
      <c r="DJ41" s="148">
        <f t="shared" si="13"/>
        <v>-393646267.40423036</v>
      </c>
      <c r="DK41" s="148">
        <f t="shared" si="13"/>
        <v>-394361326.7388863</v>
      </c>
      <c r="DL41" s="148">
        <f t="shared" si="13"/>
        <v>-395079051.35132253</v>
      </c>
      <c r="DM41" s="148">
        <f t="shared" si="13"/>
        <v>-395799451.40759641</v>
      </c>
      <c r="DN41" s="148">
        <f t="shared" si="13"/>
        <v>-396522537.11324203</v>
      </c>
      <c r="DO41" s="148">
        <f t="shared" si="13"/>
        <v>-397248318.7134257</v>
      </c>
      <c r="DP41" s="148">
        <f t="shared" si="13"/>
        <v>-397976806.49310195</v>
      </c>
      <c r="DQ41" s="148">
        <f t="shared" si="13"/>
        <v>-398708010.7771703</v>
      </c>
      <c r="DR41" s="148">
        <f t="shared" si="13"/>
        <v>-399441941.93063217</v>
      </c>
      <c r="DS41" s="148">
        <f t="shared" si="13"/>
        <v>-400178610.35874903</v>
      </c>
      <c r="DT41" s="148">
        <f t="shared" si="13"/>
        <v>-407031964.68277478</v>
      </c>
      <c r="DU41" s="148">
        <f t="shared" si="13"/>
        <v>-407774139.03781879</v>
      </c>
      <c r="DV41" s="148">
        <f t="shared" si="13"/>
        <v>-408519082.12644988</v>
      </c>
      <c r="DW41" s="148">
        <f t="shared" si="13"/>
        <v>-409266804.51656055</v>
      </c>
      <c r="DX41" s="148">
        <f t="shared" si="13"/>
        <v>-410017316.81710172</v>
      </c>
      <c r="DY41" s="148">
        <f t="shared" si="13"/>
        <v>-410770629.67824531</v>
      </c>
      <c r="DZ41" s="148">
        <f t="shared" si="13"/>
        <v>-411526753.79154551</v>
      </c>
      <c r="EA41" s="148">
        <f t="shared" si="13"/>
        <v>-412285699.89010215</v>
      </c>
      <c r="EB41" s="148">
        <f t="shared" si="13"/>
        <v>-413047478.74872458</v>
      </c>
      <c r="EC41" s="148">
        <f>SUM(EC29:EC40)</f>
        <v>-413812101.18409562</v>
      </c>
      <c r="ED41" s="148">
        <f>SUM(ED29:ED40)</f>
        <v>-414579578.05493629</v>
      </c>
      <c r="EE41" s="149">
        <f>SUM(EE29:EE40)</f>
        <v>-415349920.26217192</v>
      </c>
    </row>
    <row r="42" spans="1:135" x14ac:dyDescent="0.25">
      <c r="B42" s="5"/>
      <c r="C42" s="144"/>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c r="BJ42" s="145"/>
      <c r="BK42" s="145"/>
      <c r="BL42" s="145"/>
      <c r="BM42" s="145"/>
      <c r="BN42" s="145"/>
      <c r="BO42" s="145"/>
      <c r="BP42" s="145"/>
      <c r="BQ42" s="145"/>
      <c r="BR42" s="145"/>
      <c r="BS42" s="145"/>
      <c r="BT42" s="145"/>
      <c r="BU42" s="145"/>
      <c r="BV42" s="145"/>
      <c r="BW42" s="145"/>
      <c r="BX42" s="145"/>
      <c r="BY42" s="145"/>
      <c r="BZ42" s="145"/>
      <c r="CA42" s="145"/>
      <c r="CB42" s="145"/>
      <c r="CC42" s="145"/>
      <c r="CD42" s="145"/>
      <c r="CE42" s="145"/>
      <c r="CF42" s="145"/>
      <c r="CG42" s="145"/>
      <c r="CH42" s="145"/>
      <c r="CI42" s="145"/>
      <c r="CJ42" s="145"/>
      <c r="CK42" s="145"/>
      <c r="CL42" s="145"/>
      <c r="CM42" s="145"/>
      <c r="CN42" s="145"/>
      <c r="CO42" s="145"/>
      <c r="CP42" s="145"/>
      <c r="CQ42" s="145"/>
      <c r="CR42" s="145"/>
      <c r="CS42" s="145"/>
      <c r="CT42" s="145"/>
      <c r="CU42" s="145"/>
      <c r="CV42" s="145"/>
      <c r="CW42" s="145"/>
      <c r="CX42" s="145"/>
      <c r="CY42" s="145"/>
      <c r="CZ42" s="145"/>
      <c r="DA42" s="145"/>
      <c r="DB42" s="145"/>
      <c r="DC42" s="145"/>
      <c r="DD42" s="145"/>
      <c r="DE42" s="145"/>
      <c r="DF42" s="145"/>
      <c r="DG42" s="145"/>
      <c r="DH42" s="145"/>
      <c r="DI42" s="145"/>
      <c r="DJ42" s="145"/>
      <c r="DK42" s="145"/>
      <c r="DL42" s="145"/>
      <c r="DM42" s="145"/>
      <c r="DN42" s="145"/>
      <c r="DO42" s="145"/>
      <c r="DP42" s="145"/>
      <c r="DQ42" s="145"/>
      <c r="DR42" s="145"/>
      <c r="DS42" s="145"/>
      <c r="DT42" s="145"/>
      <c r="DU42" s="145"/>
      <c r="DV42" s="145"/>
      <c r="DW42" s="145"/>
      <c r="DX42" s="145"/>
      <c r="DY42" s="145"/>
      <c r="DZ42" s="145"/>
      <c r="EA42" s="145"/>
      <c r="EB42" s="145"/>
      <c r="EC42" s="145"/>
      <c r="ED42" s="145"/>
      <c r="EE42" s="146"/>
    </row>
    <row r="43" spans="1:135" x14ac:dyDescent="0.25">
      <c r="A43" s="152">
        <f>SUMIF($C$1:$EE$1,"&lt;="&amp;Resumen!$K$19,'Flujo de caja mensual'!C43:EE43)</f>
        <v>140259576047.98483</v>
      </c>
      <c r="B43" s="14" t="s">
        <v>201</v>
      </c>
      <c r="C43" s="150"/>
      <c r="D43" s="148">
        <f>SUM(D26,D41)</f>
        <v>833909467.18755198</v>
      </c>
      <c r="E43" s="148">
        <f t="shared" ref="E43:BP43" si="14">SUM(E26,E41)</f>
        <v>837555319.31119597</v>
      </c>
      <c r="F43" s="148">
        <f t="shared" si="14"/>
        <v>841215153.81612563</v>
      </c>
      <c r="G43" s="148">
        <f t="shared" si="14"/>
        <v>844889025.51950192</v>
      </c>
      <c r="H43" s="148">
        <f t="shared" si="14"/>
        <v>848576989.4565196</v>
      </c>
      <c r="I43" s="148">
        <f t="shared" si="14"/>
        <v>852279100.88127899</v>
      </c>
      <c r="J43" s="148">
        <f t="shared" si="14"/>
        <v>855995415.26766872</v>
      </c>
      <c r="K43" s="148">
        <f t="shared" si="14"/>
        <v>859725988.3102448</v>
      </c>
      <c r="L43" s="148">
        <f t="shared" si="14"/>
        <v>863470875.92511892</v>
      </c>
      <c r="M43" s="148">
        <f t="shared" si="14"/>
        <v>867230134.25084519</v>
      </c>
      <c r="N43" s="148">
        <f t="shared" si="14"/>
        <v>871003819.64931679</v>
      </c>
      <c r="O43" s="148">
        <f t="shared" si="14"/>
        <v>885815579.7499727</v>
      </c>
      <c r="P43" s="148">
        <f t="shared" si="14"/>
        <v>948960797.22533536</v>
      </c>
      <c r="Q43" s="148">
        <f t="shared" si="14"/>
        <v>964087307.9229815</v>
      </c>
      <c r="R43" s="148">
        <f t="shared" si="14"/>
        <v>979301134.68977451</v>
      </c>
      <c r="S43" s="148">
        <f t="shared" si="14"/>
        <v>994602687.25017691</v>
      </c>
      <c r="T43" s="148">
        <f t="shared" si="14"/>
        <v>1009992377.0755036</v>
      </c>
      <c r="U43" s="148">
        <f t="shared" si="14"/>
        <v>1025470617.390965</v>
      </c>
      <c r="V43" s="148">
        <f t="shared" si="14"/>
        <v>1041037823.1827416</v>
      </c>
      <c r="W43" s="148">
        <f t="shared" si="14"/>
        <v>1044693368.8930559</v>
      </c>
      <c r="X43" s="148">
        <f t="shared" si="14"/>
        <v>1048360138.7840898</v>
      </c>
      <c r="Y43" s="148">
        <f t="shared" si="14"/>
        <v>1052038167.3087283</v>
      </c>
      <c r="Z43" s="148">
        <f t="shared" si="14"/>
        <v>1055727489.0251224</v>
      </c>
      <c r="AA43" s="148">
        <f t="shared" si="14"/>
        <v>1059428138.5970055</v>
      </c>
      <c r="AB43" s="148">
        <f t="shared" si="14"/>
        <v>1072782762.7630546</v>
      </c>
      <c r="AC43" s="148">
        <f t="shared" si="14"/>
        <v>1076115082.261868</v>
      </c>
      <c r="AD43" s="148">
        <f t="shared" si="14"/>
        <v>1079456295.7457223</v>
      </c>
      <c r="AE43" s="148">
        <f t="shared" si="14"/>
        <v>1082806426.3814225</v>
      </c>
      <c r="AF43" s="148">
        <f t="shared" si="14"/>
        <v>1086165497.3935664</v>
      </c>
      <c r="AG43" s="148">
        <f t="shared" si="14"/>
        <v>1089533532.0646694</v>
      </c>
      <c r="AH43" s="148">
        <f t="shared" si="14"/>
        <v>1092910553.7353039</v>
      </c>
      <c r="AI43" s="148">
        <f t="shared" si="14"/>
        <v>1096296585.8042285</v>
      </c>
      <c r="AJ43" s="148">
        <f t="shared" si="14"/>
        <v>1099691651.7285233</v>
      </c>
      <c r="AK43" s="148">
        <f t="shared" si="14"/>
        <v>1103095775.0237226</v>
      </c>
      <c r="AL43" s="148">
        <f t="shared" si="14"/>
        <v>1106508979.2639499</v>
      </c>
      <c r="AM43" s="148">
        <f t="shared" si="14"/>
        <v>1109931288.0820503</v>
      </c>
      <c r="AN43" s="148">
        <f t="shared" si="14"/>
        <v>1108449383.1115773</v>
      </c>
      <c r="AO43" s="148">
        <f t="shared" si="14"/>
        <v>1111889972.2195249</v>
      </c>
      <c r="AP43" s="148">
        <f t="shared" si="14"/>
        <v>1115339737.1575642</v>
      </c>
      <c r="AQ43" s="148">
        <f t="shared" si="14"/>
        <v>1118798701.7947786</v>
      </c>
      <c r="AR43" s="148">
        <f t="shared" si="14"/>
        <v>1122266890.0596485</v>
      </c>
      <c r="AS43" s="148">
        <f t="shared" si="14"/>
        <v>1125744325.9401867</v>
      </c>
      <c r="AT43" s="148">
        <f t="shared" si="14"/>
        <v>1129231033.4840755</v>
      </c>
      <c r="AU43" s="148">
        <f t="shared" si="14"/>
        <v>1132727036.7988021</v>
      </c>
      <c r="AV43" s="148">
        <f t="shared" si="14"/>
        <v>1136232360.051795</v>
      </c>
      <c r="AW43" s="148">
        <f t="shared" si="14"/>
        <v>1139747027.470561</v>
      </c>
      <c r="AX43" s="148">
        <f t="shared" si="14"/>
        <v>1143271063.3428216</v>
      </c>
      <c r="AY43" s="148">
        <f t="shared" si="14"/>
        <v>1146804492.0166514</v>
      </c>
      <c r="AZ43" s="148">
        <f t="shared" si="14"/>
        <v>1145278566.627557</v>
      </c>
      <c r="BA43" s="148">
        <f t="shared" si="14"/>
        <v>1148830854.190845</v>
      </c>
      <c r="BB43" s="148">
        <f t="shared" si="14"/>
        <v>1152392607.9634142</v>
      </c>
      <c r="BC43" s="148">
        <f t="shared" si="14"/>
        <v>1155963852.5361252</v>
      </c>
      <c r="BD43" s="148">
        <f t="shared" si="14"/>
        <v>1159544612.5608811</v>
      </c>
      <c r="BE43" s="148">
        <f t="shared" si="14"/>
        <v>1163134912.7507656</v>
      </c>
      <c r="BF43" s="148">
        <f t="shared" si="14"/>
        <v>1166734777.8801811</v>
      </c>
      <c r="BG43" s="148">
        <f t="shared" si="14"/>
        <v>1170344232.7849905</v>
      </c>
      <c r="BH43" s="148">
        <f t="shared" si="14"/>
        <v>1173963302.3626552</v>
      </c>
      <c r="BI43" s="148">
        <f t="shared" si="14"/>
        <v>1177592011.5723746</v>
      </c>
      <c r="BJ43" s="148">
        <f t="shared" si="14"/>
        <v>1181230385.435226</v>
      </c>
      <c r="BK43" s="148">
        <f t="shared" si="14"/>
        <v>1184878449.0343053</v>
      </c>
      <c r="BL43" s="148">
        <f t="shared" si="14"/>
        <v>1183306962.7027984</v>
      </c>
      <c r="BM43" s="148">
        <f t="shared" si="14"/>
        <v>1186974481.2724006</v>
      </c>
      <c r="BN43" s="148">
        <f t="shared" si="14"/>
        <v>1190651765.2010379</v>
      </c>
      <c r="BO43" s="148">
        <f t="shared" si="14"/>
        <v>1194338839.8212886</v>
      </c>
      <c r="BP43" s="148">
        <f t="shared" si="14"/>
        <v>1198035730.5284557</v>
      </c>
      <c r="BQ43" s="148">
        <f t="shared" ref="BQ43:EB43" si="15">SUM(BQ26,BQ41)</f>
        <v>1201742462.7807059</v>
      </c>
      <c r="BR43" s="148">
        <f t="shared" si="15"/>
        <v>1205459062.0992153</v>
      </c>
      <c r="BS43" s="148">
        <f t="shared" si="15"/>
        <v>1209185554.0683086</v>
      </c>
      <c r="BT43" s="148">
        <f t="shared" si="15"/>
        <v>1212921964.3356032</v>
      </c>
      <c r="BU43" s="148">
        <f t="shared" si="15"/>
        <v>1216668318.612154</v>
      </c>
      <c r="BV43" s="148">
        <f t="shared" si="15"/>
        <v>1220424642.6725912</v>
      </c>
      <c r="BW43" s="148">
        <f t="shared" si="15"/>
        <v>1224190962.355268</v>
      </c>
      <c r="BX43" s="148">
        <f t="shared" si="15"/>
        <v>1222572308.8851099</v>
      </c>
      <c r="BY43" s="148">
        <f t="shared" si="15"/>
        <v>1226358697.5829334</v>
      </c>
      <c r="BZ43" s="148">
        <f t="shared" si="15"/>
        <v>1230155159.801825</v>
      </c>
      <c r="CA43" s="148">
        <f t="shared" si="15"/>
        <v>1233961721.6364646</v>
      </c>
      <c r="CB43" s="148">
        <f t="shared" si="15"/>
        <v>1237778409.2459745</v>
      </c>
      <c r="CC43" s="148">
        <f t="shared" si="15"/>
        <v>1241605248.8540621</v>
      </c>
      <c r="CD43" s="148">
        <f t="shared" si="15"/>
        <v>1245442266.7491693</v>
      </c>
      <c r="CE43" s="148">
        <f t="shared" si="15"/>
        <v>1249289489.2846165</v>
      </c>
      <c r="CF43" s="148">
        <f t="shared" si="15"/>
        <v>1253146942.8787456</v>
      </c>
      <c r="CG43" s="148">
        <f t="shared" si="15"/>
        <v>1257014654.0150697</v>
      </c>
      <c r="CH43" s="148">
        <f t="shared" si="15"/>
        <v>1260892649.2424164</v>
      </c>
      <c r="CI43" s="148">
        <f t="shared" si="15"/>
        <v>1264780955.175077</v>
      </c>
      <c r="CJ43" s="148">
        <f t="shared" si="15"/>
        <v>1263113459.4584305</v>
      </c>
      <c r="CK43" s="148">
        <f t="shared" si="15"/>
        <v>1267022466.9071708</v>
      </c>
      <c r="CL43" s="148">
        <f t="shared" si="15"/>
        <v>1270941865.2983367</v>
      </c>
      <c r="CM43" s="148">
        <f t="shared" si="15"/>
        <v>1274871681.5095375</v>
      </c>
      <c r="CN43" s="148">
        <f t="shared" si="15"/>
        <v>1278811942.4845793</v>
      </c>
      <c r="CO43" s="148">
        <f t="shared" si="15"/>
        <v>1282762675.2336164</v>
      </c>
      <c r="CP43" s="148">
        <f t="shared" si="15"/>
        <v>1286723906.833297</v>
      </c>
      <c r="CQ43" s="148">
        <f t="shared" si="15"/>
        <v>1290695664.4269116</v>
      </c>
      <c r="CR43" s="148">
        <f t="shared" si="15"/>
        <v>1294677975.224544</v>
      </c>
      <c r="CS43" s="148">
        <f t="shared" si="15"/>
        <v>1298670866.5032184</v>
      </c>
      <c r="CT43" s="148">
        <f t="shared" si="15"/>
        <v>1302674365.607049</v>
      </c>
      <c r="CU43" s="148">
        <f t="shared" si="15"/>
        <v>1306688499.947391</v>
      </c>
      <c r="CV43" s="148">
        <f t="shared" si="15"/>
        <v>1304970414.5546832</v>
      </c>
      <c r="CW43" s="148">
        <f t="shared" si="15"/>
        <v>1309005901.8718195</v>
      </c>
      <c r="CX43" s="148">
        <f t="shared" si="15"/>
        <v>1313052107.0644698</v>
      </c>
      <c r="CY43" s="148">
        <f t="shared" si="15"/>
        <v>1317109057.8144484</v>
      </c>
      <c r="CZ43" s="148">
        <f t="shared" si="15"/>
        <v>1321176781.8715632</v>
      </c>
      <c r="DA43" s="148">
        <f t="shared" si="15"/>
        <v>1325255307.0537629</v>
      </c>
      <c r="DB43" s="148">
        <f t="shared" si="15"/>
        <v>1329344661.2472925</v>
      </c>
      <c r="DC43" s="148">
        <f t="shared" si="15"/>
        <v>1333444872.4068406</v>
      </c>
      <c r="DD43" s="148">
        <f t="shared" si="15"/>
        <v>1337555968.5556967</v>
      </c>
      <c r="DE43" s="148">
        <f t="shared" si="15"/>
        <v>1341677977.785897</v>
      </c>
      <c r="DF43" s="148">
        <f t="shared" si="15"/>
        <v>1345810928.2583823</v>
      </c>
      <c r="DG43" s="148">
        <f t="shared" si="15"/>
        <v>1349954848.2031488</v>
      </c>
      <c r="DH43" s="148">
        <f t="shared" si="15"/>
        <v>1348184349.792757</v>
      </c>
      <c r="DI43" s="148">
        <f t="shared" si="15"/>
        <v>1352350293.6490567</v>
      </c>
      <c r="DJ43" s="148">
        <f t="shared" si="15"/>
        <v>1356527292.0834856</v>
      </c>
      <c r="DK43" s="148">
        <f t="shared" si="15"/>
        <v>1360715373.6037924</v>
      </c>
      <c r="DL43" s="148">
        <f t="shared" si="15"/>
        <v>1364914566.787549</v>
      </c>
      <c r="DM43" s="148">
        <f t="shared" si="15"/>
        <v>1369124900.2823026</v>
      </c>
      <c r="DN43" s="148">
        <f t="shared" si="15"/>
        <v>1373346402.8057337</v>
      </c>
      <c r="DO43" s="148">
        <f t="shared" si="15"/>
        <v>1377579103.1458082</v>
      </c>
      <c r="DP43" s="148">
        <f t="shared" si="15"/>
        <v>1381823030.1609325</v>
      </c>
      <c r="DQ43" s="148">
        <f t="shared" si="15"/>
        <v>1386078212.7801127</v>
      </c>
      <c r="DR43" s="148">
        <f t="shared" si="15"/>
        <v>1390344680.0031037</v>
      </c>
      <c r="DS43" s="148">
        <f t="shared" si="15"/>
        <v>1394622460.9005704</v>
      </c>
      <c r="DT43" s="148">
        <f t="shared" si="15"/>
        <v>1392797646.4386678</v>
      </c>
      <c r="DU43" s="148">
        <f t="shared" si="15"/>
        <v>1397098142.1814938</v>
      </c>
      <c r="DV43" s="148">
        <f t="shared" si="15"/>
        <v>1401410039.2377994</v>
      </c>
      <c r="DW43" s="148">
        <f t="shared" si="15"/>
        <v>1405733366.9634471</v>
      </c>
      <c r="DX43" s="148">
        <f t="shared" si="15"/>
        <v>1410068154.7859876</v>
      </c>
      <c r="DY43" s="148">
        <f t="shared" si="15"/>
        <v>1414414432.2048228</v>
      </c>
      <c r="DZ43" s="148">
        <f t="shared" si="15"/>
        <v>1418772228.7913599</v>
      </c>
      <c r="EA43" s="148">
        <f t="shared" si="15"/>
        <v>1423141574.1891699</v>
      </c>
      <c r="EB43" s="148">
        <f t="shared" si="15"/>
        <v>1427522498.1141477</v>
      </c>
      <c r="EC43" s="148">
        <f>SUM(EC26,EC41)</f>
        <v>1431915030.3546679</v>
      </c>
      <c r="ED43" s="148">
        <f>SUM(ED26,ED41)</f>
        <v>1436319200.7717462</v>
      </c>
      <c r="EE43" s="149">
        <f>SUM(EE26,EE41)</f>
        <v>1440735039.299196</v>
      </c>
    </row>
    <row r="44" spans="1:135" x14ac:dyDescent="0.25">
      <c r="B44" s="5"/>
      <c r="C44" s="144"/>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5"/>
      <c r="DF44" s="145"/>
      <c r="DG44" s="145"/>
      <c r="DH44" s="145"/>
      <c r="DI44" s="145"/>
      <c r="DJ44" s="145"/>
      <c r="DK44" s="145"/>
      <c r="DL44" s="145"/>
      <c r="DM44" s="145"/>
      <c r="DN44" s="145"/>
      <c r="DO44" s="145"/>
      <c r="DP44" s="145"/>
      <c r="DQ44" s="145"/>
      <c r="DR44" s="145"/>
      <c r="DS44" s="145"/>
      <c r="DT44" s="145"/>
      <c r="DU44" s="145"/>
      <c r="DV44" s="145"/>
      <c r="DW44" s="145"/>
      <c r="DX44" s="145"/>
      <c r="DY44" s="145"/>
      <c r="DZ44" s="145"/>
      <c r="EA44" s="145"/>
      <c r="EB44" s="145"/>
      <c r="EC44" s="145"/>
      <c r="ED44" s="145"/>
      <c r="EE44" s="146"/>
    </row>
    <row r="45" spans="1:135" x14ac:dyDescent="0.25">
      <c r="A45" s="152">
        <f>SUMIF($C$1:$EE$1,"&lt;="&amp;Resumen!$K$19,'Flujo de caja mensual'!C45:EE45)</f>
        <v>-7013675000.0000019</v>
      </c>
      <c r="B45" s="5" t="s">
        <v>185</v>
      </c>
      <c r="C45" s="144"/>
      <c r="D45" s="145">
        <f>-'Presupuesto de construccion'!H49</f>
        <v>0</v>
      </c>
      <c r="E45" s="145">
        <f>-'Presupuesto de construccion'!I49</f>
        <v>-766004545.4545455</v>
      </c>
      <c r="F45" s="145">
        <f>-'Presupuesto de construccion'!J49</f>
        <v>-952254545.4545455</v>
      </c>
      <c r="G45" s="145">
        <f>-'Presupuesto de construccion'!K49</f>
        <v>-1057429545.4545455</v>
      </c>
      <c r="H45" s="145">
        <f>-'Presupuesto de construccion'!L49</f>
        <v>-1057429545.4545455</v>
      </c>
      <c r="I45" s="145">
        <f>-'Presupuesto de construccion'!M49</f>
        <v>-1059304545.4545455</v>
      </c>
      <c r="J45" s="145">
        <f>-'Presupuesto de construccion'!N49</f>
        <v>-1059304545.4545455</v>
      </c>
      <c r="K45" s="145">
        <f>-'Presupuesto de construccion'!O49</f>
        <v>-899304545.4545455</v>
      </c>
      <c r="L45" s="145">
        <f>-'Presupuesto de construccion'!P49</f>
        <v>-75379545.454545453</v>
      </c>
      <c r="M45" s="145">
        <f>-'Presupuesto de construccion'!Q49</f>
        <v>-29087878.787878789</v>
      </c>
      <c r="N45" s="145">
        <f>-'Presupuesto de construccion'!R49</f>
        <v>-29087878.787878789</v>
      </c>
      <c r="O45" s="145">
        <f>-'Presupuesto de construccion'!S49</f>
        <v>-29087878.787878789</v>
      </c>
      <c r="P45" s="145">
        <f>-'Presupuesto de construccion'!T49</f>
        <v>0</v>
      </c>
      <c r="Q45" s="145">
        <f>-'Presupuesto de construccion'!U49</f>
        <v>0</v>
      </c>
      <c r="R45" s="145">
        <f>-'Presupuesto de construccion'!V49</f>
        <v>0</v>
      </c>
      <c r="S45" s="145">
        <f>-'Presupuesto de construccion'!W49</f>
        <v>0</v>
      </c>
      <c r="T45" s="145">
        <f>-'Presupuesto de construccion'!X49</f>
        <v>0</v>
      </c>
      <c r="U45" s="145">
        <f>-'Presupuesto de construccion'!Y49</f>
        <v>0</v>
      </c>
      <c r="V45" s="145">
        <f>-'Presupuesto de construccion'!Z49</f>
        <v>0</v>
      </c>
      <c r="W45" s="145">
        <f>-'Presupuesto de construccion'!AA49</f>
        <v>0</v>
      </c>
      <c r="X45" s="145">
        <f>-'Presupuesto de construccion'!AB49</f>
        <v>0</v>
      </c>
      <c r="Y45" s="145">
        <f>-'Presupuesto de construccion'!AC49</f>
        <v>0</v>
      </c>
      <c r="Z45" s="145">
        <f>-'Presupuesto de construccion'!AD49</f>
        <v>0</v>
      </c>
      <c r="AA45" s="145">
        <f>-'Presupuesto de construccion'!AE49</f>
        <v>0</v>
      </c>
      <c r="AB45" s="145">
        <f>-'Presupuesto de construccion'!AF49</f>
        <v>0</v>
      </c>
      <c r="AC45" s="145">
        <f>-'Presupuesto de construccion'!AG49</f>
        <v>0</v>
      </c>
      <c r="AD45" s="145">
        <f>-'Presupuesto de construccion'!AH49</f>
        <v>0</v>
      </c>
      <c r="AE45" s="145">
        <f>-'Presupuesto de construccion'!AI49</f>
        <v>0</v>
      </c>
      <c r="AF45" s="145">
        <f>-'Presupuesto de construccion'!AJ49</f>
        <v>0</v>
      </c>
      <c r="AG45" s="145">
        <f>-'Presupuesto de construccion'!AK49</f>
        <v>0</v>
      </c>
      <c r="AH45" s="145">
        <f>-'Presupuesto de construccion'!AL49</f>
        <v>0</v>
      </c>
      <c r="AI45" s="145">
        <f>-'Presupuesto de construccion'!AM49</f>
        <v>0</v>
      </c>
      <c r="AJ45" s="145">
        <f>-'Presupuesto de construccion'!AN49</f>
        <v>0</v>
      </c>
      <c r="AK45" s="145">
        <f>-'Presupuesto de construccion'!AO49</f>
        <v>0</v>
      </c>
      <c r="AL45" s="145">
        <f>-'Presupuesto de construccion'!AP49</f>
        <v>0</v>
      </c>
      <c r="AM45" s="145">
        <f>-'Presupuesto de construccion'!AQ49</f>
        <v>0</v>
      </c>
      <c r="AN45" s="145">
        <f>-'Presupuesto de construccion'!AR49</f>
        <v>0</v>
      </c>
      <c r="AO45" s="145">
        <f>-'Presupuesto de construccion'!AS49</f>
        <v>0</v>
      </c>
      <c r="AP45" s="145">
        <f>-'Presupuesto de construccion'!AT49</f>
        <v>0</v>
      </c>
      <c r="AQ45" s="145">
        <f>-'Presupuesto de construccion'!AU49</f>
        <v>0</v>
      </c>
      <c r="AR45" s="145">
        <f>-'Presupuesto de construccion'!AV49</f>
        <v>0</v>
      </c>
      <c r="AS45" s="145">
        <f>-'Presupuesto de construccion'!AW49</f>
        <v>0</v>
      </c>
      <c r="AT45" s="145">
        <f>-'Presupuesto de construccion'!AX49</f>
        <v>0</v>
      </c>
      <c r="AU45" s="145">
        <f>-'Presupuesto de construccion'!AY49</f>
        <v>0</v>
      </c>
      <c r="AV45" s="145">
        <f>-'Presupuesto de construccion'!AZ49</f>
        <v>0</v>
      </c>
      <c r="AW45" s="145">
        <f>-'Presupuesto de construccion'!BA49</f>
        <v>0</v>
      </c>
      <c r="AX45" s="145">
        <f>-'Presupuesto de construccion'!BB49</f>
        <v>0</v>
      </c>
      <c r="AY45" s="145">
        <f>-'Presupuesto de construccion'!BC49</f>
        <v>0</v>
      </c>
      <c r="AZ45" s="145">
        <f>-'Presupuesto de construccion'!BD49</f>
        <v>0</v>
      </c>
      <c r="BA45" s="145">
        <f>-'Presupuesto de construccion'!BE49</f>
        <v>0</v>
      </c>
      <c r="BB45" s="145">
        <f>-'Presupuesto de construccion'!BF49</f>
        <v>0</v>
      </c>
      <c r="BC45" s="145">
        <f>-'Presupuesto de construccion'!BG49</f>
        <v>0</v>
      </c>
      <c r="BD45" s="145">
        <f>-'Presupuesto de construccion'!BH49</f>
        <v>0</v>
      </c>
      <c r="BE45" s="145">
        <f>-'Presupuesto de construccion'!BI49</f>
        <v>0</v>
      </c>
      <c r="BF45" s="145">
        <f>-'Presupuesto de construccion'!BJ49</f>
        <v>0</v>
      </c>
      <c r="BG45" s="145">
        <f>-'Presupuesto de construccion'!BK49</f>
        <v>0</v>
      </c>
      <c r="BH45" s="145">
        <f>-'Presupuesto de construccion'!BL49</f>
        <v>0</v>
      </c>
      <c r="BI45" s="145">
        <f>-'Presupuesto de construccion'!BM49</f>
        <v>0</v>
      </c>
      <c r="BJ45" s="145">
        <f>-'Presupuesto de construccion'!BN49</f>
        <v>0</v>
      </c>
      <c r="BK45" s="145">
        <f>-'Presupuesto de construccion'!BO49</f>
        <v>0</v>
      </c>
      <c r="BL45" s="145">
        <f>-'Presupuesto de construccion'!BP49</f>
        <v>0</v>
      </c>
      <c r="BM45" s="145">
        <f>-'Presupuesto de construccion'!BQ49</f>
        <v>0</v>
      </c>
      <c r="BN45" s="145">
        <f>-'Presupuesto de construccion'!BR49</f>
        <v>0</v>
      </c>
      <c r="BO45" s="145">
        <f>-'Presupuesto de construccion'!BS49</f>
        <v>0</v>
      </c>
      <c r="BP45" s="145">
        <f>-'Presupuesto de construccion'!BT49</f>
        <v>0</v>
      </c>
      <c r="BQ45" s="145">
        <f>-'Presupuesto de construccion'!BU49</f>
        <v>0</v>
      </c>
      <c r="BR45" s="145">
        <f>-'Presupuesto de construccion'!BV49</f>
        <v>0</v>
      </c>
      <c r="BS45" s="145">
        <f>-'Presupuesto de construccion'!BW49</f>
        <v>0</v>
      </c>
      <c r="BT45" s="145">
        <f>-'Presupuesto de construccion'!BX49</f>
        <v>0</v>
      </c>
      <c r="BU45" s="145">
        <f>-'Presupuesto de construccion'!BY49</f>
        <v>0</v>
      </c>
      <c r="BV45" s="145">
        <f>-'Presupuesto de construccion'!BZ49</f>
        <v>0</v>
      </c>
      <c r="BW45" s="145">
        <f>-'Presupuesto de construccion'!CA49</f>
        <v>0</v>
      </c>
      <c r="BX45" s="145">
        <f>-'Presupuesto de construccion'!CB49</f>
        <v>0</v>
      </c>
      <c r="BY45" s="145">
        <f>-'Presupuesto de construccion'!CC49</f>
        <v>0</v>
      </c>
      <c r="BZ45" s="145">
        <f>-'Presupuesto de construccion'!CD49</f>
        <v>0</v>
      </c>
      <c r="CA45" s="145">
        <f>-'Presupuesto de construccion'!CE49</f>
        <v>0</v>
      </c>
      <c r="CB45" s="145">
        <f>-'Presupuesto de construccion'!CF49</f>
        <v>0</v>
      </c>
      <c r="CC45" s="145">
        <f>-'Presupuesto de construccion'!CG49</f>
        <v>0</v>
      </c>
      <c r="CD45" s="145">
        <f>-'Presupuesto de construccion'!CH49</f>
        <v>0</v>
      </c>
      <c r="CE45" s="145">
        <f>-'Presupuesto de construccion'!CI49</f>
        <v>0</v>
      </c>
      <c r="CF45" s="145">
        <f>-'Presupuesto de construccion'!CJ49</f>
        <v>0</v>
      </c>
      <c r="CG45" s="145">
        <f>-'Presupuesto de construccion'!CK49</f>
        <v>0</v>
      </c>
      <c r="CH45" s="145">
        <f>-'Presupuesto de construccion'!CL49</f>
        <v>0</v>
      </c>
      <c r="CI45" s="145">
        <f>-'Presupuesto de construccion'!CM49</f>
        <v>0</v>
      </c>
      <c r="CJ45" s="145">
        <f>-'Presupuesto de construccion'!CN49</f>
        <v>0</v>
      </c>
      <c r="CK45" s="145">
        <f>-'Presupuesto de construccion'!CO49</f>
        <v>0</v>
      </c>
      <c r="CL45" s="145">
        <f>-'Presupuesto de construccion'!CP49</f>
        <v>0</v>
      </c>
      <c r="CM45" s="145">
        <f>-'Presupuesto de construccion'!CQ49</f>
        <v>0</v>
      </c>
      <c r="CN45" s="145">
        <f>-'Presupuesto de construccion'!CR49</f>
        <v>0</v>
      </c>
      <c r="CO45" s="145">
        <f>-'Presupuesto de construccion'!CS49</f>
        <v>0</v>
      </c>
      <c r="CP45" s="145">
        <f>-'Presupuesto de construccion'!CT49</f>
        <v>0</v>
      </c>
      <c r="CQ45" s="145">
        <f>-'Presupuesto de construccion'!CU49</f>
        <v>0</v>
      </c>
      <c r="CR45" s="145">
        <f>-'Presupuesto de construccion'!CV49</f>
        <v>0</v>
      </c>
      <c r="CS45" s="145">
        <f>-'Presupuesto de construccion'!CW49</f>
        <v>0</v>
      </c>
      <c r="CT45" s="145">
        <f>-'Presupuesto de construccion'!CX49</f>
        <v>0</v>
      </c>
      <c r="CU45" s="145">
        <f>-'Presupuesto de construccion'!CY49</f>
        <v>0</v>
      </c>
      <c r="CV45" s="145">
        <f>-'Presupuesto de construccion'!CZ49</f>
        <v>0</v>
      </c>
      <c r="CW45" s="145">
        <f>-'Presupuesto de construccion'!DA49</f>
        <v>0</v>
      </c>
      <c r="CX45" s="145">
        <f>-'Presupuesto de construccion'!DB49</f>
        <v>0</v>
      </c>
      <c r="CY45" s="145">
        <f>-'Presupuesto de construccion'!DC49</f>
        <v>0</v>
      </c>
      <c r="CZ45" s="145">
        <f>-'Presupuesto de construccion'!DD49</f>
        <v>0</v>
      </c>
      <c r="DA45" s="145">
        <f>-'Presupuesto de construccion'!DE49</f>
        <v>0</v>
      </c>
      <c r="DB45" s="145">
        <f>-'Presupuesto de construccion'!DF49</f>
        <v>0</v>
      </c>
      <c r="DC45" s="145">
        <f>-'Presupuesto de construccion'!DG49</f>
        <v>0</v>
      </c>
      <c r="DD45" s="145">
        <f>-'Presupuesto de construccion'!DH49</f>
        <v>0</v>
      </c>
      <c r="DE45" s="145">
        <f>-'Presupuesto de construccion'!DI49</f>
        <v>0</v>
      </c>
      <c r="DF45" s="145">
        <f>-'Presupuesto de construccion'!DJ49</f>
        <v>0</v>
      </c>
      <c r="DG45" s="145">
        <f>-'Presupuesto de construccion'!DK49</f>
        <v>0</v>
      </c>
      <c r="DH45" s="145">
        <f>-'Presupuesto de construccion'!DL49</f>
        <v>0</v>
      </c>
      <c r="DI45" s="145">
        <f>-'Presupuesto de construccion'!DM49</f>
        <v>0</v>
      </c>
      <c r="DJ45" s="145">
        <f>-'Presupuesto de construccion'!DN49</f>
        <v>0</v>
      </c>
      <c r="DK45" s="145">
        <f>-'Presupuesto de construccion'!DO49</f>
        <v>0</v>
      </c>
      <c r="DL45" s="145">
        <f>-'Presupuesto de construccion'!DP49</f>
        <v>0</v>
      </c>
      <c r="DM45" s="145">
        <f>-'Presupuesto de construccion'!DQ49</f>
        <v>0</v>
      </c>
      <c r="DN45" s="145">
        <f>-'Presupuesto de construccion'!DR49</f>
        <v>0</v>
      </c>
      <c r="DO45" s="145">
        <f>-'Presupuesto de construccion'!DS49</f>
        <v>0</v>
      </c>
      <c r="DP45" s="145">
        <f>-'Presupuesto de construccion'!DT49</f>
        <v>0</v>
      </c>
      <c r="DQ45" s="145">
        <f>-'Presupuesto de construccion'!DU49</f>
        <v>0</v>
      </c>
      <c r="DR45" s="145">
        <f>-'Presupuesto de construccion'!DV49</f>
        <v>0</v>
      </c>
      <c r="DS45" s="145">
        <f>-'Presupuesto de construccion'!DW49</f>
        <v>0</v>
      </c>
      <c r="DT45" s="145">
        <f>-'Presupuesto de construccion'!DX49</f>
        <v>0</v>
      </c>
      <c r="DU45" s="145">
        <f>-'Presupuesto de construccion'!DY49</f>
        <v>0</v>
      </c>
      <c r="DV45" s="145">
        <f>-'Presupuesto de construccion'!DZ49</f>
        <v>0</v>
      </c>
      <c r="DW45" s="145">
        <f>-'Presupuesto de construccion'!EA49</f>
        <v>0</v>
      </c>
      <c r="DX45" s="145">
        <f>-'Presupuesto de construccion'!EB49</f>
        <v>0</v>
      </c>
      <c r="DY45" s="145">
        <f>-'Presupuesto de construccion'!EC49</f>
        <v>0</v>
      </c>
      <c r="DZ45" s="145">
        <f>-'Presupuesto de construccion'!ED49</f>
        <v>0</v>
      </c>
      <c r="EA45" s="145">
        <f>-'Presupuesto de construccion'!EE49</f>
        <v>0</v>
      </c>
      <c r="EB45" s="145">
        <f>-'Presupuesto de construccion'!EF49</f>
        <v>0</v>
      </c>
      <c r="EC45" s="145">
        <f>-'Presupuesto de construccion'!EG49</f>
        <v>0</v>
      </c>
      <c r="ED45" s="145">
        <f>-'Presupuesto de construccion'!EH49</f>
        <v>0</v>
      </c>
      <c r="EE45" s="146">
        <f>-'Presupuesto de construccion'!EI49</f>
        <v>0</v>
      </c>
    </row>
    <row r="46" spans="1:135" x14ac:dyDescent="0.25">
      <c r="B46" s="5"/>
      <c r="C46" s="144"/>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5"/>
      <c r="DF46" s="145"/>
      <c r="DG46" s="145"/>
      <c r="DH46" s="145"/>
      <c r="DI46" s="145"/>
      <c r="DJ46" s="145"/>
      <c r="DK46" s="145"/>
      <c r="DL46" s="145"/>
      <c r="DM46" s="145"/>
      <c r="DN46" s="145"/>
      <c r="DO46" s="145"/>
      <c r="DP46" s="145"/>
      <c r="DQ46" s="145"/>
      <c r="DR46" s="145"/>
      <c r="DS46" s="145"/>
      <c r="DT46" s="145"/>
      <c r="DU46" s="145"/>
      <c r="DV46" s="145"/>
      <c r="DW46" s="145"/>
      <c r="DX46" s="145"/>
      <c r="DY46" s="145"/>
      <c r="DZ46" s="145"/>
      <c r="EA46" s="145"/>
      <c r="EB46" s="145"/>
      <c r="EC46" s="145"/>
      <c r="ED46" s="145"/>
      <c r="EE46" s="146"/>
    </row>
    <row r="47" spans="1:135" x14ac:dyDescent="0.25">
      <c r="A47" s="152">
        <f>SUMIF($C$1:$EE$1,"&lt;="&amp;Resumen!$K$19,'Flujo de caja mensual'!C47:EE47)</f>
        <v>133245901047.98482</v>
      </c>
      <c r="B47" s="14" t="s">
        <v>191</v>
      </c>
      <c r="C47" s="147"/>
      <c r="D47" s="148">
        <f>IF(D1&gt;Resumen!$K$19,0,SUM(D43,D45))</f>
        <v>833909467.18755198</v>
      </c>
      <c r="E47" s="148">
        <f>IF(E1&gt;Resumen!$K$19,0,SUM(E43,E45))</f>
        <v>71550773.856650472</v>
      </c>
      <c r="F47" s="148">
        <f>IF(F1&gt;Resumen!$K$19,0,SUM(F43,F45))</f>
        <v>-111039391.63841987</v>
      </c>
      <c r="G47" s="148">
        <f>IF(G1&gt;Resumen!$K$19,0,SUM(G43,G45))</f>
        <v>-212540519.93504357</v>
      </c>
      <c r="H47" s="148">
        <f>IF(H1&gt;Resumen!$K$19,0,SUM(H43,H45))</f>
        <v>-208852555.99802589</v>
      </c>
      <c r="I47" s="148">
        <f>IF(I1&gt;Resumen!$K$19,0,SUM(I43,I45))</f>
        <v>-207025444.57326651</v>
      </c>
      <c r="J47" s="148">
        <f>IF(J1&gt;Resumen!$K$19,0,SUM(J43,J45))</f>
        <v>-203309130.18687677</v>
      </c>
      <c r="K47" s="148">
        <f>IF(K1&gt;Resumen!$K$19,0,SUM(K43,K45))</f>
        <v>-39578557.144300699</v>
      </c>
      <c r="L47" s="148">
        <f>IF(L1&gt;Resumen!$K$19,0,SUM(L43,L45))</f>
        <v>788091330.47057343</v>
      </c>
      <c r="M47" s="148">
        <f>IF(M1&gt;Resumen!$K$19,0,SUM(M43,M45))</f>
        <v>838142255.46296644</v>
      </c>
      <c r="N47" s="148">
        <f>IF(N1&gt;Resumen!$K$19,0,SUM(N43,N45))</f>
        <v>841915940.86143804</v>
      </c>
      <c r="O47" s="148">
        <f>IF(O1&gt;Resumen!$K$19,0,SUM(O43,O45))</f>
        <v>856727700.96209395</v>
      </c>
      <c r="P47" s="148">
        <f>IF(P1&gt;Resumen!$K$19,0,SUM(P43,P45))</f>
        <v>948960797.22533536</v>
      </c>
      <c r="Q47" s="148">
        <f>IF(Q1&gt;Resumen!$K$19,0,SUM(Q43,Q45))</f>
        <v>964087307.9229815</v>
      </c>
      <c r="R47" s="148">
        <f>IF(R1&gt;Resumen!$K$19,0,SUM(R43,R45))</f>
        <v>979301134.68977451</v>
      </c>
      <c r="S47" s="148">
        <f>IF(S1&gt;Resumen!$K$19,0,SUM(S43,S45))</f>
        <v>994602687.25017691</v>
      </c>
      <c r="T47" s="148">
        <f>IF(T1&gt;Resumen!$K$19,0,SUM(T43,T45))</f>
        <v>1009992377.0755036</v>
      </c>
      <c r="U47" s="148">
        <f>IF(U1&gt;Resumen!$K$19,0,SUM(U43,U45))</f>
        <v>1025470617.390965</v>
      </c>
      <c r="V47" s="148">
        <f>IF(V1&gt;Resumen!$K$19,0,SUM(V43,V45))</f>
        <v>1041037823.1827416</v>
      </c>
      <c r="W47" s="148">
        <f>IF(W1&gt;Resumen!$K$19,0,SUM(W43,W45))</f>
        <v>1044693368.8930559</v>
      </c>
      <c r="X47" s="148">
        <f>IF(X1&gt;Resumen!$K$19,0,SUM(X43,X45))</f>
        <v>1048360138.7840898</v>
      </c>
      <c r="Y47" s="148">
        <f>IF(Y1&gt;Resumen!$K$19,0,SUM(Y43,Y45))</f>
        <v>1052038167.3087283</v>
      </c>
      <c r="Z47" s="148">
        <f>IF(Z1&gt;Resumen!$K$19,0,SUM(Z43,Z45))</f>
        <v>1055727489.0251224</v>
      </c>
      <c r="AA47" s="148">
        <f>IF(AA1&gt;Resumen!$K$19,0,SUM(AA43,AA45))</f>
        <v>1059428138.5970055</v>
      </c>
      <c r="AB47" s="148">
        <f>IF(AB1&gt;Resumen!$K$19,0,SUM(AB43,AB45))</f>
        <v>1072782762.7630546</v>
      </c>
      <c r="AC47" s="148">
        <f>IF(AC1&gt;Resumen!$K$19,0,SUM(AC43,AC45))</f>
        <v>1076115082.261868</v>
      </c>
      <c r="AD47" s="148">
        <f>IF(AD1&gt;Resumen!$K$19,0,SUM(AD43,AD45))</f>
        <v>1079456295.7457223</v>
      </c>
      <c r="AE47" s="148">
        <f>IF(AE1&gt;Resumen!$K$19,0,SUM(AE43,AE45))</f>
        <v>1082806426.3814225</v>
      </c>
      <c r="AF47" s="148">
        <f>IF(AF1&gt;Resumen!$K$19,0,SUM(AF43,AF45))</f>
        <v>1086165497.3935664</v>
      </c>
      <c r="AG47" s="148">
        <f>IF(AG1&gt;Resumen!$K$19,0,SUM(AG43,AG45))</f>
        <v>1089533532.0646694</v>
      </c>
      <c r="AH47" s="148">
        <f>IF(AH1&gt;Resumen!$K$19,0,SUM(AH43,AH45))</f>
        <v>1092910553.7353039</v>
      </c>
      <c r="AI47" s="148">
        <f>IF(AI1&gt;Resumen!$K$19,0,SUM(AI43,AI45))</f>
        <v>1096296585.8042285</v>
      </c>
      <c r="AJ47" s="148">
        <f>IF(AJ1&gt;Resumen!$K$19,0,SUM(AJ43,AJ45))</f>
        <v>1099691651.7285233</v>
      </c>
      <c r="AK47" s="148">
        <f>IF(AK1&gt;Resumen!$K$19,0,SUM(AK43,AK45))</f>
        <v>1103095775.0237226</v>
      </c>
      <c r="AL47" s="148">
        <f>IF(AL1&gt;Resumen!$K$19,0,SUM(AL43,AL45))</f>
        <v>1106508979.2639499</v>
      </c>
      <c r="AM47" s="148">
        <f>IF(AM1&gt;Resumen!$K$19,0,SUM(AM43,AM45))</f>
        <v>1109931288.0820503</v>
      </c>
      <c r="AN47" s="148">
        <f>IF(AN1&gt;Resumen!$K$19,0,SUM(AN43,AN45))</f>
        <v>1108449383.1115773</v>
      </c>
      <c r="AO47" s="148">
        <f>IF(AO1&gt;Resumen!$K$19,0,SUM(AO43,AO45))</f>
        <v>1111889972.2195249</v>
      </c>
      <c r="AP47" s="148">
        <f>IF(AP1&gt;Resumen!$K$19,0,SUM(AP43,AP45))</f>
        <v>1115339737.1575642</v>
      </c>
      <c r="AQ47" s="148">
        <f>IF(AQ1&gt;Resumen!$K$19,0,SUM(AQ43,AQ45))</f>
        <v>1118798701.7947786</v>
      </c>
      <c r="AR47" s="148">
        <f>IF(AR1&gt;Resumen!$K$19,0,SUM(AR43,AR45))</f>
        <v>1122266890.0596485</v>
      </c>
      <c r="AS47" s="148">
        <f>IF(AS1&gt;Resumen!$K$19,0,SUM(AS43,AS45))</f>
        <v>1125744325.9401867</v>
      </c>
      <c r="AT47" s="148">
        <f>IF(AT1&gt;Resumen!$K$19,0,SUM(AT43,AT45))</f>
        <v>1129231033.4840755</v>
      </c>
      <c r="AU47" s="148">
        <f>IF(AU1&gt;Resumen!$K$19,0,SUM(AU43,AU45))</f>
        <v>1132727036.7988021</v>
      </c>
      <c r="AV47" s="148">
        <f>IF(AV1&gt;Resumen!$K$19,0,SUM(AV43,AV45))</f>
        <v>1136232360.051795</v>
      </c>
      <c r="AW47" s="148">
        <f>IF(AW1&gt;Resumen!$K$19,0,SUM(AW43,AW45))</f>
        <v>1139747027.470561</v>
      </c>
      <c r="AX47" s="148">
        <f>IF(AX1&gt;Resumen!$K$19,0,SUM(AX43,AX45))</f>
        <v>1143271063.3428216</v>
      </c>
      <c r="AY47" s="148">
        <f>IF(AY1&gt;Resumen!$K$19,0,SUM(AY43,AY45))</f>
        <v>1146804492.0166514</v>
      </c>
      <c r="AZ47" s="148">
        <f>IF(AZ1&gt;Resumen!$K$19,0,SUM(AZ43,AZ45))</f>
        <v>1145278566.627557</v>
      </c>
      <c r="BA47" s="148">
        <f>IF(BA1&gt;Resumen!$K$19,0,SUM(BA43,BA45))</f>
        <v>1148830854.190845</v>
      </c>
      <c r="BB47" s="148">
        <f>IF(BB1&gt;Resumen!$K$19,0,SUM(BB43,BB45))</f>
        <v>1152392607.9634142</v>
      </c>
      <c r="BC47" s="148">
        <f>IF(BC1&gt;Resumen!$K$19,0,SUM(BC43,BC45))</f>
        <v>1155963852.5361252</v>
      </c>
      <c r="BD47" s="148">
        <f>IF(BD1&gt;Resumen!$K$19,0,SUM(BD43,BD45))</f>
        <v>1159544612.5608811</v>
      </c>
      <c r="BE47" s="148">
        <f>IF(BE1&gt;Resumen!$K$19,0,SUM(BE43,BE45))</f>
        <v>1163134912.7507656</v>
      </c>
      <c r="BF47" s="148">
        <f>IF(BF1&gt;Resumen!$K$19,0,SUM(BF43,BF45))</f>
        <v>1166734777.8801811</v>
      </c>
      <c r="BG47" s="148">
        <f>IF(BG1&gt;Resumen!$K$19,0,SUM(BG43,BG45))</f>
        <v>1170344232.7849905</v>
      </c>
      <c r="BH47" s="148">
        <f>IF(BH1&gt;Resumen!$K$19,0,SUM(BH43,BH45))</f>
        <v>1173963302.3626552</v>
      </c>
      <c r="BI47" s="148">
        <f>IF(BI1&gt;Resumen!$K$19,0,SUM(BI43,BI45))</f>
        <v>1177592011.5723746</v>
      </c>
      <c r="BJ47" s="148">
        <f>IF(BJ1&gt;Resumen!$K$19,0,SUM(BJ43,BJ45))</f>
        <v>1181230385.435226</v>
      </c>
      <c r="BK47" s="148">
        <f>IF(BK1&gt;Resumen!$K$19,0,SUM(BK43,BK45))</f>
        <v>1184878449.0343053</v>
      </c>
      <c r="BL47" s="148">
        <f>IF(BL1&gt;Resumen!$K$19,0,SUM(BL43,BL45))</f>
        <v>1183306962.7027984</v>
      </c>
      <c r="BM47" s="148">
        <f>IF(BM1&gt;Resumen!$K$19,0,SUM(BM43,BM45))</f>
        <v>1186974481.2724006</v>
      </c>
      <c r="BN47" s="148">
        <f>IF(BN1&gt;Resumen!$K$19,0,SUM(BN43,BN45))</f>
        <v>1190651765.2010379</v>
      </c>
      <c r="BO47" s="148">
        <f>IF(BO1&gt;Resumen!$K$19,0,SUM(BO43,BO45))</f>
        <v>1194338839.8212886</v>
      </c>
      <c r="BP47" s="148">
        <f>IF(BP1&gt;Resumen!$K$19,0,SUM(BP43,BP45))</f>
        <v>1198035730.5284557</v>
      </c>
      <c r="BQ47" s="148">
        <f>IF(BQ1&gt;Resumen!$K$19,0,SUM(BQ43,BQ45))</f>
        <v>1201742462.7807059</v>
      </c>
      <c r="BR47" s="148">
        <f>IF(BR1&gt;Resumen!$K$19,0,SUM(BR43,BR45))</f>
        <v>1205459062.0992153</v>
      </c>
      <c r="BS47" s="148">
        <f>IF(BS1&gt;Resumen!$K$19,0,SUM(BS43,BS45))</f>
        <v>1209185554.0683086</v>
      </c>
      <c r="BT47" s="148">
        <f>IF(BT1&gt;Resumen!$K$19,0,SUM(BT43,BT45))</f>
        <v>1212921964.3356032</v>
      </c>
      <c r="BU47" s="148">
        <f>IF(BU1&gt;Resumen!$K$19,0,SUM(BU43,BU45))</f>
        <v>1216668318.612154</v>
      </c>
      <c r="BV47" s="148">
        <f>IF(BV1&gt;Resumen!$K$19,0,SUM(BV43,BV45))</f>
        <v>1220424642.6725912</v>
      </c>
      <c r="BW47" s="148">
        <f>IF(BW1&gt;Resumen!$K$19,0,SUM(BW43,BW45))</f>
        <v>1224190962.355268</v>
      </c>
      <c r="BX47" s="148">
        <f>IF(BX1&gt;Resumen!$K$19,0,SUM(BX43,BX45))</f>
        <v>1222572308.8851099</v>
      </c>
      <c r="BY47" s="148">
        <f>IF(BY1&gt;Resumen!$K$19,0,SUM(BY43,BY45))</f>
        <v>1226358697.5829334</v>
      </c>
      <c r="BZ47" s="148">
        <f>IF(BZ1&gt;Resumen!$K$19,0,SUM(BZ43,BZ45))</f>
        <v>1230155159.801825</v>
      </c>
      <c r="CA47" s="148">
        <f>IF(CA1&gt;Resumen!$K$19,0,SUM(CA43,CA45))</f>
        <v>1233961721.6364646</v>
      </c>
      <c r="CB47" s="148">
        <f>IF(CB1&gt;Resumen!$K$19,0,SUM(CB43,CB45))</f>
        <v>1237778409.2459745</v>
      </c>
      <c r="CC47" s="148">
        <f>IF(CC1&gt;Resumen!$K$19,0,SUM(CC43,CC45))</f>
        <v>1241605248.8540621</v>
      </c>
      <c r="CD47" s="148">
        <f>IF(CD1&gt;Resumen!$K$19,0,SUM(CD43,CD45))</f>
        <v>1245442266.7491693</v>
      </c>
      <c r="CE47" s="148">
        <f>IF(CE1&gt;Resumen!$K$19,0,SUM(CE43,CE45))</f>
        <v>1249289489.2846165</v>
      </c>
      <c r="CF47" s="148">
        <f>IF(CF1&gt;Resumen!$K$19,0,SUM(CF43,CF45))</f>
        <v>1253146942.8787456</v>
      </c>
      <c r="CG47" s="148">
        <f>IF(CG1&gt;Resumen!$K$19,0,SUM(CG43,CG45))</f>
        <v>1257014654.0150697</v>
      </c>
      <c r="CH47" s="148">
        <f>IF(CH1&gt;Resumen!$K$19,0,SUM(CH43,CH45))</f>
        <v>1260892649.2424164</v>
      </c>
      <c r="CI47" s="148">
        <f>IF(CI1&gt;Resumen!$K$19,0,SUM(CI43,CI45))</f>
        <v>1264780955.175077</v>
      </c>
      <c r="CJ47" s="148">
        <f>IF(CJ1&gt;Resumen!$K$19,0,SUM(CJ43,CJ45))</f>
        <v>1263113459.4584305</v>
      </c>
      <c r="CK47" s="148">
        <f>IF(CK1&gt;Resumen!$K$19,0,SUM(CK43,CK45))</f>
        <v>1267022466.9071708</v>
      </c>
      <c r="CL47" s="148">
        <f>IF(CL1&gt;Resumen!$K$19,0,SUM(CL43,CL45))</f>
        <v>1270941865.2983367</v>
      </c>
      <c r="CM47" s="148">
        <f>IF(CM1&gt;Resumen!$K$19,0,SUM(CM43,CM45))</f>
        <v>1274871681.5095375</v>
      </c>
      <c r="CN47" s="148">
        <f>IF(CN1&gt;Resumen!$K$19,0,SUM(CN43,CN45))</f>
        <v>1278811942.4845793</v>
      </c>
      <c r="CO47" s="148">
        <f>IF(CO1&gt;Resumen!$K$19,0,SUM(CO43,CO45))</f>
        <v>1282762675.2336164</v>
      </c>
      <c r="CP47" s="148">
        <f>IF(CP1&gt;Resumen!$K$19,0,SUM(CP43,CP45))</f>
        <v>1286723906.833297</v>
      </c>
      <c r="CQ47" s="148">
        <f>IF(CQ1&gt;Resumen!$K$19,0,SUM(CQ43,CQ45))</f>
        <v>1290695664.4269116</v>
      </c>
      <c r="CR47" s="148">
        <f>IF(CR1&gt;Resumen!$K$19,0,SUM(CR43,CR45))</f>
        <v>1294677975.224544</v>
      </c>
      <c r="CS47" s="148">
        <f>IF(CS1&gt;Resumen!$K$19,0,SUM(CS43,CS45))</f>
        <v>1298670866.5032184</v>
      </c>
      <c r="CT47" s="148">
        <f>IF(CT1&gt;Resumen!$K$19,0,SUM(CT43,CT45))</f>
        <v>1302674365.607049</v>
      </c>
      <c r="CU47" s="148">
        <f>IF(CU1&gt;Resumen!$K$19,0,SUM(CU43,CU45))</f>
        <v>1306688499.947391</v>
      </c>
      <c r="CV47" s="148">
        <f>IF(CV1&gt;Resumen!$K$19,0,SUM(CV43,CV45))</f>
        <v>1304970414.5546832</v>
      </c>
      <c r="CW47" s="148">
        <f>IF(CW1&gt;Resumen!$K$19,0,SUM(CW43,CW45))</f>
        <v>1309005901.8718195</v>
      </c>
      <c r="CX47" s="148">
        <f>IF(CX1&gt;Resumen!$K$19,0,SUM(CX43,CX45))</f>
        <v>1313052107.0644698</v>
      </c>
      <c r="CY47" s="148">
        <f>IF(CY1&gt;Resumen!$K$19,0,SUM(CY43,CY45))</f>
        <v>1317109057.8144484</v>
      </c>
      <c r="CZ47" s="148">
        <f>IF(CZ1&gt;Resumen!$K$19,0,SUM(CZ43,CZ45))</f>
        <v>1321176781.8715632</v>
      </c>
      <c r="DA47" s="148">
        <f>IF(DA1&gt;Resumen!$K$19,0,SUM(DA43,DA45))</f>
        <v>1325255307.0537629</v>
      </c>
      <c r="DB47" s="148">
        <f>IF(DB1&gt;Resumen!$K$19,0,SUM(DB43,DB45))</f>
        <v>1329344661.2472925</v>
      </c>
      <c r="DC47" s="148">
        <f>IF(DC1&gt;Resumen!$K$19,0,SUM(DC43,DC45))</f>
        <v>1333444872.4068406</v>
      </c>
      <c r="DD47" s="148">
        <f>IF(DD1&gt;Resumen!$K$19,0,SUM(DD43,DD45))</f>
        <v>1337555968.5556967</v>
      </c>
      <c r="DE47" s="148">
        <f>IF(DE1&gt;Resumen!$K$19,0,SUM(DE43,DE45))</f>
        <v>1341677977.785897</v>
      </c>
      <c r="DF47" s="148">
        <f>IF(DF1&gt;Resumen!$K$19,0,SUM(DF43,DF45))</f>
        <v>1345810928.2583823</v>
      </c>
      <c r="DG47" s="148">
        <f>IF(DG1&gt;Resumen!$K$19,0,SUM(DG43,DG45))</f>
        <v>1349954848.2031488</v>
      </c>
      <c r="DH47" s="148">
        <f>IF(DH1&gt;Resumen!$K$19,0,SUM(DH43,DH45))</f>
        <v>1348184349.792757</v>
      </c>
      <c r="DI47" s="148">
        <f>IF(DI1&gt;Resumen!$K$19,0,SUM(DI43,DI45))</f>
        <v>1352350293.6490567</v>
      </c>
      <c r="DJ47" s="148">
        <f>IF(DJ1&gt;Resumen!$K$19,0,SUM(DJ43,DJ45))</f>
        <v>1356527292.0834856</v>
      </c>
      <c r="DK47" s="148">
        <f>IF(DK1&gt;Resumen!$K$19,0,SUM(DK43,DK45))</f>
        <v>1360715373.6037924</v>
      </c>
      <c r="DL47" s="148">
        <f>IF(DL1&gt;Resumen!$K$19,0,SUM(DL43,DL45))</f>
        <v>1364914566.787549</v>
      </c>
      <c r="DM47" s="148">
        <f>IF(DM1&gt;Resumen!$K$19,0,SUM(DM43,DM45))</f>
        <v>1369124900.2823026</v>
      </c>
      <c r="DN47" s="148">
        <f>IF(DN1&gt;Resumen!$K$19,0,SUM(DN43,DN45))</f>
        <v>1373346402.8057337</v>
      </c>
      <c r="DO47" s="148">
        <f>IF(DO1&gt;Resumen!$K$19,0,SUM(DO43,DO45))</f>
        <v>1377579103.1458082</v>
      </c>
      <c r="DP47" s="148">
        <f>IF(DP1&gt;Resumen!$K$19,0,SUM(DP43,DP45))</f>
        <v>1381823030.1609325</v>
      </c>
      <c r="DQ47" s="148">
        <f>IF(DQ1&gt;Resumen!$K$19,0,SUM(DQ43,DQ45))</f>
        <v>1386078212.7801127</v>
      </c>
      <c r="DR47" s="148">
        <f>IF(DR1&gt;Resumen!$K$19,0,SUM(DR43,DR45))</f>
        <v>1390344680.0031037</v>
      </c>
      <c r="DS47" s="148">
        <f>IF(DS1&gt;Resumen!$K$19,0,SUM(DS43,DS45))</f>
        <v>1394622460.9005704</v>
      </c>
      <c r="DT47" s="148">
        <f>IF(DT1&gt;Resumen!$K$19,0,SUM(DT43,DT45))</f>
        <v>0</v>
      </c>
      <c r="DU47" s="148">
        <f>IF(DU1&gt;Resumen!$K$19,0,SUM(DU43,DU45))</f>
        <v>0</v>
      </c>
      <c r="DV47" s="148">
        <f>IF(DV1&gt;Resumen!$K$19,0,SUM(DV43,DV45))</f>
        <v>0</v>
      </c>
      <c r="DW47" s="148">
        <f>IF(DW1&gt;Resumen!$K$19,0,SUM(DW43,DW45))</f>
        <v>0</v>
      </c>
      <c r="DX47" s="148">
        <f>IF(DX1&gt;Resumen!$K$19,0,SUM(DX43,DX45))</f>
        <v>0</v>
      </c>
      <c r="DY47" s="148">
        <f>IF(DY1&gt;Resumen!$K$19,0,SUM(DY43,DY45))</f>
        <v>0</v>
      </c>
      <c r="DZ47" s="148">
        <f>IF(DZ1&gt;Resumen!$K$19,0,SUM(DZ43,DZ45))</f>
        <v>0</v>
      </c>
      <c r="EA47" s="148">
        <f>IF(EA1&gt;Resumen!$K$19,0,SUM(EA43,EA45))</f>
        <v>0</v>
      </c>
      <c r="EB47" s="148">
        <f>IF(EB1&gt;Resumen!$K$19,0,SUM(EB43,EB45))</f>
        <v>0</v>
      </c>
      <c r="EC47" s="148">
        <f>IF(EC1&gt;Resumen!$K$19,0,SUM(EC43,EC45))</f>
        <v>0</v>
      </c>
      <c r="ED47" s="148">
        <f>IF(ED1&gt;Resumen!$K$19,0,SUM(ED43,ED45))</f>
        <v>0</v>
      </c>
      <c r="EE47" s="149">
        <f>IF(EE1&gt;Resumen!$K$19,0,SUM(EE43,EE45))</f>
        <v>0</v>
      </c>
    </row>
    <row r="48" spans="1:135" x14ac:dyDescent="0.25">
      <c r="B48" s="5"/>
      <c r="C48" s="144"/>
      <c r="D48" s="145"/>
      <c r="E48" s="145"/>
      <c r="F48" s="145"/>
      <c r="G48" s="145"/>
      <c r="H48" s="145"/>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c r="BJ48" s="145"/>
      <c r="BK48" s="145"/>
      <c r="BL48" s="145"/>
      <c r="BM48" s="145"/>
      <c r="BN48" s="145"/>
      <c r="BO48" s="145"/>
      <c r="BP48" s="145"/>
      <c r="BQ48" s="145"/>
      <c r="BR48" s="145"/>
      <c r="BS48" s="145"/>
      <c r="BT48" s="145"/>
      <c r="BU48" s="145"/>
      <c r="BV48" s="145"/>
      <c r="BW48" s="145"/>
      <c r="BX48" s="145"/>
      <c r="BY48" s="145"/>
      <c r="BZ48" s="145"/>
      <c r="CA48" s="145"/>
      <c r="CB48" s="145"/>
      <c r="CC48" s="145"/>
      <c r="CD48" s="145"/>
      <c r="CE48" s="145"/>
      <c r="CF48" s="145"/>
      <c r="CG48" s="145"/>
      <c r="CH48" s="145"/>
      <c r="CI48" s="145"/>
      <c r="CJ48" s="145"/>
      <c r="CK48" s="145"/>
      <c r="CL48" s="145"/>
      <c r="CM48" s="145"/>
      <c r="CN48" s="145"/>
      <c r="CO48" s="145"/>
      <c r="CP48" s="145"/>
      <c r="CQ48" s="145"/>
      <c r="CR48" s="145"/>
      <c r="CS48" s="145"/>
      <c r="CT48" s="145"/>
      <c r="CU48" s="145"/>
      <c r="CV48" s="145"/>
      <c r="CW48" s="145"/>
      <c r="CX48" s="145"/>
      <c r="CY48" s="145"/>
      <c r="CZ48" s="145"/>
      <c r="DA48" s="145"/>
      <c r="DB48" s="145"/>
      <c r="DC48" s="145"/>
      <c r="DD48" s="145"/>
      <c r="DE48" s="145"/>
      <c r="DF48" s="145"/>
      <c r="DG48" s="145"/>
      <c r="DH48" s="145"/>
      <c r="DI48" s="145"/>
      <c r="DJ48" s="145"/>
      <c r="DK48" s="145"/>
      <c r="DL48" s="145"/>
      <c r="DM48" s="145"/>
      <c r="DN48" s="145"/>
      <c r="DO48" s="145"/>
      <c r="DP48" s="145"/>
      <c r="DQ48" s="145"/>
      <c r="DR48" s="145"/>
      <c r="DS48" s="145"/>
      <c r="DT48" s="145"/>
      <c r="DU48" s="145"/>
      <c r="DV48" s="145"/>
      <c r="DW48" s="145"/>
      <c r="DX48" s="145"/>
      <c r="DY48" s="145"/>
      <c r="DZ48" s="145"/>
      <c r="EA48" s="145"/>
      <c r="EB48" s="145"/>
      <c r="EC48" s="145"/>
      <c r="ED48" s="145"/>
      <c r="EE48" s="146"/>
    </row>
    <row r="49" spans="1:135" x14ac:dyDescent="0.25">
      <c r="B49" s="140" t="s">
        <v>202</v>
      </c>
      <c r="C49" s="144"/>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c r="BJ49" s="145"/>
      <c r="BK49" s="145"/>
      <c r="BL49" s="145"/>
      <c r="BM49" s="145"/>
      <c r="BN49" s="145"/>
      <c r="BO49" s="145"/>
      <c r="BP49" s="145"/>
      <c r="BQ49" s="145"/>
      <c r="BR49" s="145"/>
      <c r="BS49" s="145"/>
      <c r="BT49" s="145"/>
      <c r="BU49" s="145"/>
      <c r="BV49" s="145"/>
      <c r="BW49" s="145"/>
      <c r="BX49" s="145"/>
      <c r="BY49" s="145"/>
      <c r="BZ49" s="145"/>
      <c r="CA49" s="145"/>
      <c r="CB49" s="145"/>
      <c r="CC49" s="145"/>
      <c r="CD49" s="145"/>
      <c r="CE49" s="145"/>
      <c r="CF49" s="145"/>
      <c r="CG49" s="145"/>
      <c r="CH49" s="145"/>
      <c r="CI49" s="145"/>
      <c r="CJ49" s="145"/>
      <c r="CK49" s="145"/>
      <c r="CL49" s="145"/>
      <c r="CM49" s="145"/>
      <c r="CN49" s="145"/>
      <c r="CO49" s="145"/>
      <c r="CP49" s="145"/>
      <c r="CQ49" s="145"/>
      <c r="CR49" s="145"/>
      <c r="CS49" s="145"/>
      <c r="CT49" s="145"/>
      <c r="CU49" s="145"/>
      <c r="CV49" s="145"/>
      <c r="CW49" s="145"/>
      <c r="CX49" s="145"/>
      <c r="CY49" s="145"/>
      <c r="CZ49" s="145"/>
      <c r="DA49" s="145"/>
      <c r="DB49" s="145"/>
      <c r="DC49" s="145"/>
      <c r="DD49" s="145"/>
      <c r="DE49" s="145"/>
      <c r="DF49" s="145"/>
      <c r="DG49" s="145"/>
      <c r="DH49" s="145"/>
      <c r="DI49" s="145"/>
      <c r="DJ49" s="145"/>
      <c r="DK49" s="145"/>
      <c r="DL49" s="145"/>
      <c r="DM49" s="145"/>
      <c r="DN49" s="145"/>
      <c r="DO49" s="145"/>
      <c r="DP49" s="145"/>
      <c r="DQ49" s="145"/>
      <c r="DR49" s="145"/>
      <c r="DS49" s="145"/>
      <c r="DT49" s="145"/>
      <c r="DU49" s="145"/>
      <c r="DV49" s="145"/>
      <c r="DW49" s="145"/>
      <c r="DX49" s="145"/>
      <c r="DY49" s="145"/>
      <c r="DZ49" s="145"/>
      <c r="EA49" s="145"/>
      <c r="EB49" s="145"/>
      <c r="EC49" s="145"/>
      <c r="ED49" s="145"/>
      <c r="EE49" s="146"/>
    </row>
    <row r="50" spans="1:135" x14ac:dyDescent="0.25">
      <c r="A50" s="152">
        <f>SUMIF($C$1:$EE$1,"&lt;="&amp;Resumen!$K$19,'Flujo de caja mensual'!C50:EE50)</f>
        <v>187737791579.24863</v>
      </c>
      <c r="B50" s="5" t="s">
        <v>203</v>
      </c>
      <c r="C50" s="144">
        <f>Resumen!E2</f>
        <v>74250000000</v>
      </c>
      <c r="D50" s="145">
        <f>IF(D1&gt;=Resumen!$K$19,0,IF('Flujo de caja mensual'!D1=Resumen!$E$13,Resumen!$E$14,0))</f>
        <v>0</v>
      </c>
      <c r="E50" s="145">
        <f>IF(E1&gt;=Resumen!$K$19,0,IF('Flujo de caja mensual'!E1=Resumen!$E$13,Resumen!$E$14,0))</f>
        <v>0</v>
      </c>
      <c r="F50" s="145">
        <f>IF(F1&gt;=Resumen!$K$19,0,IF('Flujo de caja mensual'!F1=Resumen!$E$13,Resumen!$E$14,0))</f>
        <v>0</v>
      </c>
      <c r="G50" s="145">
        <f>IF(G1&gt;=Resumen!$K$19,0,IF('Flujo de caja mensual'!G1=Resumen!$E$13,Resumen!$E$14,0))</f>
        <v>0</v>
      </c>
      <c r="H50" s="145">
        <f>IF(H1&gt;=Resumen!$K$19,0,IF('Flujo de caja mensual'!H1=Resumen!$E$13,Resumen!$E$14,0))</f>
        <v>0</v>
      </c>
      <c r="I50" s="145">
        <f>IF(I1&gt;=Resumen!$K$19,0,IF('Flujo de caja mensual'!I1=Resumen!$E$13,Resumen!$E$14,0))</f>
        <v>0</v>
      </c>
      <c r="J50" s="145">
        <f>IF(J1&gt;=Resumen!$K$19,0,IF('Flujo de caja mensual'!J1=Resumen!$E$13,Resumen!$E$14,0))</f>
        <v>0</v>
      </c>
      <c r="K50" s="145">
        <f>IF(K1&gt;=Resumen!$K$19,0,IF('Flujo de caja mensual'!K1=Resumen!$E$13,Resumen!$E$14,0))</f>
        <v>0</v>
      </c>
      <c r="L50" s="145">
        <f>IF(L1&gt;=Resumen!$K$19,0,IF('Flujo de caja mensual'!L1=Resumen!$E$13,Resumen!$E$14,0))</f>
        <v>0</v>
      </c>
      <c r="M50" s="145">
        <f>IF(M1&gt;=Resumen!$K$19,0,IF('Flujo de caja mensual'!M1=Resumen!$E$13,Resumen!$E$14,0))</f>
        <v>0</v>
      </c>
      <c r="N50" s="145">
        <f>IF(N1&gt;=Resumen!$K$19,0,IF('Flujo de caja mensual'!N1=Resumen!$E$13,Resumen!$E$14,0))</f>
        <v>0</v>
      </c>
      <c r="O50" s="145">
        <f>IF(O1&gt;=Resumen!$K$19,0,IF('Flujo de caja mensual'!O1=Resumen!$E$13,Resumen!$E$14,0))</f>
        <v>0</v>
      </c>
      <c r="P50" s="145">
        <f>IF(P1&gt;=Resumen!$K$19,0,IF('Flujo de caja mensual'!P1=Resumen!$E$13,Resumen!$E$14,0))</f>
        <v>0</v>
      </c>
      <c r="Q50" s="145">
        <f>IF(Q1&gt;=Resumen!$K$19,0,IF('Flujo de caja mensual'!Q1=Resumen!$E$13,Resumen!$E$14,0))</f>
        <v>0</v>
      </c>
      <c r="R50" s="145">
        <f>IF(R1&gt;=Resumen!$K$19,0,IF('Flujo de caja mensual'!R1=Resumen!$E$13,Resumen!$E$14,0))</f>
        <v>0</v>
      </c>
      <c r="S50" s="145">
        <f>IF(S1&gt;=Resumen!$K$19,0,IF('Flujo de caja mensual'!S1=Resumen!$E$13,Resumen!$E$14,0))</f>
        <v>0</v>
      </c>
      <c r="T50" s="145">
        <f>IF(T1&gt;=Resumen!$K$19,0,IF('Flujo de caja mensual'!T1=Resumen!$E$13,Resumen!$E$14,0))</f>
        <v>0</v>
      </c>
      <c r="U50" s="145">
        <f>IF(U1&gt;=Resumen!$K$19,0,IF('Flujo de caja mensual'!U1=Resumen!$E$13,Resumen!$E$14,0))</f>
        <v>0</v>
      </c>
      <c r="V50" s="145">
        <f>IF(V1&gt;=Resumen!$K$19,0,IF('Flujo de caja mensual'!V1=Resumen!$E$13,Resumen!$E$14,0))</f>
        <v>0</v>
      </c>
      <c r="W50" s="145">
        <f>IF(W1&gt;=Resumen!$K$19,0,IF('Flujo de caja mensual'!W1=Resumen!$E$13,Resumen!$E$14,0))</f>
        <v>0</v>
      </c>
      <c r="X50" s="145">
        <f>IF(X1&gt;=Resumen!$K$19,0,IF('Flujo de caja mensual'!X1=Resumen!$E$13,Resumen!$E$14,0))</f>
        <v>0</v>
      </c>
      <c r="Y50" s="145">
        <f>IF(Y1&gt;=Resumen!$K$19,0,IF('Flujo de caja mensual'!Y1=Resumen!$E$13,Resumen!$E$14,0))</f>
        <v>0</v>
      </c>
      <c r="Z50" s="145">
        <f>IF(Z1&gt;=Resumen!$K$19,0,IF('Flujo de caja mensual'!Z1=Resumen!$E$13,Resumen!$E$14,0))</f>
        <v>0</v>
      </c>
      <c r="AA50" s="145">
        <f>IF(AA1&gt;=Resumen!$K$19,0,IF('Flujo de caja mensual'!AA1=Resumen!$E$13,Resumen!$E$14,0))</f>
        <v>0</v>
      </c>
      <c r="AB50" s="145">
        <f>IF(AB1&gt;=Resumen!$K$19,0,IF('Flujo de caja mensual'!AB1=Resumen!$E$13,Resumen!$E$14,0))</f>
        <v>0</v>
      </c>
      <c r="AC50" s="145">
        <f>IF(AC1&gt;=Resumen!$K$19,0,IF('Flujo de caja mensual'!AC1=Resumen!$E$13,Resumen!$E$14,0))</f>
        <v>0</v>
      </c>
      <c r="AD50" s="145">
        <f>IF(AD1&gt;=Resumen!$K$19,0,IF('Flujo de caja mensual'!AD1=Resumen!$E$13,Resumen!$E$14,0))</f>
        <v>0</v>
      </c>
      <c r="AE50" s="145">
        <f>IF(AE1&gt;=Resumen!$K$19,0,IF('Flujo de caja mensual'!AE1=Resumen!$E$13,Resumen!$E$14,0))</f>
        <v>0</v>
      </c>
      <c r="AF50" s="145">
        <f>IF(AF1&gt;=Resumen!$K$19,0,IF('Flujo de caja mensual'!AF1=Resumen!$E$13,Resumen!$E$14,0))</f>
        <v>0</v>
      </c>
      <c r="AG50" s="145">
        <f>IF(AG1&gt;=Resumen!$K$19,0,IF('Flujo de caja mensual'!AG1=Resumen!$E$13,Resumen!$E$14,0))</f>
        <v>0</v>
      </c>
      <c r="AH50" s="145">
        <f>IF(AH1&gt;=Resumen!$K$19,0,IF('Flujo de caja mensual'!AH1=Resumen!$E$13,Resumen!$E$14,0))</f>
        <v>0</v>
      </c>
      <c r="AI50" s="145">
        <f>IF(AI1&gt;=Resumen!$K$19,0,IF('Flujo de caja mensual'!AI1=Resumen!$E$13,Resumen!$E$14,0))</f>
        <v>0</v>
      </c>
      <c r="AJ50" s="145">
        <f>IF(AJ1&gt;=Resumen!$K$19,0,IF('Flujo de caja mensual'!AJ1=Resumen!$E$13,Resumen!$E$14,0))</f>
        <v>0</v>
      </c>
      <c r="AK50" s="145">
        <f>IF(AK1&gt;=Resumen!$K$19,0,IF('Flujo de caja mensual'!AK1=Resumen!$E$13,Resumen!$E$14,0))</f>
        <v>0</v>
      </c>
      <c r="AL50" s="145">
        <f>IF(AL1&gt;=Resumen!$K$19,0,IF('Flujo de caja mensual'!AL1=Resumen!$E$13,Resumen!$E$14,0))</f>
        <v>0</v>
      </c>
      <c r="AM50" s="145">
        <f>IF(AM1&gt;=Resumen!$K$19,0,IF('Flujo de caja mensual'!AM1=Resumen!$E$13,Resumen!$E$14,0))</f>
        <v>0</v>
      </c>
      <c r="AN50" s="145">
        <f>IF(AN1&gt;=Resumen!$K$19,0,IF('Flujo de caja mensual'!AN1=Resumen!$E$13,Resumen!$E$14,0))</f>
        <v>0</v>
      </c>
      <c r="AO50" s="145">
        <f>IF(AO1&gt;=Resumen!$K$19,0,IF('Flujo de caja mensual'!AO1=Resumen!$E$13,Resumen!$E$14,0))</f>
        <v>0</v>
      </c>
      <c r="AP50" s="145">
        <f>IF(AP1&gt;=Resumen!$K$19,0,IF('Flujo de caja mensual'!AP1=Resumen!$E$13,Resumen!$E$14,0))</f>
        <v>0</v>
      </c>
      <c r="AQ50" s="145">
        <f>IF(AQ1&gt;=Resumen!$K$19,0,IF('Flujo de caja mensual'!AQ1=Resumen!$E$13,Resumen!$E$14,0))</f>
        <v>0</v>
      </c>
      <c r="AR50" s="145">
        <f>IF(AR1&gt;=Resumen!$K$19,0,IF('Flujo de caja mensual'!AR1=Resumen!$E$13,Resumen!$E$14,0))</f>
        <v>0</v>
      </c>
      <c r="AS50" s="145">
        <f>IF(AS1&gt;=Resumen!$K$19,0,IF('Flujo de caja mensual'!AS1=Resumen!$E$13,Resumen!$E$14,0))</f>
        <v>0</v>
      </c>
      <c r="AT50" s="145">
        <f>IF(AT1&gt;=Resumen!$K$19,0,IF('Flujo de caja mensual'!AT1=Resumen!$E$13,Resumen!$E$14,0))</f>
        <v>0</v>
      </c>
      <c r="AU50" s="145">
        <f>IF(AU1&gt;=Resumen!$K$19,0,IF('Flujo de caja mensual'!AU1=Resumen!$E$13,Resumen!$E$14,0))</f>
        <v>0</v>
      </c>
      <c r="AV50" s="145">
        <f>IF(AV1&gt;=Resumen!$K$19,0,IF('Flujo de caja mensual'!AV1=Resumen!$E$13,Resumen!$E$14,0))</f>
        <v>0</v>
      </c>
      <c r="AW50" s="145">
        <f>IF(AW1&gt;=Resumen!$K$19,0,IF('Flujo de caja mensual'!AW1=Resumen!$E$13,Resumen!$E$14,0))</f>
        <v>0</v>
      </c>
      <c r="AX50" s="145">
        <f>IF(AX1&gt;=Resumen!$K$19,0,IF('Flujo de caja mensual'!AX1=Resumen!$E$13,Resumen!$E$14,0))</f>
        <v>0</v>
      </c>
      <c r="AY50" s="145">
        <f>IF(AY1&gt;=Resumen!$K$19,0,IF('Flujo de caja mensual'!AY1=Resumen!$E$13,Resumen!$E$14,0))</f>
        <v>0</v>
      </c>
      <c r="AZ50" s="145">
        <f>IF(AZ1&gt;=Resumen!$K$19,0,IF('Flujo de caja mensual'!AZ1=Resumen!$E$13,Resumen!$E$14,0))</f>
        <v>0</v>
      </c>
      <c r="BA50" s="145">
        <f>IF(BA1&gt;=Resumen!$K$19,0,IF('Flujo de caja mensual'!BA1=Resumen!$E$13,Resumen!$E$14,0))</f>
        <v>0</v>
      </c>
      <c r="BB50" s="145">
        <f>IF(BB1&gt;=Resumen!$K$19,0,IF('Flujo de caja mensual'!BB1=Resumen!$E$13,Resumen!$E$14,0))</f>
        <v>0</v>
      </c>
      <c r="BC50" s="145">
        <f>IF(BC1&gt;=Resumen!$K$19,0,IF('Flujo de caja mensual'!BC1=Resumen!$E$13,Resumen!$E$14,0))</f>
        <v>0</v>
      </c>
      <c r="BD50" s="145">
        <f>IF(BD1&gt;=Resumen!$K$19,0,IF('Flujo de caja mensual'!BD1=Resumen!$E$13,Resumen!$E$14,0))</f>
        <v>0</v>
      </c>
      <c r="BE50" s="145">
        <f>IF(BE1&gt;=Resumen!$K$19,0,IF('Flujo de caja mensual'!BE1=Resumen!$E$13,Resumen!$E$14,0))</f>
        <v>0</v>
      </c>
      <c r="BF50" s="145">
        <f>IF(BF1&gt;=Resumen!$K$19,0,IF('Flujo de caja mensual'!BF1=Resumen!$E$13,Resumen!$E$14,0))</f>
        <v>0</v>
      </c>
      <c r="BG50" s="145">
        <f>IF(BG1&gt;=Resumen!$K$19,0,IF('Flujo de caja mensual'!BG1=Resumen!$E$13,Resumen!$E$14,0))</f>
        <v>0</v>
      </c>
      <c r="BH50" s="145">
        <f>IF(BH1&gt;=Resumen!$K$19,0,IF('Flujo de caja mensual'!BH1=Resumen!$E$13,Resumen!$E$14,0))</f>
        <v>0</v>
      </c>
      <c r="BI50" s="145">
        <f>IF(BI1&gt;=Resumen!$K$19,0,IF('Flujo de caja mensual'!BI1=Resumen!$E$13,Resumen!$E$14,0))</f>
        <v>0</v>
      </c>
      <c r="BJ50" s="145">
        <f>IF(BJ1&gt;=Resumen!$K$19,0,IF('Flujo de caja mensual'!BJ1=Resumen!$E$13,Resumen!$E$14,0))</f>
        <v>0</v>
      </c>
      <c r="BK50" s="145">
        <f>IF(BK1&gt;=Resumen!$K$19,0,IF('Flujo de caja mensual'!BK1=Resumen!$E$13,Resumen!$E$14,0))</f>
        <v>113487791579.24863</v>
      </c>
      <c r="BL50" s="145">
        <f>IF(BL1&gt;=Resumen!$K$19,0,IF('Flujo de caja mensual'!BL1=Resumen!$E$13,Resumen!$E$14,0))</f>
        <v>0</v>
      </c>
      <c r="BM50" s="145">
        <f>IF(BM1&gt;=Resumen!$K$19,0,IF('Flujo de caja mensual'!BM1=Resumen!$E$13,Resumen!$E$14,0))</f>
        <v>0</v>
      </c>
      <c r="BN50" s="145">
        <f>IF(BN1&gt;=Resumen!$K$19,0,IF('Flujo de caja mensual'!BN1=Resumen!$E$13,Resumen!$E$14,0))</f>
        <v>0</v>
      </c>
      <c r="BO50" s="145">
        <f>IF(BO1&gt;=Resumen!$K$19,0,IF('Flujo de caja mensual'!BO1=Resumen!$E$13,Resumen!$E$14,0))</f>
        <v>0</v>
      </c>
      <c r="BP50" s="145">
        <f>IF(BP1&gt;=Resumen!$K$19,0,IF('Flujo de caja mensual'!BP1=Resumen!$E$13,Resumen!$E$14,0))</f>
        <v>0</v>
      </c>
      <c r="BQ50" s="145">
        <f>IF(BQ1&gt;=Resumen!$K$19,0,IF('Flujo de caja mensual'!BQ1=Resumen!$E$13,Resumen!$E$14,0))</f>
        <v>0</v>
      </c>
      <c r="BR50" s="145">
        <f>IF(BR1&gt;=Resumen!$K$19,0,IF('Flujo de caja mensual'!BR1=Resumen!$E$13,Resumen!$E$14,0))</f>
        <v>0</v>
      </c>
      <c r="BS50" s="145">
        <f>IF(BS1&gt;=Resumen!$K$19,0,IF('Flujo de caja mensual'!BS1=Resumen!$E$13,Resumen!$E$14,0))</f>
        <v>0</v>
      </c>
      <c r="BT50" s="145">
        <f>IF(BT1&gt;=Resumen!$K$19,0,IF('Flujo de caja mensual'!BT1=Resumen!$E$13,Resumen!$E$14,0))</f>
        <v>0</v>
      </c>
      <c r="BU50" s="145">
        <f>IF(BU1&gt;=Resumen!$K$19,0,IF('Flujo de caja mensual'!BU1=Resumen!$E$13,Resumen!$E$14,0))</f>
        <v>0</v>
      </c>
      <c r="BV50" s="145">
        <f>IF(BV1&gt;=Resumen!$K$19,0,IF('Flujo de caja mensual'!BV1=Resumen!$E$13,Resumen!$E$14,0))</f>
        <v>0</v>
      </c>
      <c r="BW50" s="145">
        <f>IF(BW1&gt;=Resumen!$K$19,0,IF('Flujo de caja mensual'!BW1=Resumen!$E$13,Resumen!$E$14,0))</f>
        <v>0</v>
      </c>
      <c r="BX50" s="145">
        <f>IF(BX1&gt;=Resumen!$K$19,0,IF('Flujo de caja mensual'!BX1=Resumen!$E$13,Resumen!$E$14,0))</f>
        <v>0</v>
      </c>
      <c r="BY50" s="145">
        <f>IF(BY1&gt;=Resumen!$K$19,0,IF('Flujo de caja mensual'!BY1=Resumen!$E$13,Resumen!$E$14,0))</f>
        <v>0</v>
      </c>
      <c r="BZ50" s="145">
        <f>IF(BZ1&gt;=Resumen!$K$19,0,IF('Flujo de caja mensual'!BZ1=Resumen!$E$13,Resumen!$E$14,0))</f>
        <v>0</v>
      </c>
      <c r="CA50" s="145">
        <f>IF(CA1&gt;=Resumen!$K$19,0,IF('Flujo de caja mensual'!CA1=Resumen!$E$13,Resumen!$E$14,0))</f>
        <v>0</v>
      </c>
      <c r="CB50" s="145">
        <f>IF(CB1&gt;=Resumen!$K$19,0,IF('Flujo de caja mensual'!CB1=Resumen!$E$13,Resumen!$E$14,0))</f>
        <v>0</v>
      </c>
      <c r="CC50" s="145">
        <f>IF(CC1&gt;=Resumen!$K$19,0,IF('Flujo de caja mensual'!CC1=Resumen!$E$13,Resumen!$E$14,0))</f>
        <v>0</v>
      </c>
      <c r="CD50" s="145">
        <f>IF(CD1&gt;=Resumen!$K$19,0,IF('Flujo de caja mensual'!CD1=Resumen!$E$13,Resumen!$E$14,0))</f>
        <v>0</v>
      </c>
      <c r="CE50" s="145">
        <f>IF(CE1&gt;=Resumen!$K$19,0,IF('Flujo de caja mensual'!CE1=Resumen!$E$13,Resumen!$E$14,0))</f>
        <v>0</v>
      </c>
      <c r="CF50" s="145">
        <f>IF(CF1&gt;=Resumen!$K$19,0,IF('Flujo de caja mensual'!CF1=Resumen!$E$13,Resumen!$E$14,0))</f>
        <v>0</v>
      </c>
      <c r="CG50" s="145">
        <f>IF(CG1&gt;=Resumen!$K$19,0,IF('Flujo de caja mensual'!CG1=Resumen!$E$13,Resumen!$E$14,0))</f>
        <v>0</v>
      </c>
      <c r="CH50" s="145">
        <f>IF(CH1&gt;=Resumen!$K$19,0,IF('Flujo de caja mensual'!CH1=Resumen!$E$13,Resumen!$E$14,0))</f>
        <v>0</v>
      </c>
      <c r="CI50" s="145">
        <f>IF(CI1&gt;=Resumen!$K$19,0,IF('Flujo de caja mensual'!CI1=Resumen!$E$13,Resumen!$E$14,0))</f>
        <v>0</v>
      </c>
      <c r="CJ50" s="145">
        <f>IF(CJ1&gt;=Resumen!$K$19,0,IF('Flujo de caja mensual'!CJ1=Resumen!$E$13,Resumen!$E$14,0))</f>
        <v>0</v>
      </c>
      <c r="CK50" s="145">
        <f>IF(CK1&gt;=Resumen!$K$19,0,IF('Flujo de caja mensual'!CK1=Resumen!$E$13,Resumen!$E$14,0))</f>
        <v>0</v>
      </c>
      <c r="CL50" s="145">
        <f>IF(CL1&gt;=Resumen!$K$19,0,IF('Flujo de caja mensual'!CL1=Resumen!$E$13,Resumen!$E$14,0))</f>
        <v>0</v>
      </c>
      <c r="CM50" s="145">
        <f>IF(CM1&gt;=Resumen!$K$19,0,IF('Flujo de caja mensual'!CM1=Resumen!$E$13,Resumen!$E$14,0))</f>
        <v>0</v>
      </c>
      <c r="CN50" s="145">
        <f>IF(CN1&gt;=Resumen!$K$19,0,IF('Flujo de caja mensual'!CN1=Resumen!$E$13,Resumen!$E$14,0))</f>
        <v>0</v>
      </c>
      <c r="CO50" s="145">
        <f>IF(CO1&gt;=Resumen!$K$19,0,IF('Flujo de caja mensual'!CO1=Resumen!$E$13,Resumen!$E$14,0))</f>
        <v>0</v>
      </c>
      <c r="CP50" s="145">
        <f>IF(CP1&gt;=Resumen!$K$19,0,IF('Flujo de caja mensual'!CP1=Resumen!$E$13,Resumen!$E$14,0))</f>
        <v>0</v>
      </c>
      <c r="CQ50" s="145">
        <f>IF(CQ1&gt;=Resumen!$K$19,0,IF('Flujo de caja mensual'!CQ1=Resumen!$E$13,Resumen!$E$14,0))</f>
        <v>0</v>
      </c>
      <c r="CR50" s="145">
        <f>IF(CR1&gt;=Resumen!$K$19,0,IF('Flujo de caja mensual'!CR1=Resumen!$E$13,Resumen!$E$14,0))</f>
        <v>0</v>
      </c>
      <c r="CS50" s="145">
        <f>IF(CS1&gt;=Resumen!$K$19,0,IF('Flujo de caja mensual'!CS1=Resumen!$E$13,Resumen!$E$14,0))</f>
        <v>0</v>
      </c>
      <c r="CT50" s="145">
        <f>IF(CT1&gt;=Resumen!$K$19,0,IF('Flujo de caja mensual'!CT1=Resumen!$E$13,Resumen!$E$14,0))</f>
        <v>0</v>
      </c>
      <c r="CU50" s="145">
        <f>IF(CU1&gt;=Resumen!$K$19,0,IF('Flujo de caja mensual'!CU1=Resumen!$E$13,Resumen!$E$14,0))</f>
        <v>0</v>
      </c>
      <c r="CV50" s="145">
        <f>IF(CV1&gt;=Resumen!$K$19,0,IF('Flujo de caja mensual'!CV1=Resumen!$E$13,Resumen!$E$14,0))</f>
        <v>0</v>
      </c>
      <c r="CW50" s="145">
        <f>IF(CW1&gt;=Resumen!$K$19,0,IF('Flujo de caja mensual'!CW1=Resumen!$E$13,Resumen!$E$14,0))</f>
        <v>0</v>
      </c>
      <c r="CX50" s="145">
        <f>IF(CX1&gt;=Resumen!$K$19,0,IF('Flujo de caja mensual'!CX1=Resumen!$E$13,Resumen!$E$14,0))</f>
        <v>0</v>
      </c>
      <c r="CY50" s="145">
        <f>IF(CY1&gt;=Resumen!$K$19,0,IF('Flujo de caja mensual'!CY1=Resumen!$E$13,Resumen!$E$14,0))</f>
        <v>0</v>
      </c>
      <c r="CZ50" s="145">
        <f>IF(CZ1&gt;=Resumen!$K$19,0,IF('Flujo de caja mensual'!CZ1=Resumen!$E$13,Resumen!$E$14,0))</f>
        <v>0</v>
      </c>
      <c r="DA50" s="145">
        <f>IF(DA1&gt;=Resumen!$K$19,0,IF('Flujo de caja mensual'!DA1=Resumen!$E$13,Resumen!$E$14,0))</f>
        <v>0</v>
      </c>
      <c r="DB50" s="145">
        <f>IF(DB1&gt;=Resumen!$K$19,0,IF('Flujo de caja mensual'!DB1=Resumen!$E$13,Resumen!$E$14,0))</f>
        <v>0</v>
      </c>
      <c r="DC50" s="145">
        <f>IF(DC1&gt;=Resumen!$K$19,0,IF('Flujo de caja mensual'!DC1=Resumen!$E$13,Resumen!$E$14,0))</f>
        <v>0</v>
      </c>
      <c r="DD50" s="145">
        <f>IF(DD1&gt;=Resumen!$K$19,0,IF('Flujo de caja mensual'!DD1=Resumen!$E$13,Resumen!$E$14,0))</f>
        <v>0</v>
      </c>
      <c r="DE50" s="145">
        <f>IF(DE1&gt;=Resumen!$K$19,0,IF('Flujo de caja mensual'!DE1=Resumen!$E$13,Resumen!$E$14,0))</f>
        <v>0</v>
      </c>
      <c r="DF50" s="145">
        <f>IF(DF1&gt;=Resumen!$K$19,0,IF('Flujo de caja mensual'!DF1=Resumen!$E$13,Resumen!$E$14,0))</f>
        <v>0</v>
      </c>
      <c r="DG50" s="145">
        <f>IF(DG1&gt;=Resumen!$K$19,0,IF('Flujo de caja mensual'!DG1=Resumen!$E$13,Resumen!$E$14,0))</f>
        <v>0</v>
      </c>
      <c r="DH50" s="145">
        <f>IF(DH1&gt;=Resumen!$K$19,0,IF('Flujo de caja mensual'!DH1=Resumen!$E$13,Resumen!$E$14,0))</f>
        <v>0</v>
      </c>
      <c r="DI50" s="145">
        <f>IF(DI1&gt;=Resumen!$K$19,0,IF('Flujo de caja mensual'!DI1=Resumen!$E$13,Resumen!$E$14,0))</f>
        <v>0</v>
      </c>
      <c r="DJ50" s="145">
        <f>IF(DJ1&gt;=Resumen!$K$19,0,IF('Flujo de caja mensual'!DJ1=Resumen!$E$13,Resumen!$E$14,0))</f>
        <v>0</v>
      </c>
      <c r="DK50" s="145">
        <f>IF(DK1&gt;=Resumen!$K$19,0,IF('Flujo de caja mensual'!DK1=Resumen!$E$13,Resumen!$E$14,0))</f>
        <v>0</v>
      </c>
      <c r="DL50" s="145">
        <f>IF(DL1&gt;=Resumen!$K$19,0,IF('Flujo de caja mensual'!DL1=Resumen!$E$13,Resumen!$E$14,0))</f>
        <v>0</v>
      </c>
      <c r="DM50" s="145">
        <f>IF(DM1&gt;=Resumen!$K$19,0,IF('Flujo de caja mensual'!DM1=Resumen!$E$13,Resumen!$E$14,0))</f>
        <v>0</v>
      </c>
      <c r="DN50" s="145">
        <f>IF(DN1&gt;=Resumen!$K$19,0,IF('Flujo de caja mensual'!DN1=Resumen!$E$13,Resumen!$E$14,0))</f>
        <v>0</v>
      </c>
      <c r="DO50" s="145">
        <f>IF(DO1&gt;=Resumen!$K$19,0,IF('Flujo de caja mensual'!DO1=Resumen!$E$13,Resumen!$E$14,0))</f>
        <v>0</v>
      </c>
      <c r="DP50" s="145">
        <f>IF(DP1&gt;=Resumen!$K$19,0,IF('Flujo de caja mensual'!DP1=Resumen!$E$13,Resumen!$E$14,0))</f>
        <v>0</v>
      </c>
      <c r="DQ50" s="145">
        <f>IF(DQ1&gt;=Resumen!$K$19,0,IF('Flujo de caja mensual'!DQ1=Resumen!$E$13,Resumen!$E$14,0))</f>
        <v>0</v>
      </c>
      <c r="DR50" s="145">
        <f>IF(DR1&gt;=Resumen!$K$19,0,IF('Flujo de caja mensual'!DR1=Resumen!$E$13,Resumen!$E$14,0))</f>
        <v>0</v>
      </c>
      <c r="DS50" s="145">
        <f>IF(DS1&gt;=Resumen!$K$19,0,IF('Flujo de caja mensual'!DS1=Resumen!$E$13,Resumen!$E$14,0))</f>
        <v>0</v>
      </c>
      <c r="DT50" s="145">
        <f>IF(DT1&gt;=Resumen!$K$19,0,IF('Flujo de caja mensual'!DT1=Resumen!$E$13,Resumen!$E$14,0))</f>
        <v>0</v>
      </c>
      <c r="DU50" s="145">
        <f>IF(DU1&gt;=Resumen!$K$19,0,IF('Flujo de caja mensual'!DU1=Resumen!$E$13,Resumen!$E$14,0))</f>
        <v>0</v>
      </c>
      <c r="DV50" s="145">
        <f>IF(DV1&gt;=Resumen!$K$19,0,IF('Flujo de caja mensual'!DV1=Resumen!$E$13,Resumen!$E$14,0))</f>
        <v>0</v>
      </c>
      <c r="DW50" s="145">
        <f>IF(DW1&gt;=Resumen!$K$19,0,IF('Flujo de caja mensual'!DW1=Resumen!$E$13,Resumen!$E$14,0))</f>
        <v>0</v>
      </c>
      <c r="DX50" s="145">
        <f>IF(DX1&gt;=Resumen!$K$19,0,IF('Flujo de caja mensual'!DX1=Resumen!$E$13,Resumen!$E$14,0))</f>
        <v>0</v>
      </c>
      <c r="DY50" s="145">
        <f>IF(DY1&gt;=Resumen!$K$19,0,IF('Flujo de caja mensual'!DY1=Resumen!$E$13,Resumen!$E$14,0))</f>
        <v>0</v>
      </c>
      <c r="DZ50" s="145">
        <f>IF(DZ1&gt;=Resumen!$K$19,0,IF('Flujo de caja mensual'!DZ1=Resumen!$E$13,Resumen!$E$14,0))</f>
        <v>0</v>
      </c>
      <c r="EA50" s="145">
        <f>IF(EA1&gt;=Resumen!$K$19,0,IF('Flujo de caja mensual'!EA1=Resumen!$E$13,Resumen!$E$14,0))</f>
        <v>0</v>
      </c>
      <c r="EB50" s="145">
        <f>IF(EB1&gt;=Resumen!$K$19,0,IF('Flujo de caja mensual'!EB1=Resumen!$E$13,Resumen!$E$14,0))</f>
        <v>0</v>
      </c>
      <c r="EC50" s="145">
        <f>IF(EC1&gt;=Resumen!$K$19,0,IF('Flujo de caja mensual'!EC1=Resumen!$E$13,Resumen!$E$14,0))</f>
        <v>0</v>
      </c>
      <c r="ED50" s="145">
        <f>IF(ED1&gt;=Resumen!$K$19,0,IF('Flujo de caja mensual'!ED1=Resumen!$E$13,Resumen!$E$14,0))</f>
        <v>0</v>
      </c>
      <c r="EE50" s="146">
        <f>IF(EE1&gt;=Resumen!$K$19,0,IF('Flujo de caja mensual'!EE1=Resumen!$E$13,Resumen!$E$14,0))</f>
        <v>0</v>
      </c>
    </row>
    <row r="51" spans="1:135" x14ac:dyDescent="0.25">
      <c r="A51" s="152">
        <f>SUMIF($C$1:$EE$1,"&lt;="&amp;Resumen!$K$19,'Flujo de caja mensual'!C51:EE51)</f>
        <v>-101705650756.72212</v>
      </c>
      <c r="B51" s="5" t="s">
        <v>204</v>
      </c>
      <c r="C51" s="144"/>
      <c r="D51" s="145">
        <f>-SUM(Financiamiento!C5,Financiamiento!C15)</f>
        <v>-680625000</v>
      </c>
      <c r="E51" s="145">
        <f>-SUM(Financiamiento!D5,Financiamiento!D15)</f>
        <v>-680625000</v>
      </c>
      <c r="F51" s="145">
        <f>-SUM(Financiamiento!E5,Financiamiento!E15)</f>
        <v>-680625000</v>
      </c>
      <c r="G51" s="145">
        <f>-SUM(Financiamiento!F5,Financiamiento!F15)</f>
        <v>-680625000</v>
      </c>
      <c r="H51" s="145">
        <f>-SUM(Financiamiento!G5,Financiamiento!G15)</f>
        <v>-680625000</v>
      </c>
      <c r="I51" s="145">
        <f>-SUM(Financiamiento!H5,Financiamiento!H15)</f>
        <v>-680625000</v>
      </c>
      <c r="J51" s="145">
        <f>-SUM(Financiamiento!I5,Financiamiento!I15)</f>
        <v>-680625000</v>
      </c>
      <c r="K51" s="145">
        <f>-SUM(Financiamiento!J5,Financiamiento!J15)</f>
        <v>-680625000</v>
      </c>
      <c r="L51" s="145">
        <f>-SUM(Financiamiento!K5,Financiamiento!K15)</f>
        <v>-680625000</v>
      </c>
      <c r="M51" s="145">
        <f>-SUM(Financiamiento!L5,Financiamiento!L15)</f>
        <v>-680625000</v>
      </c>
      <c r="N51" s="145">
        <f>-SUM(Financiamiento!M5,Financiamiento!M15)</f>
        <v>-680625000</v>
      </c>
      <c r="O51" s="145">
        <f>-SUM(Financiamiento!N5,Financiamiento!N15)</f>
        <v>-680625000</v>
      </c>
      <c r="P51" s="145">
        <f>-SUM(Financiamiento!O5,Financiamiento!O15)</f>
        <v>-680625000</v>
      </c>
      <c r="Q51" s="145">
        <f>-SUM(Financiamiento!P5,Financiamiento!P15)</f>
        <v>-680625000</v>
      </c>
      <c r="R51" s="145">
        <f>-SUM(Financiamiento!Q5,Financiamiento!Q15)</f>
        <v>-680625000</v>
      </c>
      <c r="S51" s="145">
        <f>-SUM(Financiamiento!R5,Financiamiento!R15)</f>
        <v>-680625000</v>
      </c>
      <c r="T51" s="145">
        <f>-SUM(Financiamiento!S5,Financiamiento!S15)</f>
        <v>-680625000</v>
      </c>
      <c r="U51" s="145">
        <f>-SUM(Financiamiento!T5,Financiamiento!T15)</f>
        <v>-680625000</v>
      </c>
      <c r="V51" s="145">
        <f>-SUM(Financiamiento!U5,Financiamiento!U15)</f>
        <v>-707100121.22512937</v>
      </c>
      <c r="W51" s="145">
        <f>-SUM(Financiamiento!V5,Financiamiento!V15)</f>
        <v>-707100121.22512937</v>
      </c>
      <c r="X51" s="145">
        <f>-SUM(Financiamiento!W5,Financiamiento!W15)</f>
        <v>-707100121.22512937</v>
      </c>
      <c r="Y51" s="145">
        <f>-SUM(Financiamiento!X5,Financiamiento!X15)</f>
        <v>-707100121.22512937</v>
      </c>
      <c r="Z51" s="145">
        <f>-SUM(Financiamiento!Y5,Financiamiento!Y15)</f>
        <v>-707100121.22512937</v>
      </c>
      <c r="AA51" s="145">
        <f>-SUM(Financiamiento!Z5,Financiamiento!Z15)</f>
        <v>-707100121.22512937</v>
      </c>
      <c r="AB51" s="145">
        <f>-SUM(Financiamiento!AA5,Financiamiento!AA15)</f>
        <v>-707100121.22512937</v>
      </c>
      <c r="AC51" s="145">
        <f>-SUM(Financiamiento!AB5,Financiamiento!AB15)</f>
        <v>-707100121.22512937</v>
      </c>
      <c r="AD51" s="145">
        <f>-SUM(Financiamiento!AC5,Financiamiento!AC15)</f>
        <v>-707100121.22512937</v>
      </c>
      <c r="AE51" s="145">
        <f>-SUM(Financiamiento!AD5,Financiamiento!AD15)</f>
        <v>-707100121.22512937</v>
      </c>
      <c r="AF51" s="145">
        <f>-SUM(Financiamiento!AE5,Financiamiento!AE15)</f>
        <v>-707100121.22512937</v>
      </c>
      <c r="AG51" s="145">
        <f>-SUM(Financiamiento!AF5,Financiamiento!AF15)</f>
        <v>-707100121.22512937</v>
      </c>
      <c r="AH51" s="145">
        <f>-SUM(Financiamiento!AG5,Financiamiento!AG15)</f>
        <v>-707100121.22512937</v>
      </c>
      <c r="AI51" s="145">
        <f>-SUM(Financiamiento!AH5,Financiamiento!AH15)</f>
        <v>-707100121.22512937</v>
      </c>
      <c r="AJ51" s="145">
        <f>-SUM(Financiamiento!AI5,Financiamiento!AI15)</f>
        <v>-707100121.22512937</v>
      </c>
      <c r="AK51" s="145">
        <f>-SUM(Financiamiento!AJ5,Financiamiento!AJ15)</f>
        <v>-707100121.22512937</v>
      </c>
      <c r="AL51" s="145">
        <f>-SUM(Financiamiento!AK5,Financiamiento!AK15)</f>
        <v>-707100121.22512937</v>
      </c>
      <c r="AM51" s="145">
        <f>-SUM(Financiamiento!AL5,Financiamiento!AL15)</f>
        <v>-707100121.22512937</v>
      </c>
      <c r="AN51" s="145">
        <f>-SUM(Financiamiento!AM5,Financiamiento!AM15)</f>
        <v>-707100121.22512937</v>
      </c>
      <c r="AO51" s="145">
        <f>-SUM(Financiamiento!AN5,Financiamiento!AN15)</f>
        <v>-707100121.22512937</v>
      </c>
      <c r="AP51" s="145">
        <f>-SUM(Financiamiento!AO5,Financiamiento!AO15)</f>
        <v>-707100121.22512937</v>
      </c>
      <c r="AQ51" s="145">
        <f>-SUM(Financiamiento!AP5,Financiamiento!AP15)</f>
        <v>-707100121.22512937</v>
      </c>
      <c r="AR51" s="145">
        <f>-SUM(Financiamiento!AQ5,Financiamiento!AQ15)</f>
        <v>-707100121.22512937</v>
      </c>
      <c r="AS51" s="145">
        <f>-SUM(Financiamiento!AR5,Financiamiento!AR15)</f>
        <v>-707100121.22512937</v>
      </c>
      <c r="AT51" s="145">
        <f>-SUM(Financiamiento!AS5,Financiamiento!AS15)</f>
        <v>-707100121.22512937</v>
      </c>
      <c r="AU51" s="145">
        <f>-SUM(Financiamiento!AT5,Financiamiento!AT15)</f>
        <v>-707100121.22512937</v>
      </c>
      <c r="AV51" s="145">
        <f>-SUM(Financiamiento!AU5,Financiamiento!AU15)</f>
        <v>-707100121.22512937</v>
      </c>
      <c r="AW51" s="145">
        <f>-SUM(Financiamiento!AV5,Financiamiento!AV15)</f>
        <v>-707100121.22512937</v>
      </c>
      <c r="AX51" s="145">
        <f>-SUM(Financiamiento!AW5,Financiamiento!AW15)</f>
        <v>-707100121.22512937</v>
      </c>
      <c r="AY51" s="145">
        <f>-SUM(Financiamiento!AX5,Financiamiento!AX15)</f>
        <v>-707100121.22512937</v>
      </c>
      <c r="AZ51" s="145">
        <f>-SUM(Financiamiento!AY5,Financiamiento!AY15)</f>
        <v>-707100121.22512937</v>
      </c>
      <c r="BA51" s="145">
        <f>-SUM(Financiamiento!AZ5,Financiamiento!AZ15)</f>
        <v>-707100121.22512937</v>
      </c>
      <c r="BB51" s="145">
        <f>-SUM(Financiamiento!BA5,Financiamiento!BA15)</f>
        <v>-707100121.22512937</v>
      </c>
      <c r="BC51" s="145">
        <f>-SUM(Financiamiento!BB5,Financiamiento!BB15)</f>
        <v>-707100121.22512937</v>
      </c>
      <c r="BD51" s="145">
        <f>-SUM(Financiamiento!BC5,Financiamiento!BC15)</f>
        <v>-707100121.22512937</v>
      </c>
      <c r="BE51" s="145">
        <f>-SUM(Financiamiento!BD5,Financiamiento!BD15)</f>
        <v>-707100121.22512937</v>
      </c>
      <c r="BF51" s="145">
        <f>-SUM(Financiamiento!BE5,Financiamiento!BE15)</f>
        <v>-707100121.22512937</v>
      </c>
      <c r="BG51" s="145">
        <f>-SUM(Financiamiento!BF5,Financiamiento!BF15)</f>
        <v>-707100121.22512937</v>
      </c>
      <c r="BH51" s="145">
        <f>-SUM(Financiamiento!BG5,Financiamiento!BG15)</f>
        <v>-707100121.22512937</v>
      </c>
      <c r="BI51" s="145">
        <f>-SUM(Financiamiento!BH5,Financiamiento!BH15)</f>
        <v>-707100121.22512937</v>
      </c>
      <c r="BJ51" s="145">
        <f>-SUM(Financiamiento!BI5,Financiamiento!BI15)</f>
        <v>-707100121.22512937</v>
      </c>
      <c r="BK51" s="145">
        <f>-SUM(Financiamiento!BJ5,Financiamiento!BJ15)</f>
        <v>-707100121.22512937</v>
      </c>
      <c r="BL51" s="145">
        <f>-SUM(Financiamiento!BK5,Financiamiento!BK15)</f>
        <v>-995936594.42111576</v>
      </c>
      <c r="BM51" s="145">
        <f>-SUM(Financiamiento!BL5,Financiamiento!BL15)</f>
        <v>-995936594.42111576</v>
      </c>
      <c r="BN51" s="145">
        <f>-SUM(Financiamiento!BM5,Financiamiento!BM15)</f>
        <v>-995936594.42111576</v>
      </c>
      <c r="BO51" s="145">
        <f>-SUM(Financiamiento!BN5,Financiamiento!BN15)</f>
        <v>-995936594.42111576</v>
      </c>
      <c r="BP51" s="145">
        <f>-SUM(Financiamiento!BO5,Financiamiento!BO15)</f>
        <v>-995936594.42111576</v>
      </c>
      <c r="BQ51" s="145">
        <f>-SUM(Financiamiento!BP5,Financiamiento!BP15)</f>
        <v>-995936594.42111576</v>
      </c>
      <c r="BR51" s="145">
        <f>-SUM(Financiamiento!BQ5,Financiamiento!BQ15)</f>
        <v>-995936594.42111576</v>
      </c>
      <c r="BS51" s="145">
        <f>-SUM(Financiamiento!BR5,Financiamiento!BR15)</f>
        <v>-995936594.42111576</v>
      </c>
      <c r="BT51" s="145">
        <f>-SUM(Financiamiento!BS5,Financiamiento!BS15)</f>
        <v>-995936594.42111576</v>
      </c>
      <c r="BU51" s="145">
        <f>-SUM(Financiamiento!BT5,Financiamiento!BT15)</f>
        <v>-995936594.42111576</v>
      </c>
      <c r="BV51" s="145">
        <f>-SUM(Financiamiento!BU5,Financiamiento!BU15)</f>
        <v>-995936594.42111576</v>
      </c>
      <c r="BW51" s="145">
        <f>-SUM(Financiamiento!BV5,Financiamiento!BV15)</f>
        <v>-995936594.42111576</v>
      </c>
      <c r="BX51" s="145">
        <f>-SUM(Financiamiento!BW5,Financiamiento!BW15)</f>
        <v>-995936594.42111576</v>
      </c>
      <c r="BY51" s="145">
        <f>-SUM(Financiamiento!BX5,Financiamiento!BX15)</f>
        <v>-995936594.42111576</v>
      </c>
      <c r="BZ51" s="145">
        <f>-SUM(Financiamiento!BY5,Financiamiento!BY15)</f>
        <v>-995936594.42111576</v>
      </c>
      <c r="CA51" s="145">
        <f>-SUM(Financiamiento!BZ5,Financiamiento!BZ15)</f>
        <v>-995936594.42111576</v>
      </c>
      <c r="CB51" s="145">
        <f>-SUM(Financiamiento!CA5,Financiamiento!CA15)</f>
        <v>-995936594.42111576</v>
      </c>
      <c r="CC51" s="145">
        <f>-SUM(Financiamiento!CB5,Financiamiento!CB15)</f>
        <v>-995936594.42111576</v>
      </c>
      <c r="CD51" s="145">
        <f>-SUM(Financiamiento!CC5,Financiamiento!CC15)</f>
        <v>-995936594.42111576</v>
      </c>
      <c r="CE51" s="145">
        <f>-SUM(Financiamiento!CD5,Financiamiento!CD15)</f>
        <v>-995936594.42111576</v>
      </c>
      <c r="CF51" s="145">
        <f>-SUM(Financiamiento!CE5,Financiamiento!CE15)</f>
        <v>-995936594.42111576</v>
      </c>
      <c r="CG51" s="145">
        <f>-SUM(Financiamiento!CF5,Financiamiento!CF15)</f>
        <v>-995936594.42111576</v>
      </c>
      <c r="CH51" s="145">
        <f>-SUM(Financiamiento!CG5,Financiamiento!CG15)</f>
        <v>-995936594.42111576</v>
      </c>
      <c r="CI51" s="145">
        <f>-SUM(Financiamiento!CH5,Financiamiento!CH15)</f>
        <v>-995936594.42111576</v>
      </c>
      <c r="CJ51" s="145">
        <f>-SUM(Financiamiento!CI5,Financiamiento!CI15)</f>
        <v>-995936594.42111576</v>
      </c>
      <c r="CK51" s="145">
        <f>-SUM(Financiamiento!CJ5,Financiamiento!CJ15)</f>
        <v>-995936594.42111576</v>
      </c>
      <c r="CL51" s="145">
        <f>-SUM(Financiamiento!CK5,Financiamiento!CK15)</f>
        <v>-995936594.42111576</v>
      </c>
      <c r="CM51" s="145">
        <f>-SUM(Financiamiento!CL5,Financiamiento!CL15)</f>
        <v>-995936594.42111576</v>
      </c>
      <c r="CN51" s="145">
        <f>-SUM(Financiamiento!CM5,Financiamiento!CM15)</f>
        <v>-995936594.42111576</v>
      </c>
      <c r="CO51" s="145">
        <f>-SUM(Financiamiento!CN5,Financiamiento!CN15)</f>
        <v>-995936594.42111576</v>
      </c>
      <c r="CP51" s="145">
        <f>-SUM(Financiamiento!CO5,Financiamiento!CO15)</f>
        <v>-995936594.42111576</v>
      </c>
      <c r="CQ51" s="145">
        <f>-SUM(Financiamiento!CP5,Financiamiento!CP15)</f>
        <v>-995936594.42111576</v>
      </c>
      <c r="CR51" s="145">
        <f>-SUM(Financiamiento!CQ5,Financiamiento!CQ15)</f>
        <v>-995936594.42111576</v>
      </c>
      <c r="CS51" s="145">
        <f>-SUM(Financiamiento!CR5,Financiamiento!CR15)</f>
        <v>-995936594.42111576</v>
      </c>
      <c r="CT51" s="145">
        <f>-SUM(Financiamiento!CS5,Financiamiento!CS15)</f>
        <v>-995936594.42111576</v>
      </c>
      <c r="CU51" s="145">
        <f>-SUM(Financiamiento!CT5,Financiamiento!CT15)</f>
        <v>-995936594.42111576</v>
      </c>
      <c r="CV51" s="145">
        <f>-SUM(Financiamiento!CU5,Financiamiento!CU15)</f>
        <v>-995936594.42111576</v>
      </c>
      <c r="CW51" s="145">
        <f>-SUM(Financiamiento!CV5,Financiamiento!CV15)</f>
        <v>-995936594.42111576</v>
      </c>
      <c r="CX51" s="145">
        <f>-SUM(Financiamiento!CW5,Financiamiento!CW15)</f>
        <v>-995936594.42111576</v>
      </c>
      <c r="CY51" s="145">
        <f>-SUM(Financiamiento!CX5,Financiamiento!CX15)</f>
        <v>-995936594.42111576</v>
      </c>
      <c r="CZ51" s="145">
        <f>-SUM(Financiamiento!CY5,Financiamiento!CY15)</f>
        <v>-995936594.42111576</v>
      </c>
      <c r="DA51" s="145">
        <f>-SUM(Financiamiento!CZ5,Financiamiento!CZ15)</f>
        <v>-995936594.42111576</v>
      </c>
      <c r="DB51" s="145">
        <f>-SUM(Financiamiento!DA5,Financiamiento!DA15)</f>
        <v>-995936594.42111576</v>
      </c>
      <c r="DC51" s="145">
        <f>-SUM(Financiamiento!DB5,Financiamiento!DB15)</f>
        <v>-995936594.42111576</v>
      </c>
      <c r="DD51" s="145">
        <f>-SUM(Financiamiento!DC5,Financiamiento!DC15)</f>
        <v>-995936594.42111576</v>
      </c>
      <c r="DE51" s="145">
        <f>-SUM(Financiamiento!DD5,Financiamiento!DD15)</f>
        <v>-995936594.42111576</v>
      </c>
      <c r="DF51" s="145">
        <f>-SUM(Financiamiento!DE5,Financiamiento!DE15)</f>
        <v>-995936594.42111576</v>
      </c>
      <c r="DG51" s="145">
        <f>-SUM(Financiamiento!DF5,Financiamiento!DF15)</f>
        <v>-995936594.42111576</v>
      </c>
      <c r="DH51" s="145">
        <f>-SUM(Financiamiento!DG5,Financiamiento!DG15)</f>
        <v>-995936594.42111576</v>
      </c>
      <c r="DI51" s="145">
        <f>-SUM(Financiamiento!DH5,Financiamiento!DH15)</f>
        <v>-995936594.42111576</v>
      </c>
      <c r="DJ51" s="145">
        <f>-SUM(Financiamiento!DI5,Financiamiento!DI15)</f>
        <v>-995936594.42111576</v>
      </c>
      <c r="DK51" s="145">
        <f>-SUM(Financiamiento!DJ5,Financiamiento!DJ15)</f>
        <v>-995936594.42111576</v>
      </c>
      <c r="DL51" s="145">
        <f>-SUM(Financiamiento!DK5,Financiamiento!DK15)</f>
        <v>-995936594.42111576</v>
      </c>
      <c r="DM51" s="145">
        <f>-SUM(Financiamiento!DL5,Financiamiento!DL15)</f>
        <v>-995936594.42111576</v>
      </c>
      <c r="DN51" s="145">
        <f>-SUM(Financiamiento!DM5,Financiamiento!DM15)</f>
        <v>-995936594.42111576</v>
      </c>
      <c r="DO51" s="145">
        <f>-SUM(Financiamiento!DN5,Financiamiento!DN15)</f>
        <v>-995936594.42111576</v>
      </c>
      <c r="DP51" s="145">
        <f>-SUM(Financiamiento!DO5,Financiamiento!DO15)</f>
        <v>-995936594.42111576</v>
      </c>
      <c r="DQ51" s="145">
        <f>-SUM(Financiamiento!DP5,Financiamiento!DP15)</f>
        <v>-995936594.42111576</v>
      </c>
      <c r="DR51" s="145">
        <f>-SUM(Financiamiento!DQ5,Financiamiento!DQ15)</f>
        <v>-995936594.42111576</v>
      </c>
      <c r="DS51" s="145">
        <f>-SUM(Financiamiento!DR5,Financiamiento!DR15)</f>
        <v>-995936594.42111576</v>
      </c>
      <c r="DT51" s="145">
        <f>-SUM(Financiamiento!DS5,Financiamiento!DS15)</f>
        <v>0</v>
      </c>
      <c r="DU51" s="145">
        <f>-SUM(Financiamiento!DT5,Financiamiento!DT15)</f>
        <v>0</v>
      </c>
      <c r="DV51" s="145">
        <f>-SUM(Financiamiento!DU5,Financiamiento!DU15)</f>
        <v>0</v>
      </c>
      <c r="DW51" s="145">
        <f>-SUM(Financiamiento!DV5,Financiamiento!DV15)</f>
        <v>0</v>
      </c>
      <c r="DX51" s="145">
        <f>-SUM(Financiamiento!DW5,Financiamiento!DW15)</f>
        <v>0</v>
      </c>
      <c r="DY51" s="145">
        <f>-SUM(Financiamiento!DX5,Financiamiento!DX15)</f>
        <v>0</v>
      </c>
      <c r="DZ51" s="145">
        <f>-SUM(Financiamiento!DY5,Financiamiento!DY15)</f>
        <v>0</v>
      </c>
      <c r="EA51" s="145">
        <f>-SUM(Financiamiento!DZ5,Financiamiento!DZ15)</f>
        <v>0</v>
      </c>
      <c r="EB51" s="145">
        <f>-SUM(Financiamiento!EA5,Financiamiento!EA15)</f>
        <v>0</v>
      </c>
      <c r="EC51" s="145">
        <f>-SUM(Financiamiento!EB5,Financiamiento!EB15)</f>
        <v>0</v>
      </c>
      <c r="ED51" s="145">
        <f>-SUM(Financiamiento!EC5,Financiamiento!EC15)</f>
        <v>0</v>
      </c>
      <c r="EE51" s="146">
        <f>-SUM(Financiamiento!ED5,Financiamiento!ED15)</f>
        <v>0</v>
      </c>
    </row>
    <row r="52" spans="1:135" x14ac:dyDescent="0.25">
      <c r="A52" s="152">
        <f>SUMIF($C$1:$EE$1,"&lt;="&amp;Resumen!$K$19,'Flujo de caja mensual'!C52:EE52)</f>
        <v>-182501163624.68903</v>
      </c>
      <c r="B52" s="5" t="s">
        <v>188</v>
      </c>
      <c r="C52" s="144"/>
      <c r="D52" s="145">
        <f>SUM(Financiamiento!C8,Financiamiento!C18)</f>
        <v>0</v>
      </c>
      <c r="E52" s="145">
        <f>SUM(Financiamiento!D8,Financiamiento!D18)</f>
        <v>0</v>
      </c>
      <c r="F52" s="145">
        <f>SUM(Financiamiento!E8,Financiamiento!E18)</f>
        <v>0</v>
      </c>
      <c r="G52" s="145">
        <f>SUM(Financiamiento!F8,Financiamiento!F18)</f>
        <v>0</v>
      </c>
      <c r="H52" s="145">
        <f>SUM(Financiamiento!G8,Financiamiento!G18)</f>
        <v>0</v>
      </c>
      <c r="I52" s="145">
        <f>SUM(Financiamiento!H8,Financiamiento!H18)</f>
        <v>0</v>
      </c>
      <c r="J52" s="145">
        <f>SUM(Financiamiento!I8,Financiamiento!I18)</f>
        <v>0</v>
      </c>
      <c r="K52" s="145">
        <f>SUM(Financiamiento!J8,Financiamiento!J18)</f>
        <v>0</v>
      </c>
      <c r="L52" s="145">
        <f>SUM(Financiamiento!K8,Financiamiento!K18)</f>
        <v>0</v>
      </c>
      <c r="M52" s="145">
        <f>SUM(Financiamiento!L8,Financiamiento!L18)</f>
        <v>0</v>
      </c>
      <c r="N52" s="145">
        <f>SUM(Financiamiento!M8,Financiamiento!M18)</f>
        <v>0</v>
      </c>
      <c r="O52" s="145">
        <f>SUM(Financiamiento!N8,Financiamiento!N18)</f>
        <v>0</v>
      </c>
      <c r="P52" s="145">
        <f>SUM(Financiamiento!O8,Financiamiento!O18)</f>
        <v>0</v>
      </c>
      <c r="Q52" s="145">
        <f>SUM(Financiamiento!P8,Financiamiento!P18)</f>
        <v>0</v>
      </c>
      <c r="R52" s="145">
        <f>SUM(Financiamiento!Q8,Financiamiento!Q18)</f>
        <v>0</v>
      </c>
      <c r="S52" s="145">
        <f>SUM(Financiamiento!R8,Financiamiento!R18)</f>
        <v>0</v>
      </c>
      <c r="T52" s="145">
        <f>SUM(Financiamiento!S8,Financiamiento!S18)</f>
        <v>0</v>
      </c>
      <c r="U52" s="145">
        <f>SUM(Financiamiento!T8,Financiamiento!T18)</f>
        <v>0</v>
      </c>
      <c r="V52" s="145">
        <f>SUM(Financiamiento!U8,Financiamiento!U18)</f>
        <v>0</v>
      </c>
      <c r="W52" s="145">
        <f>SUM(Financiamiento!V8,Financiamiento!V18)</f>
        <v>0</v>
      </c>
      <c r="X52" s="145">
        <f>SUM(Financiamiento!W8,Financiamiento!W18)</f>
        <v>0</v>
      </c>
      <c r="Y52" s="145">
        <f>SUM(Financiamiento!X8,Financiamiento!X18)</f>
        <v>0</v>
      </c>
      <c r="Z52" s="145">
        <f>SUM(Financiamiento!Y8,Financiamiento!Y18)</f>
        <v>0</v>
      </c>
      <c r="AA52" s="145">
        <f>SUM(Financiamiento!Z8,Financiamiento!Z18)</f>
        <v>0</v>
      </c>
      <c r="AB52" s="145">
        <f>SUM(Financiamiento!AA8,Financiamiento!AA18)</f>
        <v>0</v>
      </c>
      <c r="AC52" s="145">
        <f>SUM(Financiamiento!AB8,Financiamiento!AB18)</f>
        <v>0</v>
      </c>
      <c r="AD52" s="145">
        <f>SUM(Financiamiento!AC8,Financiamiento!AC18)</f>
        <v>0</v>
      </c>
      <c r="AE52" s="145">
        <f>SUM(Financiamiento!AD8,Financiamiento!AD18)</f>
        <v>0</v>
      </c>
      <c r="AF52" s="145">
        <f>SUM(Financiamiento!AE8,Financiamiento!AE18)</f>
        <v>0</v>
      </c>
      <c r="AG52" s="145">
        <f>SUM(Financiamiento!AF8,Financiamiento!AF18)</f>
        <v>0</v>
      </c>
      <c r="AH52" s="145">
        <f>SUM(Financiamiento!AG8,Financiamiento!AG18)</f>
        <v>0</v>
      </c>
      <c r="AI52" s="145">
        <f>SUM(Financiamiento!AH8,Financiamiento!AH18)</f>
        <v>0</v>
      </c>
      <c r="AJ52" s="145">
        <f>SUM(Financiamiento!AI8,Financiamiento!AI18)</f>
        <v>0</v>
      </c>
      <c r="AK52" s="145">
        <f>SUM(Financiamiento!AJ8,Financiamiento!AJ18)</f>
        <v>0</v>
      </c>
      <c r="AL52" s="145">
        <f>SUM(Financiamiento!AK8,Financiamiento!AK18)</f>
        <v>0</v>
      </c>
      <c r="AM52" s="145">
        <f>SUM(Financiamiento!AL8,Financiamiento!AL18)</f>
        <v>0</v>
      </c>
      <c r="AN52" s="145">
        <f>SUM(Financiamiento!AM8,Financiamiento!AM18)</f>
        <v>0</v>
      </c>
      <c r="AO52" s="145">
        <f>SUM(Financiamiento!AN8,Financiamiento!AN18)</f>
        <v>0</v>
      </c>
      <c r="AP52" s="145">
        <f>SUM(Financiamiento!AO8,Financiamiento!AO18)</f>
        <v>0</v>
      </c>
      <c r="AQ52" s="145">
        <f>SUM(Financiamiento!AP8,Financiamiento!AP18)</f>
        <v>0</v>
      </c>
      <c r="AR52" s="145">
        <f>SUM(Financiamiento!AQ8,Financiamiento!AQ18)</f>
        <v>0</v>
      </c>
      <c r="AS52" s="145">
        <f>SUM(Financiamiento!AR8,Financiamiento!AR18)</f>
        <v>0</v>
      </c>
      <c r="AT52" s="145">
        <f>SUM(Financiamiento!AS8,Financiamiento!AS18)</f>
        <v>0</v>
      </c>
      <c r="AU52" s="145">
        <f>SUM(Financiamiento!AT8,Financiamiento!AT18)</f>
        <v>0</v>
      </c>
      <c r="AV52" s="145">
        <f>SUM(Financiamiento!AU8,Financiamiento!AU18)</f>
        <v>0</v>
      </c>
      <c r="AW52" s="145">
        <f>SUM(Financiamiento!AV8,Financiamiento!AV18)</f>
        <v>0</v>
      </c>
      <c r="AX52" s="145">
        <f>SUM(Financiamiento!AW8,Financiamiento!AW18)</f>
        <v>0</v>
      </c>
      <c r="AY52" s="145">
        <f>SUM(Financiamiento!AX8,Financiamiento!AX18)</f>
        <v>0</v>
      </c>
      <c r="AZ52" s="145">
        <f>SUM(Financiamiento!AY8,Financiamiento!AY18)</f>
        <v>0</v>
      </c>
      <c r="BA52" s="145">
        <f>SUM(Financiamiento!AZ8,Financiamiento!AZ18)</f>
        <v>0</v>
      </c>
      <c r="BB52" s="145">
        <f>SUM(Financiamiento!BA8,Financiamiento!BA18)</f>
        <v>0</v>
      </c>
      <c r="BC52" s="145">
        <f>SUM(Financiamiento!BB8,Financiamiento!BB18)</f>
        <v>0</v>
      </c>
      <c r="BD52" s="145">
        <f>SUM(Financiamiento!BC8,Financiamiento!BC18)</f>
        <v>0</v>
      </c>
      <c r="BE52" s="145">
        <f>SUM(Financiamiento!BD8,Financiamiento!BD18)</f>
        <v>0</v>
      </c>
      <c r="BF52" s="145">
        <f>SUM(Financiamiento!BE8,Financiamiento!BE18)</f>
        <v>0</v>
      </c>
      <c r="BG52" s="145">
        <f>SUM(Financiamiento!BF8,Financiamiento!BF18)</f>
        <v>0</v>
      </c>
      <c r="BH52" s="145">
        <f>SUM(Financiamiento!BG8,Financiamiento!BG18)</f>
        <v>0</v>
      </c>
      <c r="BI52" s="145">
        <f>SUM(Financiamiento!BH8,Financiamiento!BH18)</f>
        <v>0</v>
      </c>
      <c r="BJ52" s="145">
        <f>SUM(Financiamiento!BI8,Financiamiento!BI18)</f>
        <v>0</v>
      </c>
      <c r="BK52" s="145">
        <f>SUM(Financiamiento!BJ8,Financiamiento!BJ18)</f>
        <v>-72901100093.409729</v>
      </c>
      <c r="BL52" s="145">
        <f>SUM(Financiamiento!BK8,Financiamiento!BK18)</f>
        <v>0</v>
      </c>
      <c r="BM52" s="145">
        <f>SUM(Financiamiento!BL8,Financiamiento!BL18)</f>
        <v>0</v>
      </c>
      <c r="BN52" s="145">
        <f>SUM(Financiamiento!BM8,Financiamiento!BM18)</f>
        <v>0</v>
      </c>
      <c r="BO52" s="145">
        <f>SUM(Financiamiento!BN8,Financiamiento!BN18)</f>
        <v>0</v>
      </c>
      <c r="BP52" s="145">
        <f>SUM(Financiamiento!BO8,Financiamiento!BO18)</f>
        <v>0</v>
      </c>
      <c r="BQ52" s="145">
        <f>SUM(Financiamiento!BP8,Financiamiento!BP18)</f>
        <v>0</v>
      </c>
      <c r="BR52" s="145">
        <f>SUM(Financiamiento!BQ8,Financiamiento!BQ18)</f>
        <v>0</v>
      </c>
      <c r="BS52" s="145">
        <f>SUM(Financiamiento!BR8,Financiamiento!BR18)</f>
        <v>0</v>
      </c>
      <c r="BT52" s="145">
        <f>SUM(Financiamiento!BS8,Financiamiento!BS18)</f>
        <v>0</v>
      </c>
      <c r="BU52" s="145">
        <f>SUM(Financiamiento!BT8,Financiamiento!BT18)</f>
        <v>0</v>
      </c>
      <c r="BV52" s="145">
        <f>SUM(Financiamiento!BU8,Financiamiento!BU18)</f>
        <v>0</v>
      </c>
      <c r="BW52" s="145">
        <f>SUM(Financiamiento!BV8,Financiamiento!BV18)</f>
        <v>0</v>
      </c>
      <c r="BX52" s="145">
        <f>SUM(Financiamiento!BW8,Financiamiento!BW18)</f>
        <v>0</v>
      </c>
      <c r="BY52" s="145">
        <f>SUM(Financiamiento!BX8,Financiamiento!BX18)</f>
        <v>0</v>
      </c>
      <c r="BZ52" s="145">
        <f>SUM(Financiamiento!BY8,Financiamiento!BY18)</f>
        <v>0</v>
      </c>
      <c r="CA52" s="145">
        <f>SUM(Financiamiento!BZ8,Financiamiento!BZ18)</f>
        <v>0</v>
      </c>
      <c r="CB52" s="145">
        <f>SUM(Financiamiento!CA8,Financiamiento!CA18)</f>
        <v>0</v>
      </c>
      <c r="CC52" s="145">
        <f>SUM(Financiamiento!CB8,Financiamiento!CB18)</f>
        <v>0</v>
      </c>
      <c r="CD52" s="145">
        <f>SUM(Financiamiento!CC8,Financiamiento!CC18)</f>
        <v>0</v>
      </c>
      <c r="CE52" s="145">
        <f>SUM(Financiamiento!CD8,Financiamiento!CD18)</f>
        <v>0</v>
      </c>
      <c r="CF52" s="145">
        <f>SUM(Financiamiento!CE8,Financiamiento!CE18)</f>
        <v>0</v>
      </c>
      <c r="CG52" s="145">
        <f>SUM(Financiamiento!CF8,Financiamiento!CF18)</f>
        <v>0</v>
      </c>
      <c r="CH52" s="145">
        <f>SUM(Financiamiento!CG8,Financiamiento!CG18)</f>
        <v>0</v>
      </c>
      <c r="CI52" s="145">
        <f>SUM(Financiamiento!CH8,Financiamiento!CH18)</f>
        <v>0</v>
      </c>
      <c r="CJ52" s="145">
        <f>SUM(Financiamiento!CI8,Financiamiento!CI18)</f>
        <v>0</v>
      </c>
      <c r="CK52" s="145">
        <f>SUM(Financiamiento!CJ8,Financiamiento!CJ18)</f>
        <v>0</v>
      </c>
      <c r="CL52" s="145">
        <f>SUM(Financiamiento!CK8,Financiamiento!CK18)</f>
        <v>0</v>
      </c>
      <c r="CM52" s="145">
        <f>SUM(Financiamiento!CL8,Financiamiento!CL18)</f>
        <v>0</v>
      </c>
      <c r="CN52" s="145">
        <f>SUM(Financiamiento!CM8,Financiamiento!CM18)</f>
        <v>0</v>
      </c>
      <c r="CO52" s="145">
        <f>SUM(Financiamiento!CN8,Financiamiento!CN18)</f>
        <v>0</v>
      </c>
      <c r="CP52" s="145">
        <f>SUM(Financiamiento!CO8,Financiamiento!CO18)</f>
        <v>0</v>
      </c>
      <c r="CQ52" s="145">
        <f>SUM(Financiamiento!CP8,Financiamiento!CP18)</f>
        <v>0</v>
      </c>
      <c r="CR52" s="145">
        <f>SUM(Financiamiento!CQ8,Financiamiento!CQ18)</f>
        <v>0</v>
      </c>
      <c r="CS52" s="145">
        <f>SUM(Financiamiento!CR8,Financiamiento!CR18)</f>
        <v>0</v>
      </c>
      <c r="CT52" s="145">
        <f>SUM(Financiamiento!CS8,Financiamiento!CS18)</f>
        <v>0</v>
      </c>
      <c r="CU52" s="145">
        <f>SUM(Financiamiento!CT8,Financiamiento!CT18)</f>
        <v>0</v>
      </c>
      <c r="CV52" s="145">
        <f>SUM(Financiamiento!CU8,Financiamiento!CU18)</f>
        <v>0</v>
      </c>
      <c r="CW52" s="145">
        <f>SUM(Financiamiento!CV8,Financiamiento!CV18)</f>
        <v>0</v>
      </c>
      <c r="CX52" s="145">
        <f>SUM(Financiamiento!CW8,Financiamiento!CW18)</f>
        <v>0</v>
      </c>
      <c r="CY52" s="145">
        <f>SUM(Financiamiento!CX8,Financiamiento!CX18)</f>
        <v>0</v>
      </c>
      <c r="CZ52" s="145">
        <f>SUM(Financiamiento!CY8,Financiamiento!CY18)</f>
        <v>0</v>
      </c>
      <c r="DA52" s="145">
        <f>SUM(Financiamiento!CZ8,Financiamiento!CZ18)</f>
        <v>0</v>
      </c>
      <c r="DB52" s="145">
        <f>SUM(Financiamiento!DA8,Financiamiento!DA18)</f>
        <v>0</v>
      </c>
      <c r="DC52" s="145">
        <f>SUM(Financiamiento!DB8,Financiamiento!DB18)</f>
        <v>0</v>
      </c>
      <c r="DD52" s="145">
        <f>SUM(Financiamiento!DC8,Financiamiento!DC18)</f>
        <v>0</v>
      </c>
      <c r="DE52" s="145">
        <f>SUM(Financiamiento!DD8,Financiamiento!DD18)</f>
        <v>0</v>
      </c>
      <c r="DF52" s="145">
        <f>SUM(Financiamiento!DE8,Financiamiento!DE18)</f>
        <v>0</v>
      </c>
      <c r="DG52" s="145">
        <f>SUM(Financiamiento!DF8,Financiamiento!DF18)</f>
        <v>0</v>
      </c>
      <c r="DH52" s="145">
        <f>SUM(Financiamiento!DG8,Financiamiento!DG18)</f>
        <v>0</v>
      </c>
      <c r="DI52" s="145">
        <f>SUM(Financiamiento!DH8,Financiamiento!DH18)</f>
        <v>0</v>
      </c>
      <c r="DJ52" s="145">
        <f>SUM(Financiamiento!DI8,Financiamiento!DI18)</f>
        <v>0</v>
      </c>
      <c r="DK52" s="145">
        <f>SUM(Financiamiento!DJ8,Financiamiento!DJ18)</f>
        <v>0</v>
      </c>
      <c r="DL52" s="145">
        <f>SUM(Financiamiento!DK8,Financiamiento!DK18)</f>
        <v>0</v>
      </c>
      <c r="DM52" s="145">
        <f>SUM(Financiamiento!DL8,Financiamiento!DL18)</f>
        <v>0</v>
      </c>
      <c r="DN52" s="145">
        <f>SUM(Financiamiento!DM8,Financiamiento!DM18)</f>
        <v>0</v>
      </c>
      <c r="DO52" s="145">
        <f>SUM(Financiamiento!DN8,Financiamiento!DN18)</f>
        <v>0</v>
      </c>
      <c r="DP52" s="145">
        <f>SUM(Financiamiento!DO8,Financiamiento!DO18)</f>
        <v>0</v>
      </c>
      <c r="DQ52" s="145">
        <f>SUM(Financiamiento!DP8,Financiamiento!DP18)</f>
        <v>0</v>
      </c>
      <c r="DR52" s="145">
        <f>SUM(Financiamiento!DQ8,Financiamiento!DQ18)</f>
        <v>0</v>
      </c>
      <c r="DS52" s="145">
        <f>SUM(Financiamiento!DR8,Financiamiento!DR18)</f>
        <v>-109600063531.2793</v>
      </c>
      <c r="DT52" s="145">
        <f>SUM(Financiamiento!DS8,Financiamiento!DS18)</f>
        <v>0</v>
      </c>
      <c r="DU52" s="145">
        <f>SUM(Financiamiento!DT8,Financiamiento!DT18)</f>
        <v>0</v>
      </c>
      <c r="DV52" s="145">
        <f>SUM(Financiamiento!DU8,Financiamiento!DU18)</f>
        <v>0</v>
      </c>
      <c r="DW52" s="145">
        <f>SUM(Financiamiento!DV8,Financiamiento!DV18)</f>
        <v>0</v>
      </c>
      <c r="DX52" s="145">
        <f>SUM(Financiamiento!DW8,Financiamiento!DW18)</f>
        <v>0</v>
      </c>
      <c r="DY52" s="145">
        <f>SUM(Financiamiento!DX8,Financiamiento!DX18)</f>
        <v>0</v>
      </c>
      <c r="DZ52" s="145">
        <f>SUM(Financiamiento!DY8,Financiamiento!DY18)</f>
        <v>0</v>
      </c>
      <c r="EA52" s="145">
        <f>SUM(Financiamiento!DZ8,Financiamiento!DZ18)</f>
        <v>0</v>
      </c>
      <c r="EB52" s="145">
        <f>SUM(Financiamiento!EA8,Financiamiento!EA18)</f>
        <v>0</v>
      </c>
      <c r="EC52" s="145">
        <f>SUM(Financiamiento!EB8,Financiamiento!EB18)</f>
        <v>0</v>
      </c>
      <c r="ED52" s="145">
        <f>SUM(Financiamiento!EC8,Financiamiento!EC18)</f>
        <v>0</v>
      </c>
      <c r="EE52" s="146">
        <f>SUM(Financiamiento!ED8,Financiamiento!ED18)</f>
        <v>0</v>
      </c>
    </row>
    <row r="53" spans="1:135" x14ac:dyDescent="0.25">
      <c r="A53" s="152">
        <f>SUMIF($C$1:$EE$1,"&lt;="&amp;Resumen!$K$19,'Flujo de caja mensual'!C53:EE53)</f>
        <v>-969475583.15849721</v>
      </c>
      <c r="B53" s="5" t="s">
        <v>205</v>
      </c>
      <c r="C53" s="144">
        <f>C50*-Resumen!E8</f>
        <v>-742500000</v>
      </c>
      <c r="D53" s="145">
        <f>D50*-Resumen!$E$21</f>
        <v>0</v>
      </c>
      <c r="E53" s="145">
        <f>E50*-Resumen!$E$21</f>
        <v>0</v>
      </c>
      <c r="F53" s="145">
        <f>F50*-Resumen!$E$21</f>
        <v>0</v>
      </c>
      <c r="G53" s="145">
        <f>G50*-Resumen!$E$21</f>
        <v>0</v>
      </c>
      <c r="H53" s="145">
        <f>H50*-Resumen!$E$21</f>
        <v>0</v>
      </c>
      <c r="I53" s="145">
        <f>I50*-Resumen!$E$21</f>
        <v>0</v>
      </c>
      <c r="J53" s="145">
        <f>J50*-Resumen!$E$21</f>
        <v>0</v>
      </c>
      <c r="K53" s="145">
        <f>K50*-Resumen!$E$21</f>
        <v>0</v>
      </c>
      <c r="L53" s="145">
        <f>L50*-Resumen!$E$21</f>
        <v>0</v>
      </c>
      <c r="M53" s="145">
        <f>M50*-Resumen!$E$21</f>
        <v>0</v>
      </c>
      <c r="N53" s="145">
        <f>N50*-Resumen!$E$21</f>
        <v>0</v>
      </c>
      <c r="O53" s="145">
        <f>O50*-Resumen!$E$21</f>
        <v>0</v>
      </c>
      <c r="P53" s="145">
        <f>P50*-Resumen!$E$21</f>
        <v>0</v>
      </c>
      <c r="Q53" s="145">
        <f>Q50*-Resumen!$E$21</f>
        <v>0</v>
      </c>
      <c r="R53" s="145">
        <f>R50*-Resumen!$E$21</f>
        <v>0</v>
      </c>
      <c r="S53" s="145">
        <f>S50*-Resumen!$E$21</f>
        <v>0</v>
      </c>
      <c r="T53" s="145">
        <f>T50*-Resumen!$E$21</f>
        <v>0</v>
      </c>
      <c r="U53" s="145">
        <f>U50*-Resumen!$E$21</f>
        <v>0</v>
      </c>
      <c r="V53" s="145">
        <f>V50*-Resumen!$E$21</f>
        <v>0</v>
      </c>
      <c r="W53" s="145">
        <f>W50*-Resumen!$E$21</f>
        <v>0</v>
      </c>
      <c r="X53" s="145">
        <f>X50*-Resumen!$E$21</f>
        <v>0</v>
      </c>
      <c r="Y53" s="145">
        <f>Y50*-Resumen!$E$21</f>
        <v>0</v>
      </c>
      <c r="Z53" s="145">
        <f>Z50*-Resumen!$E$21</f>
        <v>0</v>
      </c>
      <c r="AA53" s="145">
        <f>AA50*-Resumen!$E$21</f>
        <v>0</v>
      </c>
      <c r="AB53" s="145">
        <f>AB50*-Resumen!$E$21</f>
        <v>0</v>
      </c>
      <c r="AC53" s="145">
        <f>AC50*-Resumen!$E$21</f>
        <v>0</v>
      </c>
      <c r="AD53" s="145">
        <f>AD50*-Resumen!$E$21</f>
        <v>0</v>
      </c>
      <c r="AE53" s="145">
        <f>AE50*-Resumen!$E$21</f>
        <v>0</v>
      </c>
      <c r="AF53" s="145">
        <f>AF50*-Resumen!$E$21</f>
        <v>0</v>
      </c>
      <c r="AG53" s="145">
        <f>AG50*-Resumen!$E$21</f>
        <v>0</v>
      </c>
      <c r="AH53" s="145">
        <f>AH50*-Resumen!$E$21</f>
        <v>0</v>
      </c>
      <c r="AI53" s="145">
        <f>AI50*-Resumen!$E$21</f>
        <v>0</v>
      </c>
      <c r="AJ53" s="145">
        <f>AJ50*-Resumen!$E$21</f>
        <v>0</v>
      </c>
      <c r="AK53" s="145">
        <f>AK50*-Resumen!$E$21</f>
        <v>0</v>
      </c>
      <c r="AL53" s="145">
        <f>AL50*-Resumen!$E$21</f>
        <v>0</v>
      </c>
      <c r="AM53" s="145">
        <f>AM50*-Resumen!$E$21</f>
        <v>0</v>
      </c>
      <c r="AN53" s="145">
        <f>AN50*-Resumen!$E$21</f>
        <v>0</v>
      </c>
      <c r="AO53" s="145">
        <f>AO50*-Resumen!$E$21</f>
        <v>0</v>
      </c>
      <c r="AP53" s="145">
        <f>AP50*-Resumen!$E$21</f>
        <v>0</v>
      </c>
      <c r="AQ53" s="145">
        <f>AQ50*-Resumen!$E$21</f>
        <v>0</v>
      </c>
      <c r="AR53" s="145">
        <f>AR50*-Resumen!$E$21</f>
        <v>0</v>
      </c>
      <c r="AS53" s="145">
        <f>AS50*-Resumen!$E$21</f>
        <v>0</v>
      </c>
      <c r="AT53" s="145">
        <f>AT50*-Resumen!$E$21</f>
        <v>0</v>
      </c>
      <c r="AU53" s="145">
        <f>AU50*-Resumen!$E$21</f>
        <v>0</v>
      </c>
      <c r="AV53" s="145">
        <f>AV50*-Resumen!$E$21</f>
        <v>0</v>
      </c>
      <c r="AW53" s="145">
        <f>AW50*-Resumen!$E$21</f>
        <v>0</v>
      </c>
      <c r="AX53" s="145">
        <f>AX50*-Resumen!$E$21</f>
        <v>0</v>
      </c>
      <c r="AY53" s="145">
        <f>AY50*-Resumen!$E$21</f>
        <v>0</v>
      </c>
      <c r="AZ53" s="145">
        <f>AZ50*-Resumen!$E$21</f>
        <v>0</v>
      </c>
      <c r="BA53" s="145">
        <f>BA50*-Resumen!$E$21</f>
        <v>0</v>
      </c>
      <c r="BB53" s="145">
        <f>BB50*-Resumen!$E$21</f>
        <v>0</v>
      </c>
      <c r="BC53" s="145">
        <f>BC50*-Resumen!$E$21</f>
        <v>0</v>
      </c>
      <c r="BD53" s="145">
        <f>BD50*-Resumen!$E$21</f>
        <v>0</v>
      </c>
      <c r="BE53" s="145">
        <f>BE50*-Resumen!$E$21</f>
        <v>0</v>
      </c>
      <c r="BF53" s="145">
        <f>BF50*-Resumen!$E$21</f>
        <v>0</v>
      </c>
      <c r="BG53" s="145">
        <f>BG50*-Resumen!$E$21</f>
        <v>0</v>
      </c>
      <c r="BH53" s="145">
        <f>BH50*-Resumen!$E$21</f>
        <v>0</v>
      </c>
      <c r="BI53" s="145">
        <f>BI50*-Resumen!$E$21</f>
        <v>0</v>
      </c>
      <c r="BJ53" s="145">
        <f>BJ50*-Resumen!$E$21</f>
        <v>0</v>
      </c>
      <c r="BK53" s="145">
        <f>BK50*-Resumen!$E$21</f>
        <v>-226975583.15849724</v>
      </c>
      <c r="BL53" s="145">
        <f>BL50*-Resumen!$E$21</f>
        <v>0</v>
      </c>
      <c r="BM53" s="145">
        <f>BM50*-Resumen!$E$21</f>
        <v>0</v>
      </c>
      <c r="BN53" s="145">
        <f>BN50*-Resumen!$E$21</f>
        <v>0</v>
      </c>
      <c r="BO53" s="145">
        <f>BO50*-Resumen!$E$21</f>
        <v>0</v>
      </c>
      <c r="BP53" s="145">
        <f>BP50*-Resumen!$E$21</f>
        <v>0</v>
      </c>
      <c r="BQ53" s="145">
        <f>BQ50*-Resumen!$E$21</f>
        <v>0</v>
      </c>
      <c r="BR53" s="145">
        <f>BR50*-Resumen!$E$21</f>
        <v>0</v>
      </c>
      <c r="BS53" s="145">
        <f>BS50*-Resumen!$E$21</f>
        <v>0</v>
      </c>
      <c r="BT53" s="145">
        <f>BT50*-Resumen!$E$21</f>
        <v>0</v>
      </c>
      <c r="BU53" s="145">
        <f>BU50*-Resumen!$E$21</f>
        <v>0</v>
      </c>
      <c r="BV53" s="145">
        <f>BV50*-Resumen!$E$21</f>
        <v>0</v>
      </c>
      <c r="BW53" s="145">
        <f>BW50*-Resumen!$E$21</f>
        <v>0</v>
      </c>
      <c r="BX53" s="145">
        <f>BX50*-Resumen!$E$21</f>
        <v>0</v>
      </c>
      <c r="BY53" s="145">
        <f>BY50*-Resumen!$E$21</f>
        <v>0</v>
      </c>
      <c r="BZ53" s="145">
        <f>BZ50*-Resumen!$E$21</f>
        <v>0</v>
      </c>
      <c r="CA53" s="145">
        <f>CA50*-Resumen!$E$21</f>
        <v>0</v>
      </c>
      <c r="CB53" s="145">
        <f>CB50*-Resumen!$E$21</f>
        <v>0</v>
      </c>
      <c r="CC53" s="145">
        <f>CC50*-Resumen!$E$21</f>
        <v>0</v>
      </c>
      <c r="CD53" s="145">
        <f>CD50*-Resumen!$E$21</f>
        <v>0</v>
      </c>
      <c r="CE53" s="145">
        <f>CE50*-Resumen!$E$21</f>
        <v>0</v>
      </c>
      <c r="CF53" s="145">
        <f>CF50*-Resumen!$E$21</f>
        <v>0</v>
      </c>
      <c r="CG53" s="145">
        <f>CG50*-Resumen!$E$21</f>
        <v>0</v>
      </c>
      <c r="CH53" s="145">
        <f>CH50*-Resumen!$E$21</f>
        <v>0</v>
      </c>
      <c r="CI53" s="145">
        <f>CI50*-Resumen!$E$21</f>
        <v>0</v>
      </c>
      <c r="CJ53" s="145">
        <f>CJ50*-Resumen!$E$21</f>
        <v>0</v>
      </c>
      <c r="CK53" s="145">
        <f>CK50*-Resumen!$E$21</f>
        <v>0</v>
      </c>
      <c r="CL53" s="145">
        <f>CL50*-Resumen!$E$21</f>
        <v>0</v>
      </c>
      <c r="CM53" s="145">
        <f>CM50*-Resumen!$E$21</f>
        <v>0</v>
      </c>
      <c r="CN53" s="145">
        <f>CN50*-Resumen!$E$21</f>
        <v>0</v>
      </c>
      <c r="CO53" s="145">
        <f>CO50*-Resumen!$E$21</f>
        <v>0</v>
      </c>
      <c r="CP53" s="145">
        <f>CP50*-Resumen!$E$21</f>
        <v>0</v>
      </c>
      <c r="CQ53" s="145">
        <f>CQ50*-Resumen!$E$21</f>
        <v>0</v>
      </c>
      <c r="CR53" s="145">
        <f>CR50*-Resumen!$E$21</f>
        <v>0</v>
      </c>
      <c r="CS53" s="145">
        <f>CS50*-Resumen!$E$21</f>
        <v>0</v>
      </c>
      <c r="CT53" s="145">
        <f>CT50*-Resumen!$E$21</f>
        <v>0</v>
      </c>
      <c r="CU53" s="145">
        <f>CU50*-Resumen!$E$21</f>
        <v>0</v>
      </c>
      <c r="CV53" s="145">
        <f>CV50*-Resumen!$E$21</f>
        <v>0</v>
      </c>
      <c r="CW53" s="145">
        <f>CW50*-Resumen!$E$21</f>
        <v>0</v>
      </c>
      <c r="CX53" s="145">
        <f>CX50*-Resumen!$E$21</f>
        <v>0</v>
      </c>
      <c r="CY53" s="145">
        <f>CY50*-Resumen!$E$21</f>
        <v>0</v>
      </c>
      <c r="CZ53" s="145">
        <f>CZ50*-Resumen!$E$21</f>
        <v>0</v>
      </c>
      <c r="DA53" s="145">
        <f>DA50*-Resumen!$E$21</f>
        <v>0</v>
      </c>
      <c r="DB53" s="145">
        <f>DB50*-Resumen!$E$21</f>
        <v>0</v>
      </c>
      <c r="DC53" s="145">
        <f>DC50*-Resumen!$E$21</f>
        <v>0</v>
      </c>
      <c r="DD53" s="145">
        <f>DD50*-Resumen!$E$21</f>
        <v>0</v>
      </c>
      <c r="DE53" s="145">
        <f>DE50*-Resumen!$E$21</f>
        <v>0</v>
      </c>
      <c r="DF53" s="145">
        <f>DF50*-Resumen!$E$21</f>
        <v>0</v>
      </c>
      <c r="DG53" s="145">
        <f>DG50*-Resumen!$E$21</f>
        <v>0</v>
      </c>
      <c r="DH53" s="145">
        <f>DH50*-Resumen!$E$21</f>
        <v>0</v>
      </c>
      <c r="DI53" s="145">
        <f>DI50*-Resumen!$E$21</f>
        <v>0</v>
      </c>
      <c r="DJ53" s="145">
        <f>DJ50*-Resumen!$E$21</f>
        <v>0</v>
      </c>
      <c r="DK53" s="145">
        <f>DK50*-Resumen!$E$21</f>
        <v>0</v>
      </c>
      <c r="DL53" s="145">
        <f>DL50*-Resumen!$E$21</f>
        <v>0</v>
      </c>
      <c r="DM53" s="145">
        <f>DM50*-Resumen!$E$21</f>
        <v>0</v>
      </c>
      <c r="DN53" s="145">
        <f>DN50*-Resumen!$E$21</f>
        <v>0</v>
      </c>
      <c r="DO53" s="145">
        <f>DO50*-Resumen!$E$21</f>
        <v>0</v>
      </c>
      <c r="DP53" s="145">
        <f>DP50*-Resumen!$E$21</f>
        <v>0</v>
      </c>
      <c r="DQ53" s="145">
        <f>DQ50*-Resumen!$E$21</f>
        <v>0</v>
      </c>
      <c r="DR53" s="145">
        <f>DR50*-Resumen!$E$21</f>
        <v>0</v>
      </c>
      <c r="DS53" s="145">
        <f>DS50*-Resumen!$E$21</f>
        <v>0</v>
      </c>
      <c r="DT53" s="145">
        <f>DT50*-Resumen!$E$21</f>
        <v>0</v>
      </c>
      <c r="DU53" s="145">
        <f>DU50*-Resumen!$E$21</f>
        <v>0</v>
      </c>
      <c r="DV53" s="145">
        <f>DV50*-Resumen!$E$21</f>
        <v>0</v>
      </c>
      <c r="DW53" s="145">
        <f>DW50*-Resumen!$E$21</f>
        <v>0</v>
      </c>
      <c r="DX53" s="145">
        <f>DX50*-Resumen!$E$21</f>
        <v>0</v>
      </c>
      <c r="DY53" s="145">
        <f>DY50*-Resumen!$E$21</f>
        <v>0</v>
      </c>
      <c r="DZ53" s="145">
        <f>DZ50*-Resumen!$E$21</f>
        <v>0</v>
      </c>
      <c r="EA53" s="145">
        <f>EA50*-Resumen!$E$21</f>
        <v>0</v>
      </c>
      <c r="EB53" s="145">
        <f>EB50*-Resumen!$E$21</f>
        <v>0</v>
      </c>
      <c r="EC53" s="145">
        <f>EC50*-Resumen!$E$21</f>
        <v>0</v>
      </c>
      <c r="ED53" s="145">
        <f>ED50*-Resumen!$E$21</f>
        <v>0</v>
      </c>
      <c r="EE53" s="146">
        <f>EE50*-Resumen!$E$21</f>
        <v>0</v>
      </c>
    </row>
    <row r="54" spans="1:135" x14ac:dyDescent="0.25">
      <c r="A54" s="201">
        <f>+AVERAGE(X54:DS54)</f>
        <v>1.4087077150268559</v>
      </c>
      <c r="B54" s="5" t="s">
        <v>296</v>
      </c>
      <c r="C54" s="144"/>
      <c r="D54" s="200">
        <f>+D43/-D51</f>
        <v>1.2252113383839147</v>
      </c>
      <c r="E54" s="200">
        <f t="shared" ref="E54:BP54" si="16">+E43/-E51</f>
        <v>1.2305679622570371</v>
      </c>
      <c r="F54" s="200">
        <f t="shared" si="16"/>
        <v>1.2359451295737383</v>
      </c>
      <c r="G54" s="200">
        <f t="shared" si="16"/>
        <v>1.2413429208734648</v>
      </c>
      <c r="H54" s="200">
        <f t="shared" si="16"/>
        <v>1.2467614170160068</v>
      </c>
      <c r="I54" s="200">
        <f t="shared" si="16"/>
        <v>1.252200699182779</v>
      </c>
      <c r="J54" s="200">
        <f t="shared" si="16"/>
        <v>1.2576608488781176</v>
      </c>
      <c r="K54" s="200">
        <f t="shared" si="16"/>
        <v>1.2631419479305708</v>
      </c>
      <c r="L54" s="200">
        <f t="shared" si="16"/>
        <v>1.2686440784942059</v>
      </c>
      <c r="M54" s="200">
        <f t="shared" si="16"/>
        <v>1.2741673230499102</v>
      </c>
      <c r="N54" s="200">
        <f t="shared" si="16"/>
        <v>1.2797117644067098</v>
      </c>
      <c r="O54" s="200">
        <f t="shared" si="16"/>
        <v>1.3014737627180499</v>
      </c>
      <c r="P54" s="200">
        <f t="shared" si="16"/>
        <v>1.3942491051979216</v>
      </c>
      <c r="Q54" s="200">
        <f t="shared" si="16"/>
        <v>1.4164735469942795</v>
      </c>
      <c r="R54" s="200">
        <f t="shared" si="16"/>
        <v>1.4388262768628459</v>
      </c>
      <c r="S54" s="200">
        <f t="shared" si="16"/>
        <v>1.4613078967863022</v>
      </c>
      <c r="T54" s="200">
        <f t="shared" si="16"/>
        <v>1.4839190113138712</v>
      </c>
      <c r="U54" s="200">
        <f t="shared" si="16"/>
        <v>1.5066602275716656</v>
      </c>
      <c r="V54" s="200">
        <f t="shared" si="16"/>
        <v>1.4722636751624765</v>
      </c>
      <c r="W54" s="200">
        <f t="shared" si="16"/>
        <v>1.4774334461759231</v>
      </c>
      <c r="X54" s="200">
        <f t="shared" si="16"/>
        <v>1.4826190907274766</v>
      </c>
      <c r="Y54" s="200">
        <f t="shared" si="16"/>
        <v>1.4878206575413331</v>
      </c>
      <c r="Z54" s="200">
        <f t="shared" si="16"/>
        <v>1.4930381954905587</v>
      </c>
      <c r="AA54" s="200">
        <f t="shared" si="16"/>
        <v>1.4982717535975369</v>
      </c>
      <c r="AB54" s="200">
        <f t="shared" si="16"/>
        <v>1.5171582220977979</v>
      </c>
      <c r="AC54" s="200">
        <f t="shared" si="16"/>
        <v>1.5218708779138368</v>
      </c>
      <c r="AD54" s="200">
        <f t="shared" si="16"/>
        <v>1.5265961118426123</v>
      </c>
      <c r="AE54" s="200">
        <f t="shared" si="16"/>
        <v>1.531333956647243</v>
      </c>
      <c r="AF54" s="200">
        <f t="shared" si="16"/>
        <v>1.5360844451725792</v>
      </c>
      <c r="AG54" s="200">
        <f t="shared" si="16"/>
        <v>1.5408476103453803</v>
      </c>
      <c r="AH54" s="200">
        <f t="shared" si="16"/>
        <v>1.5456234851745112</v>
      </c>
      <c r="AI54" s="200">
        <f t="shared" si="16"/>
        <v>1.5504121027511255</v>
      </c>
      <c r="AJ54" s="200">
        <f t="shared" si="16"/>
        <v>1.555213496248856</v>
      </c>
      <c r="AK54" s="200">
        <f t="shared" si="16"/>
        <v>1.5600276989240036</v>
      </c>
      <c r="AL54" s="200">
        <f t="shared" si="16"/>
        <v>1.5648547441157277</v>
      </c>
      <c r="AM54" s="200">
        <f t="shared" si="16"/>
        <v>1.5696946652462331</v>
      </c>
      <c r="AN54" s="200">
        <f t="shared" si="16"/>
        <v>1.5675989153997962</v>
      </c>
      <c r="AO54" s="200">
        <f t="shared" si="16"/>
        <v>1.5724646890076219</v>
      </c>
      <c r="AP54" s="200">
        <f t="shared" si="16"/>
        <v>1.5773434393210319</v>
      </c>
      <c r="AQ54" s="200">
        <f t="shared" si="16"/>
        <v>1.5822352000963256</v>
      </c>
      <c r="AR54" s="200">
        <f t="shared" si="16"/>
        <v>1.5871400051738029</v>
      </c>
      <c r="AS54" s="200">
        <f t="shared" si="16"/>
        <v>1.5920578884779568</v>
      </c>
      <c r="AT54" s="200">
        <f t="shared" si="16"/>
        <v>1.5969888840176658</v>
      </c>
      <c r="AU54" s="200">
        <f t="shared" si="16"/>
        <v>1.6019330258863864</v>
      </c>
      <c r="AV54" s="200">
        <f t="shared" si="16"/>
        <v>1.6068903482623458</v>
      </c>
      <c r="AW54" s="200">
        <f t="shared" si="16"/>
        <v>1.6118608854087353</v>
      </c>
      <c r="AX54" s="200">
        <f t="shared" si="16"/>
        <v>1.6168446716739033</v>
      </c>
      <c r="AY54" s="200">
        <f t="shared" si="16"/>
        <v>1.621841741491552</v>
      </c>
      <c r="AZ54" s="200">
        <f t="shared" si="16"/>
        <v>1.6196837367857255</v>
      </c>
      <c r="BA54" s="200">
        <f t="shared" si="16"/>
        <v>1.6247074773518186</v>
      </c>
      <c r="BB54" s="200">
        <f t="shared" si="16"/>
        <v>1.6297446052855518</v>
      </c>
      <c r="BC54" s="200">
        <f t="shared" si="16"/>
        <v>1.634795155363981</v>
      </c>
      <c r="BD54" s="200">
        <f t="shared" si="16"/>
        <v>1.6398591624504908</v>
      </c>
      <c r="BE54" s="200">
        <f t="shared" si="16"/>
        <v>1.6449366614949879</v>
      </c>
      <c r="BF54" s="200">
        <f t="shared" si="16"/>
        <v>1.6500276875340987</v>
      </c>
      <c r="BG54" s="200">
        <f t="shared" si="16"/>
        <v>1.655132275691368</v>
      </c>
      <c r="BH54" s="200">
        <f t="shared" si="16"/>
        <v>1.6602504611774547</v>
      </c>
      <c r="BI54" s="200">
        <f t="shared" si="16"/>
        <v>1.6653822792903299</v>
      </c>
      <c r="BJ54" s="200">
        <f t="shared" si="16"/>
        <v>1.6705277654154738</v>
      </c>
      <c r="BK54" s="200">
        <f t="shared" si="16"/>
        <v>1.6756869550260747</v>
      </c>
      <c r="BL54" s="200">
        <f t="shared" si="16"/>
        <v>1.1881348364255968</v>
      </c>
      <c r="BM54" s="200">
        <f t="shared" si="16"/>
        <v>1.1918173184130512</v>
      </c>
      <c r="BN54" s="200">
        <f t="shared" si="16"/>
        <v>1.1955096056020509</v>
      </c>
      <c r="BO54" s="200">
        <f t="shared" si="16"/>
        <v>1.1992117234285316</v>
      </c>
      <c r="BP54" s="200">
        <f t="shared" si="16"/>
        <v>1.2029236973914081</v>
      </c>
      <c r="BQ54" s="200">
        <f t="shared" ref="BQ54:DS54" si="17">+BQ43/-BQ51</f>
        <v>1.2066455530527163</v>
      </c>
      <c r="BR54" s="200">
        <f t="shared" si="17"/>
        <v>1.210377316037758</v>
      </c>
      <c r="BS54" s="200">
        <f t="shared" si="17"/>
        <v>1.2141190120352421</v>
      </c>
      <c r="BT54" s="200">
        <f t="shared" si="17"/>
        <v>1.2178706667974273</v>
      </c>
      <c r="BU54" s="200">
        <f t="shared" si="17"/>
        <v>1.2216323061402696</v>
      </c>
      <c r="BV54" s="200">
        <f t="shared" si="17"/>
        <v>1.225403955943559</v>
      </c>
      <c r="BW54" s="200">
        <f t="shared" si="17"/>
        <v>1.229185642151069</v>
      </c>
      <c r="BX54" s="200">
        <f t="shared" si="17"/>
        <v>1.227560384600312</v>
      </c>
      <c r="BY54" s="200">
        <f t="shared" si="17"/>
        <v>1.2313622217042337</v>
      </c>
      <c r="BZ54" s="200">
        <f t="shared" si="17"/>
        <v>1.2351741734290302</v>
      </c>
      <c r="CA54" s="200">
        <f t="shared" si="17"/>
        <v>1.2389962659758476</v>
      </c>
      <c r="CB54" s="200">
        <f t="shared" si="17"/>
        <v>1.2428285256105369</v>
      </c>
      <c r="CC54" s="200">
        <f t="shared" si="17"/>
        <v>1.2466709786637977</v>
      </c>
      <c r="CD54" s="200">
        <f t="shared" si="17"/>
        <v>1.2505236515313285</v>
      </c>
      <c r="CE54" s="200">
        <f t="shared" si="17"/>
        <v>1.2543865706739705</v>
      </c>
      <c r="CF54" s="200">
        <f t="shared" si="17"/>
        <v>1.2582597626178524</v>
      </c>
      <c r="CG54" s="200">
        <f t="shared" si="17"/>
        <v>1.2621432539545396</v>
      </c>
      <c r="CH54" s="200">
        <f t="shared" si="17"/>
        <v>1.2660370713411784</v>
      </c>
      <c r="CI54" s="200">
        <f t="shared" si="17"/>
        <v>1.2699412415006459</v>
      </c>
      <c r="CJ54" s="200">
        <f t="shared" si="17"/>
        <v>1.2682669424278061</v>
      </c>
      <c r="CK54" s="200">
        <f t="shared" si="17"/>
        <v>1.2721918985652121</v>
      </c>
      <c r="CL54" s="200">
        <f t="shared" si="17"/>
        <v>1.2761272880399246</v>
      </c>
      <c r="CM54" s="200">
        <f t="shared" si="17"/>
        <v>1.2800731378392132</v>
      </c>
      <c r="CN54" s="200">
        <f t="shared" si="17"/>
        <v>1.2840294750168144</v>
      </c>
      <c r="CO54" s="200">
        <f t="shared" si="17"/>
        <v>1.2879963266930834</v>
      </c>
      <c r="CP54" s="200">
        <f t="shared" si="17"/>
        <v>1.2919737200551409</v>
      </c>
      <c r="CQ54" s="200">
        <f t="shared" si="17"/>
        <v>1.2959616823570212</v>
      </c>
      <c r="CR54" s="200">
        <f t="shared" si="17"/>
        <v>1.2999602409198254</v>
      </c>
      <c r="CS54" s="200">
        <f t="shared" si="17"/>
        <v>1.3039694231318668</v>
      </c>
      <c r="CT54" s="200">
        <f t="shared" si="17"/>
        <v>1.3079892564488238</v>
      </c>
      <c r="CU54" s="200">
        <f t="shared" si="17"/>
        <v>1.3120197683938892</v>
      </c>
      <c r="CV54" s="200">
        <f t="shared" si="17"/>
        <v>1.3102946732399086</v>
      </c>
      <c r="CW54" s="200">
        <f t="shared" si="17"/>
        <v>1.3143466252815763</v>
      </c>
      <c r="CX54" s="200">
        <f t="shared" si="17"/>
        <v>1.3184093389275211</v>
      </c>
      <c r="CY54" s="200">
        <f t="shared" si="17"/>
        <v>1.3224828419724981</v>
      </c>
      <c r="CZ54" s="200">
        <f t="shared" si="17"/>
        <v>1.3265671622795345</v>
      </c>
      <c r="DA54" s="200">
        <f t="shared" si="17"/>
        <v>1.3306623277800755</v>
      </c>
      <c r="DB54" s="200">
        <f t="shared" si="17"/>
        <v>1.3347683664741417</v>
      </c>
      <c r="DC54" s="200">
        <f t="shared" si="17"/>
        <v>1.3388853064304762</v>
      </c>
      <c r="DD54" s="200">
        <f t="shared" si="17"/>
        <v>1.3430131757867034</v>
      </c>
      <c r="DE54" s="200">
        <f t="shared" si="17"/>
        <v>1.3471520027494743</v>
      </c>
      <c r="DF54" s="200">
        <f t="shared" si="17"/>
        <v>1.3513018155946259</v>
      </c>
      <c r="DG54" s="200">
        <f t="shared" si="17"/>
        <v>1.3554626426673324</v>
      </c>
      <c r="DH54" s="200">
        <f t="shared" si="17"/>
        <v>1.3536849206513832</v>
      </c>
      <c r="DI54" s="200">
        <f t="shared" si="17"/>
        <v>1.3578678614928343</v>
      </c>
      <c r="DJ54" s="200">
        <f t="shared" si="17"/>
        <v>1.3620619020149187</v>
      </c>
      <c r="DK54" s="200">
        <f t="shared" si="17"/>
        <v>1.3662670708416964</v>
      </c>
      <c r="DL54" s="200">
        <f t="shared" si="17"/>
        <v>1.3704833966673353</v>
      </c>
      <c r="DM54" s="200">
        <f t="shared" si="17"/>
        <v>1.3747109082562641</v>
      </c>
      <c r="DN54" s="200">
        <f t="shared" si="17"/>
        <v>1.3789496344433312</v>
      </c>
      <c r="DO54" s="200">
        <f t="shared" si="17"/>
        <v>1.3831996041339567</v>
      </c>
      <c r="DP54" s="200">
        <f t="shared" si="17"/>
        <v>1.3874608463042888</v>
      </c>
      <c r="DQ54" s="200">
        <f t="shared" si="17"/>
        <v>1.3917333900013638</v>
      </c>
      <c r="DR54" s="200">
        <f t="shared" si="17"/>
        <v>1.3960172643432549</v>
      </c>
      <c r="DS54" s="200">
        <f t="shared" si="17"/>
        <v>1.4003124985192348</v>
      </c>
      <c r="DT54" s="145"/>
      <c r="DU54" s="145"/>
      <c r="DV54" s="145"/>
      <c r="DW54" s="145"/>
      <c r="DX54" s="145"/>
      <c r="DY54" s="145"/>
      <c r="DZ54" s="145"/>
      <c r="EA54" s="145"/>
      <c r="EB54" s="145"/>
      <c r="EC54" s="145"/>
      <c r="ED54" s="145"/>
      <c r="EE54" s="146"/>
    </row>
    <row r="55" spans="1:135" x14ac:dyDescent="0.25">
      <c r="A55" s="152">
        <f>SUMIF($C$1:$EE$1,"&lt;="&amp;Resumen!$K$19,'Flujo de caja mensual'!C55:EE55)</f>
        <v>31540250291.262417</v>
      </c>
      <c r="B55" s="14" t="s">
        <v>206</v>
      </c>
      <c r="C55" s="147"/>
      <c r="D55" s="148">
        <f>SUM(D47,D51)</f>
        <v>153284467.18755198</v>
      </c>
      <c r="E55" s="148">
        <f t="shared" ref="E55:BP55" si="18">SUM(E47,E51)</f>
        <v>-609074226.14334953</v>
      </c>
      <c r="F55" s="148">
        <f t="shared" si="18"/>
        <v>-791664391.63841987</v>
      </c>
      <c r="G55" s="148">
        <f t="shared" si="18"/>
        <v>-893165519.93504357</v>
      </c>
      <c r="H55" s="148">
        <f t="shared" si="18"/>
        <v>-889477555.99802589</v>
      </c>
      <c r="I55" s="148">
        <f t="shared" si="18"/>
        <v>-887650444.57326651</v>
      </c>
      <c r="J55" s="148">
        <f t="shared" si="18"/>
        <v>-883934130.18687677</v>
      </c>
      <c r="K55" s="148">
        <f t="shared" si="18"/>
        <v>-720203557.1443007</v>
      </c>
      <c r="L55" s="148">
        <f t="shared" si="18"/>
        <v>107466330.47057343</v>
      </c>
      <c r="M55" s="148">
        <f t="shared" si="18"/>
        <v>157517255.46296644</v>
      </c>
      <c r="N55" s="148">
        <f t="shared" si="18"/>
        <v>161290940.86143804</v>
      </c>
      <c r="O55" s="148">
        <f t="shared" si="18"/>
        <v>176102700.96209395</v>
      </c>
      <c r="P55" s="148">
        <f t="shared" si="18"/>
        <v>268335797.22533536</v>
      </c>
      <c r="Q55" s="148">
        <f t="shared" si="18"/>
        <v>283462307.9229815</v>
      </c>
      <c r="R55" s="148">
        <f t="shared" si="18"/>
        <v>298676134.68977451</v>
      </c>
      <c r="S55" s="148">
        <f t="shared" si="18"/>
        <v>313977687.25017691</v>
      </c>
      <c r="T55" s="148">
        <f t="shared" si="18"/>
        <v>329367377.07550359</v>
      </c>
      <c r="U55" s="148">
        <f t="shared" si="18"/>
        <v>344845617.39096498</v>
      </c>
      <c r="V55" s="148">
        <f t="shared" si="18"/>
        <v>333937701.95761228</v>
      </c>
      <c r="W55" s="148">
        <f t="shared" si="18"/>
        <v>337593247.66792655</v>
      </c>
      <c r="X55" s="148">
        <f t="shared" si="18"/>
        <v>341260017.55896044</v>
      </c>
      <c r="Y55" s="148">
        <f t="shared" si="18"/>
        <v>344938046.08359897</v>
      </c>
      <c r="Z55" s="148">
        <f t="shared" si="18"/>
        <v>348627367.79999304</v>
      </c>
      <c r="AA55" s="148">
        <f t="shared" si="18"/>
        <v>352328017.37187612</v>
      </c>
      <c r="AB55" s="148">
        <f t="shared" si="18"/>
        <v>365682641.53792524</v>
      </c>
      <c r="AC55" s="148">
        <f t="shared" si="18"/>
        <v>369014961.03673863</v>
      </c>
      <c r="AD55" s="148">
        <f t="shared" si="18"/>
        <v>372356174.52059293</v>
      </c>
      <c r="AE55" s="148">
        <f t="shared" si="18"/>
        <v>375706305.15629315</v>
      </c>
      <c r="AF55" s="148">
        <f t="shared" si="18"/>
        <v>379065376.168437</v>
      </c>
      <c r="AG55" s="148">
        <f t="shared" si="18"/>
        <v>382433410.83954</v>
      </c>
      <c r="AH55" s="148">
        <f t="shared" si="18"/>
        <v>385810432.51017451</v>
      </c>
      <c r="AI55" s="148">
        <f t="shared" si="18"/>
        <v>389196464.57909918</v>
      </c>
      <c r="AJ55" s="148">
        <f t="shared" si="18"/>
        <v>392591530.50339389</v>
      </c>
      <c r="AK55" s="148">
        <f t="shared" si="18"/>
        <v>395995653.79859328</v>
      </c>
      <c r="AL55" s="148">
        <f t="shared" si="18"/>
        <v>399408858.03882051</v>
      </c>
      <c r="AM55" s="148">
        <f t="shared" si="18"/>
        <v>402831166.85692096</v>
      </c>
      <c r="AN55" s="148">
        <f t="shared" si="18"/>
        <v>401349261.88644791</v>
      </c>
      <c r="AO55" s="148">
        <f t="shared" si="18"/>
        <v>404789850.99439549</v>
      </c>
      <c r="AP55" s="148">
        <f t="shared" si="18"/>
        <v>408239615.9324348</v>
      </c>
      <c r="AQ55" s="148">
        <f t="shared" si="18"/>
        <v>411698580.56964922</v>
      </c>
      <c r="AR55" s="148">
        <f t="shared" si="18"/>
        <v>415166768.83451915</v>
      </c>
      <c r="AS55" s="148">
        <f t="shared" si="18"/>
        <v>418644204.71505737</v>
      </c>
      <c r="AT55" s="148">
        <f t="shared" si="18"/>
        <v>422130912.25894618</v>
      </c>
      <c r="AU55" s="148">
        <f t="shared" si="18"/>
        <v>425626915.57367277</v>
      </c>
      <c r="AV55" s="148">
        <f t="shared" si="18"/>
        <v>429132238.82666564</v>
      </c>
      <c r="AW55" s="148">
        <f t="shared" si="18"/>
        <v>432646906.24543166</v>
      </c>
      <c r="AX55" s="148">
        <f t="shared" si="18"/>
        <v>436170942.11769223</v>
      </c>
      <c r="AY55" s="148">
        <f t="shared" si="18"/>
        <v>439704370.79152203</v>
      </c>
      <c r="AZ55" s="148">
        <f t="shared" si="18"/>
        <v>438178445.40242767</v>
      </c>
      <c r="BA55" s="148">
        <f t="shared" si="18"/>
        <v>441730732.96571565</v>
      </c>
      <c r="BB55" s="148">
        <f t="shared" si="18"/>
        <v>445292486.73828483</v>
      </c>
      <c r="BC55" s="148">
        <f t="shared" si="18"/>
        <v>448863731.31099582</v>
      </c>
      <c r="BD55" s="148">
        <f t="shared" si="18"/>
        <v>452444491.33575177</v>
      </c>
      <c r="BE55" s="148">
        <f t="shared" si="18"/>
        <v>456034791.5256362</v>
      </c>
      <c r="BF55" s="148">
        <f t="shared" si="18"/>
        <v>459634656.65505171</v>
      </c>
      <c r="BG55" s="148">
        <f t="shared" si="18"/>
        <v>463244111.55986118</v>
      </c>
      <c r="BH55" s="148">
        <f t="shared" si="18"/>
        <v>466863181.1375258</v>
      </c>
      <c r="BI55" s="148">
        <f t="shared" si="18"/>
        <v>470491890.34724522</v>
      </c>
      <c r="BJ55" s="148">
        <f t="shared" si="18"/>
        <v>474130264.2100966</v>
      </c>
      <c r="BK55" s="148">
        <f t="shared" si="18"/>
        <v>477778327.80917597</v>
      </c>
      <c r="BL55" s="148">
        <f t="shared" si="18"/>
        <v>187370368.28168261</v>
      </c>
      <c r="BM55" s="148">
        <f t="shared" si="18"/>
        <v>191037886.85128486</v>
      </c>
      <c r="BN55" s="148">
        <f t="shared" si="18"/>
        <v>194715170.77992213</v>
      </c>
      <c r="BO55" s="148">
        <f t="shared" si="18"/>
        <v>198402245.40017283</v>
      </c>
      <c r="BP55" s="148">
        <f t="shared" si="18"/>
        <v>202099136.10733998</v>
      </c>
      <c r="BQ55" s="148">
        <f t="shared" ref="BQ55:EB55" si="19">SUM(BQ47,BQ51)</f>
        <v>205805868.35959017</v>
      </c>
      <c r="BR55" s="148">
        <f t="shared" si="19"/>
        <v>209522467.67809951</v>
      </c>
      <c r="BS55" s="148">
        <f t="shared" si="19"/>
        <v>213248959.64719284</v>
      </c>
      <c r="BT55" s="148">
        <f t="shared" si="19"/>
        <v>216985369.91448748</v>
      </c>
      <c r="BU55" s="148">
        <f t="shared" si="19"/>
        <v>220731724.19103825</v>
      </c>
      <c r="BV55" s="148">
        <f t="shared" si="19"/>
        <v>224488048.25147545</v>
      </c>
      <c r="BW55" s="148">
        <f t="shared" si="19"/>
        <v>228254367.93415225</v>
      </c>
      <c r="BX55" s="148">
        <f t="shared" si="19"/>
        <v>226635714.46399415</v>
      </c>
      <c r="BY55" s="148">
        <f t="shared" si="19"/>
        <v>230422103.16181767</v>
      </c>
      <c r="BZ55" s="148">
        <f t="shared" si="19"/>
        <v>234218565.38070929</v>
      </c>
      <c r="CA55" s="148">
        <f t="shared" si="19"/>
        <v>238025127.21534884</v>
      </c>
      <c r="CB55" s="148">
        <f t="shared" si="19"/>
        <v>241841814.82485878</v>
      </c>
      <c r="CC55" s="148">
        <f t="shared" si="19"/>
        <v>245668654.43294632</v>
      </c>
      <c r="CD55" s="148">
        <f t="shared" si="19"/>
        <v>249505672.32805359</v>
      </c>
      <c r="CE55" s="148">
        <f t="shared" si="19"/>
        <v>253352894.86350071</v>
      </c>
      <c r="CF55" s="148">
        <f t="shared" si="19"/>
        <v>257210348.4576298</v>
      </c>
      <c r="CG55" s="148">
        <f t="shared" si="19"/>
        <v>261078059.59395397</v>
      </c>
      <c r="CH55" s="148">
        <f t="shared" si="19"/>
        <v>264956054.82130063</v>
      </c>
      <c r="CI55" s="148">
        <f t="shared" si="19"/>
        <v>268844360.75396121</v>
      </c>
      <c r="CJ55" s="148">
        <f t="shared" si="19"/>
        <v>267176865.03731477</v>
      </c>
      <c r="CK55" s="148">
        <f t="shared" si="19"/>
        <v>271085872.48605502</v>
      </c>
      <c r="CL55" s="148">
        <f t="shared" si="19"/>
        <v>275005270.87722099</v>
      </c>
      <c r="CM55" s="148">
        <f t="shared" si="19"/>
        <v>278935087.0884217</v>
      </c>
      <c r="CN55" s="148">
        <f t="shared" si="19"/>
        <v>282875348.06346357</v>
      </c>
      <c r="CO55" s="148">
        <f t="shared" si="19"/>
        <v>286826080.8125006</v>
      </c>
      <c r="CP55" s="148">
        <f t="shared" si="19"/>
        <v>290787312.41218126</v>
      </c>
      <c r="CQ55" s="148">
        <f t="shared" si="19"/>
        <v>294759070.00579584</v>
      </c>
      <c r="CR55" s="148">
        <f t="shared" si="19"/>
        <v>298741380.80342829</v>
      </c>
      <c r="CS55" s="148">
        <f t="shared" si="19"/>
        <v>302734272.08210266</v>
      </c>
      <c r="CT55" s="148">
        <f t="shared" si="19"/>
        <v>306737771.18593323</v>
      </c>
      <c r="CU55" s="148">
        <f t="shared" si="19"/>
        <v>310751905.52627528</v>
      </c>
      <c r="CV55" s="148">
        <f t="shared" si="19"/>
        <v>309033820.13356745</v>
      </c>
      <c r="CW55" s="148">
        <f t="shared" si="19"/>
        <v>313069307.45070374</v>
      </c>
      <c r="CX55" s="148">
        <f t="shared" si="19"/>
        <v>317115512.64335406</v>
      </c>
      <c r="CY55" s="148">
        <f t="shared" si="19"/>
        <v>321172463.3933326</v>
      </c>
      <c r="CZ55" s="148">
        <f t="shared" si="19"/>
        <v>325240187.45044744</v>
      </c>
      <c r="DA55" s="148">
        <f t="shared" si="19"/>
        <v>329318712.63264716</v>
      </c>
      <c r="DB55" s="148">
        <f t="shared" si="19"/>
        <v>333408066.82617676</v>
      </c>
      <c r="DC55" s="148">
        <f t="shared" si="19"/>
        <v>337508277.98572481</v>
      </c>
      <c r="DD55" s="148">
        <f t="shared" si="19"/>
        <v>341619374.13458097</v>
      </c>
      <c r="DE55" s="148">
        <f t="shared" si="19"/>
        <v>345741383.36478126</v>
      </c>
      <c r="DF55" s="148">
        <f t="shared" si="19"/>
        <v>349874333.83726656</v>
      </c>
      <c r="DG55" s="148">
        <f t="shared" si="19"/>
        <v>354018253.78203309</v>
      </c>
      <c r="DH55" s="148">
        <f t="shared" si="19"/>
        <v>352247755.37164128</v>
      </c>
      <c r="DI55" s="148">
        <f t="shared" si="19"/>
        <v>356413699.22794092</v>
      </c>
      <c r="DJ55" s="148">
        <f t="shared" si="19"/>
        <v>360590697.66236985</v>
      </c>
      <c r="DK55" s="148">
        <f t="shared" si="19"/>
        <v>364778779.18267667</v>
      </c>
      <c r="DL55" s="148">
        <f t="shared" si="19"/>
        <v>368977972.36643326</v>
      </c>
      <c r="DM55" s="148">
        <f t="shared" si="19"/>
        <v>373188305.86118686</v>
      </c>
      <c r="DN55" s="148">
        <f t="shared" si="19"/>
        <v>377409808.38461792</v>
      </c>
      <c r="DO55" s="148">
        <f t="shared" si="19"/>
        <v>381642508.72469246</v>
      </c>
      <c r="DP55" s="148">
        <f t="shared" si="19"/>
        <v>385886435.73981678</v>
      </c>
      <c r="DQ55" s="148">
        <f t="shared" si="19"/>
        <v>390141618.35899699</v>
      </c>
      <c r="DR55" s="148">
        <f t="shared" si="19"/>
        <v>394408085.58198798</v>
      </c>
      <c r="DS55" s="148">
        <f t="shared" si="19"/>
        <v>398685866.47945464</v>
      </c>
      <c r="DT55" s="148">
        <f t="shared" si="19"/>
        <v>0</v>
      </c>
      <c r="DU55" s="148">
        <f t="shared" si="19"/>
        <v>0</v>
      </c>
      <c r="DV55" s="148">
        <f t="shared" si="19"/>
        <v>0</v>
      </c>
      <c r="DW55" s="148">
        <f t="shared" si="19"/>
        <v>0</v>
      </c>
      <c r="DX55" s="148">
        <f t="shared" si="19"/>
        <v>0</v>
      </c>
      <c r="DY55" s="148">
        <f t="shared" si="19"/>
        <v>0</v>
      </c>
      <c r="DZ55" s="148">
        <f t="shared" si="19"/>
        <v>0</v>
      </c>
      <c r="EA55" s="148">
        <f t="shared" si="19"/>
        <v>0</v>
      </c>
      <c r="EB55" s="148">
        <f t="shared" si="19"/>
        <v>0</v>
      </c>
      <c r="EC55" s="148">
        <f>SUM(EC47,EC51)</f>
        <v>0</v>
      </c>
      <c r="ED55" s="148">
        <f>SUM(ED47,ED51)</f>
        <v>0</v>
      </c>
      <c r="EE55" s="149">
        <f>SUM(EE47,EE51)</f>
        <v>0</v>
      </c>
    </row>
    <row r="56" spans="1:135" x14ac:dyDescent="0.25">
      <c r="B56" s="5"/>
      <c r="C56" s="144"/>
      <c r="D56" s="145"/>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c r="BJ56" s="145"/>
      <c r="BK56" s="145"/>
      <c r="BL56" s="145"/>
      <c r="BM56" s="145"/>
      <c r="BN56" s="145"/>
      <c r="BO56" s="145"/>
      <c r="BP56" s="145"/>
      <c r="BQ56" s="145"/>
      <c r="BR56" s="145"/>
      <c r="BS56" s="145"/>
      <c r="BT56" s="145"/>
      <c r="BU56" s="145"/>
      <c r="BV56" s="145"/>
      <c r="BW56" s="145"/>
      <c r="BX56" s="145"/>
      <c r="BY56" s="145"/>
      <c r="BZ56" s="145"/>
      <c r="CA56" s="145"/>
      <c r="CB56" s="145"/>
      <c r="CC56" s="145"/>
      <c r="CD56" s="145"/>
      <c r="CE56" s="145"/>
      <c r="CF56" s="145"/>
      <c r="CG56" s="145"/>
      <c r="CH56" s="145"/>
      <c r="CI56" s="145"/>
      <c r="CJ56" s="145"/>
      <c r="CK56" s="145"/>
      <c r="CL56" s="145"/>
      <c r="CM56" s="145"/>
      <c r="CN56" s="145"/>
      <c r="CO56" s="145"/>
      <c r="CP56" s="145"/>
      <c r="CQ56" s="145"/>
      <c r="CR56" s="145"/>
      <c r="CS56" s="145"/>
      <c r="CT56" s="145"/>
      <c r="CU56" s="145"/>
      <c r="CV56" s="145"/>
      <c r="CW56" s="145"/>
      <c r="CX56" s="145"/>
      <c r="CY56" s="145"/>
      <c r="CZ56" s="145"/>
      <c r="DA56" s="145"/>
      <c r="DB56" s="145"/>
      <c r="DC56" s="145"/>
      <c r="DD56" s="145"/>
      <c r="DE56" s="145"/>
      <c r="DF56" s="145"/>
      <c r="DG56" s="145"/>
      <c r="DH56" s="145"/>
      <c r="DI56" s="145"/>
      <c r="DJ56" s="145"/>
      <c r="DK56" s="145"/>
      <c r="DL56" s="145"/>
      <c r="DM56" s="145"/>
      <c r="DN56" s="145"/>
      <c r="DO56" s="145"/>
      <c r="DP56" s="145"/>
      <c r="DQ56" s="145"/>
      <c r="DR56" s="145"/>
      <c r="DS56" s="145"/>
      <c r="DT56" s="145"/>
      <c r="DU56" s="145"/>
      <c r="DV56" s="145"/>
      <c r="DW56" s="145"/>
      <c r="DX56" s="145"/>
      <c r="DY56" s="145"/>
      <c r="DZ56" s="145"/>
      <c r="EA56" s="145"/>
      <c r="EB56" s="145"/>
      <c r="EC56" s="145"/>
      <c r="ED56" s="145"/>
      <c r="EE56" s="146"/>
    </row>
    <row r="57" spans="1:135" x14ac:dyDescent="0.25">
      <c r="B57" s="140" t="s">
        <v>192</v>
      </c>
      <c r="C57" s="144"/>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c r="BJ57" s="145"/>
      <c r="BK57" s="145"/>
      <c r="BL57" s="145"/>
      <c r="BM57" s="145"/>
      <c r="BN57" s="145"/>
      <c r="BO57" s="145"/>
      <c r="BP57" s="145"/>
      <c r="BQ57" s="145"/>
      <c r="BR57" s="145"/>
      <c r="BS57" s="145"/>
      <c r="BT57" s="145"/>
      <c r="BU57" s="145"/>
      <c r="BV57" s="145"/>
      <c r="BW57" s="145"/>
      <c r="BX57" s="145"/>
      <c r="BY57" s="145"/>
      <c r="BZ57" s="145"/>
      <c r="CA57" s="145"/>
      <c r="CB57" s="145"/>
      <c r="CC57" s="145"/>
      <c r="CD57" s="145"/>
      <c r="CE57" s="145"/>
      <c r="CF57" s="145"/>
      <c r="CG57" s="145"/>
      <c r="CH57" s="145"/>
      <c r="CI57" s="145"/>
      <c r="CJ57" s="145"/>
      <c r="CK57" s="145"/>
      <c r="CL57" s="145"/>
      <c r="CM57" s="145"/>
      <c r="CN57" s="145"/>
      <c r="CO57" s="145"/>
      <c r="CP57" s="145"/>
      <c r="CQ57" s="145"/>
      <c r="CR57" s="145"/>
      <c r="CS57" s="145"/>
      <c r="CT57" s="145"/>
      <c r="CU57" s="145"/>
      <c r="CV57" s="145"/>
      <c r="CW57" s="145"/>
      <c r="CX57" s="145"/>
      <c r="CY57" s="145"/>
      <c r="CZ57" s="145"/>
      <c r="DA57" s="145"/>
      <c r="DB57" s="145"/>
      <c r="DC57" s="145"/>
      <c r="DD57" s="145"/>
      <c r="DE57" s="145"/>
      <c r="DF57" s="145"/>
      <c r="DG57" s="145"/>
      <c r="DH57" s="145"/>
      <c r="DI57" s="145"/>
      <c r="DJ57" s="145"/>
      <c r="DK57" s="145"/>
      <c r="DL57" s="145"/>
      <c r="DM57" s="145"/>
      <c r="DN57" s="145"/>
      <c r="DO57" s="145"/>
      <c r="DP57" s="145"/>
      <c r="DQ57" s="145"/>
      <c r="DR57" s="145"/>
      <c r="DS57" s="145"/>
      <c r="DT57" s="145"/>
      <c r="DU57" s="145"/>
      <c r="DV57" s="145"/>
      <c r="DW57" s="145"/>
      <c r="DX57" s="145"/>
      <c r="DY57" s="145"/>
      <c r="DZ57" s="145"/>
      <c r="EA57" s="145"/>
      <c r="EB57" s="145"/>
      <c r="EC57" s="145"/>
      <c r="ED57" s="145"/>
      <c r="EE57" s="146"/>
    </row>
    <row r="58" spans="1:135" x14ac:dyDescent="0.25">
      <c r="A58" s="152">
        <f>SUMIF($C$1:$EE$1,"&lt;="&amp;Resumen!$K$19,'Flujo de caja mensual'!C58:EE58)</f>
        <v>0</v>
      </c>
      <c r="B58" s="5" t="s">
        <v>193</v>
      </c>
      <c r="C58" s="144">
        <f>-Resumen!B24</f>
        <v>0</v>
      </c>
      <c r="D58" s="145"/>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c r="BJ58" s="145"/>
      <c r="BK58" s="145"/>
      <c r="BL58" s="145"/>
      <c r="BM58" s="145"/>
      <c r="BN58" s="145"/>
      <c r="BO58" s="145"/>
      <c r="BP58" s="145"/>
      <c r="BQ58" s="145"/>
      <c r="BR58" s="145"/>
      <c r="BS58" s="145"/>
      <c r="BT58" s="145"/>
      <c r="BU58" s="145"/>
      <c r="BV58" s="145"/>
      <c r="BW58" s="145"/>
      <c r="BX58" s="145"/>
      <c r="BY58" s="145"/>
      <c r="BZ58" s="145"/>
      <c r="CA58" s="145"/>
      <c r="CB58" s="145"/>
      <c r="CC58" s="145"/>
      <c r="CD58" s="145"/>
      <c r="CE58" s="145"/>
      <c r="CF58" s="145"/>
      <c r="CG58" s="145"/>
      <c r="CH58" s="145"/>
      <c r="CI58" s="145"/>
      <c r="CJ58" s="145"/>
      <c r="CK58" s="145"/>
      <c r="CL58" s="145"/>
      <c r="CM58" s="145"/>
      <c r="CN58" s="145"/>
      <c r="CO58" s="145"/>
      <c r="CP58" s="145"/>
      <c r="CQ58" s="145"/>
      <c r="CR58" s="145"/>
      <c r="CS58" s="145"/>
      <c r="CT58" s="145"/>
      <c r="CU58" s="145"/>
      <c r="CV58" s="145"/>
      <c r="CW58" s="145"/>
      <c r="CX58" s="145"/>
      <c r="CY58" s="145"/>
      <c r="CZ58" s="145"/>
      <c r="DA58" s="145"/>
      <c r="DB58" s="145"/>
      <c r="DC58" s="145"/>
      <c r="DD58" s="145"/>
      <c r="DE58" s="145"/>
      <c r="DF58" s="145"/>
      <c r="DG58" s="145"/>
      <c r="DH58" s="145"/>
      <c r="DI58" s="145"/>
      <c r="DJ58" s="145"/>
      <c r="DK58" s="145"/>
      <c r="DL58" s="145"/>
      <c r="DM58" s="145"/>
      <c r="DN58" s="145"/>
      <c r="DO58" s="145"/>
      <c r="DP58" s="145"/>
      <c r="DQ58" s="145"/>
      <c r="DR58" s="145"/>
      <c r="DS58" s="145"/>
      <c r="DT58" s="145"/>
      <c r="DU58" s="145"/>
      <c r="DV58" s="145"/>
      <c r="DW58" s="145"/>
      <c r="DX58" s="145"/>
      <c r="DY58" s="145"/>
      <c r="DZ58" s="145"/>
      <c r="EA58" s="145"/>
      <c r="EB58" s="145"/>
      <c r="EC58" s="145"/>
      <c r="ED58" s="145"/>
      <c r="EE58" s="146">
        <v>0</v>
      </c>
    </row>
    <row r="59" spans="1:135" x14ac:dyDescent="0.25">
      <c r="A59" s="152">
        <f>SUMIF($C$1:$EE$1,"&lt;="&amp;Resumen!$K$19,'Flujo de caja mensual'!C59:EE59)</f>
        <v>0</v>
      </c>
      <c r="B59" s="5" t="s">
        <v>194</v>
      </c>
      <c r="C59" s="144"/>
      <c r="D59" s="145">
        <f>IF(D1=Resumen!$K$19,'Flujo de caja mensual'!D69,IF('Flujo de caja mensual'!D55&lt;0,MIN(-'Flujo de caja mensual'!D55,'Flujo de caja mensual'!D69),0))</f>
        <v>0</v>
      </c>
      <c r="E59" s="145">
        <f>IF(E1=Resumen!$K$19,'Flujo de caja mensual'!E69,IF('Flujo de caja mensual'!E55&lt;0,MIN(-'Flujo de caja mensual'!E55,'Flujo de caja mensual'!E69),0))</f>
        <v>0</v>
      </c>
      <c r="F59" s="145">
        <f>IF(F1=Resumen!$K$19,'Flujo de caja mensual'!F69,IF('Flujo de caja mensual'!F55&lt;0,MIN(-'Flujo de caja mensual'!F55,'Flujo de caja mensual'!F69),0))</f>
        <v>0</v>
      </c>
      <c r="G59" s="145">
        <f>IF(G1=Resumen!$K$19,'Flujo de caja mensual'!G69,IF('Flujo de caja mensual'!G55&lt;0,MIN(-'Flujo de caja mensual'!G55,'Flujo de caja mensual'!G69),0))</f>
        <v>0</v>
      </c>
      <c r="H59" s="145">
        <f>IF(H1=Resumen!$K$19,'Flujo de caja mensual'!H69,IF('Flujo de caja mensual'!H55&lt;0,MIN(-'Flujo de caja mensual'!H55,'Flujo de caja mensual'!H69),0))</f>
        <v>0</v>
      </c>
      <c r="I59" s="145">
        <f>IF(I1=Resumen!$K$19,'Flujo de caja mensual'!I69,IF('Flujo de caja mensual'!I55&lt;0,MIN(-'Flujo de caja mensual'!I55,'Flujo de caja mensual'!I69),0))</f>
        <v>0</v>
      </c>
      <c r="J59" s="145">
        <f>IF(J1=Resumen!$K$19,'Flujo de caja mensual'!J69,IF('Flujo de caja mensual'!J55&lt;0,MIN(-'Flujo de caja mensual'!J55,'Flujo de caja mensual'!J69),0))</f>
        <v>0</v>
      </c>
      <c r="K59" s="145">
        <f>IF(K1=Resumen!$K$19,'Flujo de caja mensual'!K69,IF('Flujo de caja mensual'!K55&lt;0,MIN(-'Flujo de caja mensual'!K55,'Flujo de caja mensual'!K69),0))</f>
        <v>0</v>
      </c>
      <c r="L59" s="145">
        <f>IF(L1=Resumen!$K$19,'Flujo de caja mensual'!L69,IF('Flujo de caja mensual'!L55&lt;0,MIN(-'Flujo de caja mensual'!L55,'Flujo de caja mensual'!L69),0))</f>
        <v>0</v>
      </c>
      <c r="M59" s="145">
        <f>IF(M1=Resumen!$K$19,'Flujo de caja mensual'!M69,IF('Flujo de caja mensual'!M55&lt;0,MIN(-'Flujo de caja mensual'!M55,'Flujo de caja mensual'!M69),0))</f>
        <v>0</v>
      </c>
      <c r="N59" s="145">
        <f>IF(N1=Resumen!$K$19,'Flujo de caja mensual'!N69,IF('Flujo de caja mensual'!N55&lt;0,MIN(-'Flujo de caja mensual'!N55,'Flujo de caja mensual'!N69),0))</f>
        <v>0</v>
      </c>
      <c r="O59" s="145">
        <f>IF(O1=Resumen!$K$19,'Flujo de caja mensual'!O69,IF('Flujo de caja mensual'!O55&lt;0,MIN(-'Flujo de caja mensual'!O55,'Flujo de caja mensual'!O69),0))</f>
        <v>0</v>
      </c>
      <c r="P59" s="145">
        <f>IF(P1=Resumen!$K$19,'Flujo de caja mensual'!P69,IF('Flujo de caja mensual'!P55&lt;0,MIN(-'Flujo de caja mensual'!P55,'Flujo de caja mensual'!P69),0))</f>
        <v>0</v>
      </c>
      <c r="Q59" s="145">
        <f>IF(Q1=Resumen!$K$19,'Flujo de caja mensual'!Q69,IF('Flujo de caja mensual'!Q55&lt;0,MIN(-'Flujo de caja mensual'!Q55,'Flujo de caja mensual'!Q69),0))</f>
        <v>0</v>
      </c>
      <c r="R59" s="145">
        <f>IF(R1=Resumen!$K$19,'Flujo de caja mensual'!R69,IF('Flujo de caja mensual'!R55&lt;0,MIN(-'Flujo de caja mensual'!R55,'Flujo de caja mensual'!R69),0))</f>
        <v>0</v>
      </c>
      <c r="S59" s="145">
        <f>IF(S1=Resumen!$K$19,'Flujo de caja mensual'!S69,IF('Flujo de caja mensual'!S55&lt;0,MIN(-'Flujo de caja mensual'!S55,'Flujo de caja mensual'!S69),0))</f>
        <v>0</v>
      </c>
      <c r="T59" s="145">
        <f>IF(T1=Resumen!$K$19,'Flujo de caja mensual'!T69,IF('Flujo de caja mensual'!T55&lt;0,MIN(-'Flujo de caja mensual'!T55,'Flujo de caja mensual'!T69),0))</f>
        <v>0</v>
      </c>
      <c r="U59" s="145">
        <f>IF(U1=Resumen!$K$19,'Flujo de caja mensual'!U69,IF('Flujo de caja mensual'!U55&lt;0,MIN(-'Flujo de caja mensual'!U55,'Flujo de caja mensual'!U69),0))</f>
        <v>0</v>
      </c>
      <c r="V59" s="145">
        <f>IF(V1=Resumen!$K$19,'Flujo de caja mensual'!V69,IF('Flujo de caja mensual'!V55&lt;0,MIN(-'Flujo de caja mensual'!V55,'Flujo de caja mensual'!V69),0))</f>
        <v>0</v>
      </c>
      <c r="W59" s="145">
        <f>IF(W1=Resumen!$K$19,'Flujo de caja mensual'!W69,IF('Flujo de caja mensual'!W55&lt;0,MIN(-'Flujo de caja mensual'!W55,'Flujo de caja mensual'!W69),0))</f>
        <v>0</v>
      </c>
      <c r="X59" s="145">
        <f>IF(X1=Resumen!$K$19,'Flujo de caja mensual'!X69,IF('Flujo de caja mensual'!X55&lt;0,MIN(-'Flujo de caja mensual'!X55,'Flujo de caja mensual'!X69),0))</f>
        <v>0</v>
      </c>
      <c r="Y59" s="145">
        <f>IF(Y1=Resumen!$K$19,'Flujo de caja mensual'!Y69,IF('Flujo de caja mensual'!Y55&lt;0,MIN(-'Flujo de caja mensual'!Y55,'Flujo de caja mensual'!Y69),0))</f>
        <v>0</v>
      </c>
      <c r="Z59" s="145">
        <f>IF(Z1=Resumen!$K$19,'Flujo de caja mensual'!Z69,IF('Flujo de caja mensual'!Z55&lt;0,MIN(-'Flujo de caja mensual'!Z55,'Flujo de caja mensual'!Z69),0))</f>
        <v>0</v>
      </c>
      <c r="AA59" s="145">
        <f>IF(AA1=Resumen!$K$19,'Flujo de caja mensual'!AA69,IF('Flujo de caja mensual'!AA55&lt;0,MIN(-'Flujo de caja mensual'!AA55,'Flujo de caja mensual'!AA69),0))</f>
        <v>0</v>
      </c>
      <c r="AB59" s="145">
        <f>IF(AB1=Resumen!$K$19,'Flujo de caja mensual'!AB69,IF('Flujo de caja mensual'!AB55&lt;0,MIN(-'Flujo de caja mensual'!AB55,'Flujo de caja mensual'!AB69),0))</f>
        <v>0</v>
      </c>
      <c r="AC59" s="145">
        <f>IF(AC1=Resumen!$K$19,'Flujo de caja mensual'!AC69,IF('Flujo de caja mensual'!AC55&lt;0,MIN(-'Flujo de caja mensual'!AC55,'Flujo de caja mensual'!AC69),0))</f>
        <v>0</v>
      </c>
      <c r="AD59" s="145">
        <f>IF(AD1=Resumen!$K$19,'Flujo de caja mensual'!AD69,IF('Flujo de caja mensual'!AD55&lt;0,MIN(-'Flujo de caja mensual'!AD55,'Flujo de caja mensual'!AD69),0))</f>
        <v>0</v>
      </c>
      <c r="AE59" s="145">
        <f>IF(AE1=Resumen!$K$19,'Flujo de caja mensual'!AE69,IF('Flujo de caja mensual'!AE55&lt;0,MIN(-'Flujo de caja mensual'!AE55,'Flujo de caja mensual'!AE69),0))</f>
        <v>0</v>
      </c>
      <c r="AF59" s="145">
        <f>IF(AF1=Resumen!$K$19,'Flujo de caja mensual'!AF69,IF('Flujo de caja mensual'!AF55&lt;0,MIN(-'Flujo de caja mensual'!AF55,'Flujo de caja mensual'!AF69),0))</f>
        <v>0</v>
      </c>
      <c r="AG59" s="145">
        <f>IF(AG1=Resumen!$K$19,'Flujo de caja mensual'!AG69,IF('Flujo de caja mensual'!AG55&lt;0,MIN(-'Flujo de caja mensual'!AG55,'Flujo de caja mensual'!AG69),0))</f>
        <v>0</v>
      </c>
      <c r="AH59" s="145">
        <f>IF(AH1=Resumen!$K$19,'Flujo de caja mensual'!AH69,IF('Flujo de caja mensual'!AH55&lt;0,MIN(-'Flujo de caja mensual'!AH55,'Flujo de caja mensual'!AH69),0))</f>
        <v>0</v>
      </c>
      <c r="AI59" s="145">
        <f>IF(AI1=Resumen!$K$19,'Flujo de caja mensual'!AI69,IF('Flujo de caja mensual'!AI55&lt;0,MIN(-'Flujo de caja mensual'!AI55,'Flujo de caja mensual'!AI69),0))</f>
        <v>0</v>
      </c>
      <c r="AJ59" s="145">
        <f>IF(AJ1=Resumen!$K$19,'Flujo de caja mensual'!AJ69,IF('Flujo de caja mensual'!AJ55&lt;0,MIN(-'Flujo de caja mensual'!AJ55,'Flujo de caja mensual'!AJ69),0))</f>
        <v>0</v>
      </c>
      <c r="AK59" s="145">
        <f>IF(AK1=Resumen!$K$19,'Flujo de caja mensual'!AK69,IF('Flujo de caja mensual'!AK55&lt;0,MIN(-'Flujo de caja mensual'!AK55,'Flujo de caja mensual'!AK69),0))</f>
        <v>0</v>
      </c>
      <c r="AL59" s="145">
        <f>IF(AL1=Resumen!$K$19,'Flujo de caja mensual'!AL69,IF('Flujo de caja mensual'!AL55&lt;0,MIN(-'Flujo de caja mensual'!AL55,'Flujo de caja mensual'!AL69),0))</f>
        <v>0</v>
      </c>
      <c r="AM59" s="145">
        <f>IF(AM1=Resumen!$K$19,'Flujo de caja mensual'!AM69,IF('Flujo de caja mensual'!AM55&lt;0,MIN(-'Flujo de caja mensual'!AM55,'Flujo de caja mensual'!AM69),0))</f>
        <v>0</v>
      </c>
      <c r="AN59" s="145">
        <f>IF(AN1=Resumen!$K$19,'Flujo de caja mensual'!AN69,IF('Flujo de caja mensual'!AN55&lt;0,MIN(-'Flujo de caja mensual'!AN55,'Flujo de caja mensual'!AN69),0))</f>
        <v>0</v>
      </c>
      <c r="AO59" s="145">
        <f>IF(AO1=Resumen!$K$19,'Flujo de caja mensual'!AO69,IF('Flujo de caja mensual'!AO55&lt;0,MIN(-'Flujo de caja mensual'!AO55,'Flujo de caja mensual'!AO69),0))</f>
        <v>0</v>
      </c>
      <c r="AP59" s="145">
        <f>IF(AP1=Resumen!$K$19,'Flujo de caja mensual'!AP69,IF('Flujo de caja mensual'!AP55&lt;0,MIN(-'Flujo de caja mensual'!AP55,'Flujo de caja mensual'!AP69),0))</f>
        <v>0</v>
      </c>
      <c r="AQ59" s="145">
        <f>IF(AQ1=Resumen!$K$19,'Flujo de caja mensual'!AQ69,IF('Flujo de caja mensual'!AQ55&lt;0,MIN(-'Flujo de caja mensual'!AQ55,'Flujo de caja mensual'!AQ69),0))</f>
        <v>0</v>
      </c>
      <c r="AR59" s="145">
        <f>IF(AR1=Resumen!$K$19,'Flujo de caja mensual'!AR69,IF('Flujo de caja mensual'!AR55&lt;0,MIN(-'Flujo de caja mensual'!AR55,'Flujo de caja mensual'!AR69),0))</f>
        <v>0</v>
      </c>
      <c r="AS59" s="145">
        <f>IF(AS1=Resumen!$K$19,'Flujo de caja mensual'!AS69,IF('Flujo de caja mensual'!AS55&lt;0,MIN(-'Flujo de caja mensual'!AS55,'Flujo de caja mensual'!AS69),0))</f>
        <v>0</v>
      </c>
      <c r="AT59" s="145">
        <f>IF(AT1=Resumen!$K$19,'Flujo de caja mensual'!AT69,IF('Flujo de caja mensual'!AT55&lt;0,MIN(-'Flujo de caja mensual'!AT55,'Flujo de caja mensual'!AT69),0))</f>
        <v>0</v>
      </c>
      <c r="AU59" s="145">
        <f>IF(AU1=Resumen!$K$19,'Flujo de caja mensual'!AU69,IF('Flujo de caja mensual'!AU55&lt;0,MIN(-'Flujo de caja mensual'!AU55,'Flujo de caja mensual'!AU69),0))</f>
        <v>0</v>
      </c>
      <c r="AV59" s="145">
        <f>IF(AV1=Resumen!$K$19,'Flujo de caja mensual'!AV69,IF('Flujo de caja mensual'!AV55&lt;0,MIN(-'Flujo de caja mensual'!AV55,'Flujo de caja mensual'!AV69),0))</f>
        <v>0</v>
      </c>
      <c r="AW59" s="145">
        <f>IF(AW1=Resumen!$K$19,'Flujo de caja mensual'!AW69,IF('Flujo de caja mensual'!AW55&lt;0,MIN(-'Flujo de caja mensual'!AW55,'Flujo de caja mensual'!AW69),0))</f>
        <v>0</v>
      </c>
      <c r="AX59" s="145">
        <f>IF(AX1=Resumen!$K$19,'Flujo de caja mensual'!AX69,IF('Flujo de caja mensual'!AX55&lt;0,MIN(-'Flujo de caja mensual'!AX55,'Flujo de caja mensual'!AX69),0))</f>
        <v>0</v>
      </c>
      <c r="AY59" s="145">
        <f>IF(AY1=Resumen!$K$19,'Flujo de caja mensual'!AY69,IF('Flujo de caja mensual'!AY55&lt;0,MIN(-'Flujo de caja mensual'!AY55,'Flujo de caja mensual'!AY69),0))</f>
        <v>0</v>
      </c>
      <c r="AZ59" s="145">
        <f>IF(AZ1=Resumen!$K$19,'Flujo de caja mensual'!AZ69,IF('Flujo de caja mensual'!AZ55&lt;0,MIN(-'Flujo de caja mensual'!AZ55,'Flujo de caja mensual'!AZ69),0))</f>
        <v>0</v>
      </c>
      <c r="BA59" s="145">
        <f>IF(BA1=Resumen!$K$19,'Flujo de caja mensual'!BA69,IF('Flujo de caja mensual'!BA55&lt;0,MIN(-'Flujo de caja mensual'!BA55,'Flujo de caja mensual'!BA69),0))</f>
        <v>0</v>
      </c>
      <c r="BB59" s="145">
        <f>IF(BB1=Resumen!$K$19,'Flujo de caja mensual'!BB69,IF('Flujo de caja mensual'!BB55&lt;0,MIN(-'Flujo de caja mensual'!BB55,'Flujo de caja mensual'!BB69),0))</f>
        <v>0</v>
      </c>
      <c r="BC59" s="145">
        <f>IF(BC1=Resumen!$K$19,'Flujo de caja mensual'!BC69,IF('Flujo de caja mensual'!BC55&lt;0,MIN(-'Flujo de caja mensual'!BC55,'Flujo de caja mensual'!BC69),0))</f>
        <v>0</v>
      </c>
      <c r="BD59" s="145">
        <f>IF(BD1=Resumen!$K$19,'Flujo de caja mensual'!BD69,IF('Flujo de caja mensual'!BD55&lt;0,MIN(-'Flujo de caja mensual'!BD55,'Flujo de caja mensual'!BD69),0))</f>
        <v>0</v>
      </c>
      <c r="BE59" s="145">
        <f>IF(BE1=Resumen!$K$19,'Flujo de caja mensual'!BE69,IF('Flujo de caja mensual'!BE55&lt;0,MIN(-'Flujo de caja mensual'!BE55,'Flujo de caja mensual'!BE69),0))</f>
        <v>0</v>
      </c>
      <c r="BF59" s="145">
        <f>IF(BF1=Resumen!$K$19,'Flujo de caja mensual'!BF69,IF('Flujo de caja mensual'!BF55&lt;0,MIN(-'Flujo de caja mensual'!BF55,'Flujo de caja mensual'!BF69),0))</f>
        <v>0</v>
      </c>
      <c r="BG59" s="145">
        <f>IF(BG1=Resumen!$K$19,'Flujo de caja mensual'!BG69,IF('Flujo de caja mensual'!BG55&lt;0,MIN(-'Flujo de caja mensual'!BG55,'Flujo de caja mensual'!BG69),0))</f>
        <v>0</v>
      </c>
      <c r="BH59" s="145">
        <f>IF(BH1=Resumen!$K$19,'Flujo de caja mensual'!BH69,IF('Flujo de caja mensual'!BH55&lt;0,MIN(-'Flujo de caja mensual'!BH55,'Flujo de caja mensual'!BH69),0))</f>
        <v>0</v>
      </c>
      <c r="BI59" s="145">
        <f>IF(BI1=Resumen!$K$19,'Flujo de caja mensual'!BI69,IF('Flujo de caja mensual'!BI55&lt;0,MIN(-'Flujo de caja mensual'!BI55,'Flujo de caja mensual'!BI69),0))</f>
        <v>0</v>
      </c>
      <c r="BJ59" s="145">
        <f>IF(BJ1=Resumen!$K$19,'Flujo de caja mensual'!BJ69,IF('Flujo de caja mensual'!BJ55&lt;0,MIN(-'Flujo de caja mensual'!BJ55,'Flujo de caja mensual'!BJ69),0))</f>
        <v>0</v>
      </c>
      <c r="BK59" s="145">
        <f>IF(BK1=Resumen!$K$19,'Flujo de caja mensual'!BK69,IF('Flujo de caja mensual'!BK55&lt;0,MIN(-'Flujo de caja mensual'!BK55,'Flujo de caja mensual'!BK69),0))</f>
        <v>0</v>
      </c>
      <c r="BL59" s="145">
        <f>IF(BL1=Resumen!$K$19,'Flujo de caja mensual'!BL69,IF('Flujo de caja mensual'!BL55&lt;0,MIN(-'Flujo de caja mensual'!BL55,'Flujo de caja mensual'!BL69),0))</f>
        <v>0</v>
      </c>
      <c r="BM59" s="145">
        <f>IF(BM1=Resumen!$K$19,'Flujo de caja mensual'!BM69,IF('Flujo de caja mensual'!BM55&lt;0,MIN(-'Flujo de caja mensual'!BM55,'Flujo de caja mensual'!BM69),0))</f>
        <v>0</v>
      </c>
      <c r="BN59" s="145">
        <f>IF(BN1=Resumen!$K$19,'Flujo de caja mensual'!BN69,IF('Flujo de caja mensual'!BN55&lt;0,MIN(-'Flujo de caja mensual'!BN55,'Flujo de caja mensual'!BN69),0))</f>
        <v>0</v>
      </c>
      <c r="BO59" s="145">
        <f>IF(BO1=Resumen!$K$19,'Flujo de caja mensual'!BO69,IF('Flujo de caja mensual'!BO55&lt;0,MIN(-'Flujo de caja mensual'!BO55,'Flujo de caja mensual'!BO69),0))</f>
        <v>0</v>
      </c>
      <c r="BP59" s="145">
        <f>IF(BP1=Resumen!$K$19,'Flujo de caja mensual'!BP69,IF('Flujo de caja mensual'!BP55&lt;0,MIN(-'Flujo de caja mensual'!BP55,'Flujo de caja mensual'!BP69),0))</f>
        <v>0</v>
      </c>
      <c r="BQ59" s="145">
        <f>IF(BQ1=Resumen!$K$19,'Flujo de caja mensual'!BQ69,IF('Flujo de caja mensual'!BQ55&lt;0,MIN(-'Flujo de caja mensual'!BQ55,'Flujo de caja mensual'!BQ69),0))</f>
        <v>0</v>
      </c>
      <c r="BR59" s="145">
        <f>IF(BR1=Resumen!$K$19,'Flujo de caja mensual'!BR69,IF('Flujo de caja mensual'!BR55&lt;0,MIN(-'Flujo de caja mensual'!BR55,'Flujo de caja mensual'!BR69),0))</f>
        <v>0</v>
      </c>
      <c r="BS59" s="145">
        <f>IF(BS1=Resumen!$K$19,'Flujo de caja mensual'!BS69,IF('Flujo de caja mensual'!BS55&lt;0,MIN(-'Flujo de caja mensual'!BS55,'Flujo de caja mensual'!BS69),0))</f>
        <v>0</v>
      </c>
      <c r="BT59" s="145">
        <f>IF(BT1=Resumen!$K$19,'Flujo de caja mensual'!BT69,IF('Flujo de caja mensual'!BT55&lt;0,MIN(-'Flujo de caja mensual'!BT55,'Flujo de caja mensual'!BT69),0))</f>
        <v>0</v>
      </c>
      <c r="BU59" s="145">
        <f>IF(BU1=Resumen!$K$19,'Flujo de caja mensual'!BU69,IF('Flujo de caja mensual'!BU55&lt;0,MIN(-'Flujo de caja mensual'!BU55,'Flujo de caja mensual'!BU69),0))</f>
        <v>0</v>
      </c>
      <c r="BV59" s="145">
        <f>IF(BV1=Resumen!$K$19,'Flujo de caja mensual'!BV69,IF('Flujo de caja mensual'!BV55&lt;0,MIN(-'Flujo de caja mensual'!BV55,'Flujo de caja mensual'!BV69),0))</f>
        <v>0</v>
      </c>
      <c r="BW59" s="145">
        <f>IF(BW1=Resumen!$K$19,'Flujo de caja mensual'!BW69,IF('Flujo de caja mensual'!BW55&lt;0,MIN(-'Flujo de caja mensual'!BW55,'Flujo de caja mensual'!BW69),0))</f>
        <v>0</v>
      </c>
      <c r="BX59" s="145">
        <f>IF(BX1=Resumen!$K$19,'Flujo de caja mensual'!BX69,IF('Flujo de caja mensual'!BX55&lt;0,MIN(-'Flujo de caja mensual'!BX55,'Flujo de caja mensual'!BX69),0))</f>
        <v>0</v>
      </c>
      <c r="BY59" s="145">
        <f>IF(BY1=Resumen!$K$19,'Flujo de caja mensual'!BY69,IF('Flujo de caja mensual'!BY55&lt;0,MIN(-'Flujo de caja mensual'!BY55,'Flujo de caja mensual'!BY69),0))</f>
        <v>0</v>
      </c>
      <c r="BZ59" s="145">
        <f>IF(BZ1=Resumen!$K$19,'Flujo de caja mensual'!BZ69,IF('Flujo de caja mensual'!BZ55&lt;0,MIN(-'Flujo de caja mensual'!BZ55,'Flujo de caja mensual'!BZ69),0))</f>
        <v>0</v>
      </c>
      <c r="CA59" s="145">
        <f>IF(CA1=Resumen!$K$19,'Flujo de caja mensual'!CA69,IF('Flujo de caja mensual'!CA55&lt;0,MIN(-'Flujo de caja mensual'!CA55,'Flujo de caja mensual'!CA69),0))</f>
        <v>0</v>
      </c>
      <c r="CB59" s="145">
        <f>IF(CB1=Resumen!$K$19,'Flujo de caja mensual'!CB69,IF('Flujo de caja mensual'!CB55&lt;0,MIN(-'Flujo de caja mensual'!CB55,'Flujo de caja mensual'!CB69),0))</f>
        <v>0</v>
      </c>
      <c r="CC59" s="145">
        <f>IF(CC1=Resumen!$K$19,'Flujo de caja mensual'!CC69,IF('Flujo de caja mensual'!CC55&lt;0,MIN(-'Flujo de caja mensual'!CC55,'Flujo de caja mensual'!CC69),0))</f>
        <v>0</v>
      </c>
      <c r="CD59" s="145">
        <f>IF(CD1=Resumen!$K$19,'Flujo de caja mensual'!CD69,IF('Flujo de caja mensual'!CD55&lt;0,MIN(-'Flujo de caja mensual'!CD55,'Flujo de caja mensual'!CD69),0))</f>
        <v>0</v>
      </c>
      <c r="CE59" s="145">
        <f>IF(CE1=Resumen!$K$19,'Flujo de caja mensual'!CE69,IF('Flujo de caja mensual'!CE55&lt;0,MIN(-'Flujo de caja mensual'!CE55,'Flujo de caja mensual'!CE69),0))</f>
        <v>0</v>
      </c>
      <c r="CF59" s="145">
        <f>IF(CF1=Resumen!$K$19,'Flujo de caja mensual'!CF69,IF('Flujo de caja mensual'!CF55&lt;0,MIN(-'Flujo de caja mensual'!CF55,'Flujo de caja mensual'!CF69),0))</f>
        <v>0</v>
      </c>
      <c r="CG59" s="145">
        <f>IF(CG1=Resumen!$K$19,'Flujo de caja mensual'!CG69,IF('Flujo de caja mensual'!CG55&lt;0,MIN(-'Flujo de caja mensual'!CG55,'Flujo de caja mensual'!CG69),0))</f>
        <v>0</v>
      </c>
      <c r="CH59" s="145">
        <f>IF(CH1=Resumen!$K$19,'Flujo de caja mensual'!CH69,IF('Flujo de caja mensual'!CH55&lt;0,MIN(-'Flujo de caja mensual'!CH55,'Flujo de caja mensual'!CH69),0))</f>
        <v>0</v>
      </c>
      <c r="CI59" s="145">
        <f>IF(CI1=Resumen!$K$19,'Flujo de caja mensual'!CI69,IF('Flujo de caja mensual'!CI55&lt;0,MIN(-'Flujo de caja mensual'!CI55,'Flujo de caja mensual'!CI69),0))</f>
        <v>0</v>
      </c>
      <c r="CJ59" s="145">
        <f>IF(CJ1=Resumen!$K$19,'Flujo de caja mensual'!CJ69,IF('Flujo de caja mensual'!CJ55&lt;0,MIN(-'Flujo de caja mensual'!CJ55,'Flujo de caja mensual'!CJ69),0))</f>
        <v>0</v>
      </c>
      <c r="CK59" s="145">
        <f>IF(CK1=Resumen!$K$19,'Flujo de caja mensual'!CK69,IF('Flujo de caja mensual'!CK55&lt;0,MIN(-'Flujo de caja mensual'!CK55,'Flujo de caja mensual'!CK69),0))</f>
        <v>0</v>
      </c>
      <c r="CL59" s="145">
        <f>IF(CL1=Resumen!$K$19,'Flujo de caja mensual'!CL69,IF('Flujo de caja mensual'!CL55&lt;0,MIN(-'Flujo de caja mensual'!CL55,'Flujo de caja mensual'!CL69),0))</f>
        <v>0</v>
      </c>
      <c r="CM59" s="145">
        <f>IF(CM1=Resumen!$K$19,'Flujo de caja mensual'!CM69,IF('Flujo de caja mensual'!CM55&lt;0,MIN(-'Flujo de caja mensual'!CM55,'Flujo de caja mensual'!CM69),0))</f>
        <v>0</v>
      </c>
      <c r="CN59" s="145">
        <f>IF(CN1=Resumen!$K$19,'Flujo de caja mensual'!CN69,IF('Flujo de caja mensual'!CN55&lt;0,MIN(-'Flujo de caja mensual'!CN55,'Flujo de caja mensual'!CN69),0))</f>
        <v>0</v>
      </c>
      <c r="CO59" s="145">
        <f>IF(CO1=Resumen!$K$19,'Flujo de caja mensual'!CO69,IF('Flujo de caja mensual'!CO55&lt;0,MIN(-'Flujo de caja mensual'!CO55,'Flujo de caja mensual'!CO69),0))</f>
        <v>0</v>
      </c>
      <c r="CP59" s="145">
        <f>IF(CP1=Resumen!$K$19,'Flujo de caja mensual'!CP69,IF('Flujo de caja mensual'!CP55&lt;0,MIN(-'Flujo de caja mensual'!CP55,'Flujo de caja mensual'!CP69),0))</f>
        <v>0</v>
      </c>
      <c r="CQ59" s="145">
        <f>IF(CQ1=Resumen!$K$19,'Flujo de caja mensual'!CQ69,IF('Flujo de caja mensual'!CQ55&lt;0,MIN(-'Flujo de caja mensual'!CQ55,'Flujo de caja mensual'!CQ69),0))</f>
        <v>0</v>
      </c>
      <c r="CR59" s="145">
        <f>IF(CR1=Resumen!$K$19,'Flujo de caja mensual'!CR69,IF('Flujo de caja mensual'!CR55&lt;0,MIN(-'Flujo de caja mensual'!CR55,'Flujo de caja mensual'!CR69),0))</f>
        <v>0</v>
      </c>
      <c r="CS59" s="145">
        <f>IF(CS1=Resumen!$K$19,'Flujo de caja mensual'!CS69,IF('Flujo de caja mensual'!CS55&lt;0,MIN(-'Flujo de caja mensual'!CS55,'Flujo de caja mensual'!CS69),0))</f>
        <v>0</v>
      </c>
      <c r="CT59" s="145">
        <f>IF(CT1=Resumen!$K$19,'Flujo de caja mensual'!CT69,IF('Flujo de caja mensual'!CT55&lt;0,MIN(-'Flujo de caja mensual'!CT55,'Flujo de caja mensual'!CT69),0))</f>
        <v>0</v>
      </c>
      <c r="CU59" s="145">
        <f>IF(CU1=Resumen!$K$19,'Flujo de caja mensual'!CU69,IF('Flujo de caja mensual'!CU55&lt;0,MIN(-'Flujo de caja mensual'!CU55,'Flujo de caja mensual'!CU69),0))</f>
        <v>0</v>
      </c>
      <c r="CV59" s="145">
        <f>IF(CV1=Resumen!$K$19,'Flujo de caja mensual'!CV69,IF('Flujo de caja mensual'!CV55&lt;0,MIN(-'Flujo de caja mensual'!CV55,'Flujo de caja mensual'!CV69),0))</f>
        <v>0</v>
      </c>
      <c r="CW59" s="145">
        <f>IF(CW1=Resumen!$K$19,'Flujo de caja mensual'!CW69,IF('Flujo de caja mensual'!CW55&lt;0,MIN(-'Flujo de caja mensual'!CW55,'Flujo de caja mensual'!CW69),0))</f>
        <v>0</v>
      </c>
      <c r="CX59" s="145">
        <f>IF(CX1=Resumen!$K$19,'Flujo de caja mensual'!CX69,IF('Flujo de caja mensual'!CX55&lt;0,MIN(-'Flujo de caja mensual'!CX55,'Flujo de caja mensual'!CX69),0))</f>
        <v>0</v>
      </c>
      <c r="CY59" s="145">
        <f>IF(CY1=Resumen!$K$19,'Flujo de caja mensual'!CY69,IF('Flujo de caja mensual'!CY55&lt;0,MIN(-'Flujo de caja mensual'!CY55,'Flujo de caja mensual'!CY69),0))</f>
        <v>0</v>
      </c>
      <c r="CZ59" s="145">
        <f>IF(CZ1=Resumen!$K$19,'Flujo de caja mensual'!CZ69,IF('Flujo de caja mensual'!CZ55&lt;0,MIN(-'Flujo de caja mensual'!CZ55,'Flujo de caja mensual'!CZ69),0))</f>
        <v>0</v>
      </c>
      <c r="DA59" s="145">
        <f>IF(DA1=Resumen!$K$19,'Flujo de caja mensual'!DA69,IF('Flujo de caja mensual'!DA55&lt;0,MIN(-'Flujo de caja mensual'!DA55,'Flujo de caja mensual'!DA69),0))</f>
        <v>0</v>
      </c>
      <c r="DB59" s="145">
        <f>IF(DB1=Resumen!$K$19,'Flujo de caja mensual'!DB69,IF('Flujo de caja mensual'!DB55&lt;0,MIN(-'Flujo de caja mensual'!DB55,'Flujo de caja mensual'!DB69),0))</f>
        <v>0</v>
      </c>
      <c r="DC59" s="145">
        <f>IF(DC1=Resumen!$K$19,'Flujo de caja mensual'!DC69,IF('Flujo de caja mensual'!DC55&lt;0,MIN(-'Flujo de caja mensual'!DC55,'Flujo de caja mensual'!DC69),0))</f>
        <v>0</v>
      </c>
      <c r="DD59" s="145">
        <f>IF(DD1=Resumen!$K$19,'Flujo de caja mensual'!DD69,IF('Flujo de caja mensual'!DD55&lt;0,MIN(-'Flujo de caja mensual'!DD55,'Flujo de caja mensual'!DD69),0))</f>
        <v>0</v>
      </c>
      <c r="DE59" s="145">
        <f>IF(DE1=Resumen!$K$19,'Flujo de caja mensual'!DE69,IF('Flujo de caja mensual'!DE55&lt;0,MIN(-'Flujo de caja mensual'!DE55,'Flujo de caja mensual'!DE69),0))</f>
        <v>0</v>
      </c>
      <c r="DF59" s="145">
        <f>IF(DF1=Resumen!$K$19,'Flujo de caja mensual'!DF69,IF('Flujo de caja mensual'!DF55&lt;0,MIN(-'Flujo de caja mensual'!DF55,'Flujo de caja mensual'!DF69),0))</f>
        <v>0</v>
      </c>
      <c r="DG59" s="145">
        <f>IF(DG1=Resumen!$K$19,'Flujo de caja mensual'!DG69,IF('Flujo de caja mensual'!DG55&lt;0,MIN(-'Flujo de caja mensual'!DG55,'Flujo de caja mensual'!DG69),0))</f>
        <v>0</v>
      </c>
      <c r="DH59" s="145">
        <f>IF(DH1=Resumen!$K$19,'Flujo de caja mensual'!DH69,IF('Flujo de caja mensual'!DH55&lt;0,MIN(-'Flujo de caja mensual'!DH55,'Flujo de caja mensual'!DH69),0))</f>
        <v>0</v>
      </c>
      <c r="DI59" s="145">
        <f>IF(DI1=Resumen!$K$19,'Flujo de caja mensual'!DI69,IF('Flujo de caja mensual'!DI55&lt;0,MIN(-'Flujo de caja mensual'!DI55,'Flujo de caja mensual'!DI69),0))</f>
        <v>0</v>
      </c>
      <c r="DJ59" s="145">
        <f>IF(DJ1=Resumen!$K$19,'Flujo de caja mensual'!DJ69,IF('Flujo de caja mensual'!DJ55&lt;0,MIN(-'Flujo de caja mensual'!DJ55,'Flujo de caja mensual'!DJ69),0))</f>
        <v>0</v>
      </c>
      <c r="DK59" s="145">
        <f>IF(DK1=Resumen!$K$19,'Flujo de caja mensual'!DK69,IF('Flujo de caja mensual'!DK55&lt;0,MIN(-'Flujo de caja mensual'!DK55,'Flujo de caja mensual'!DK69),0))</f>
        <v>0</v>
      </c>
      <c r="DL59" s="145">
        <f>IF(DL1=Resumen!$K$19,'Flujo de caja mensual'!DL69,IF('Flujo de caja mensual'!DL55&lt;0,MIN(-'Flujo de caja mensual'!DL55,'Flujo de caja mensual'!DL69),0))</f>
        <v>0</v>
      </c>
      <c r="DM59" s="145">
        <f>IF(DM1=Resumen!$K$19,'Flujo de caja mensual'!DM69,IF('Flujo de caja mensual'!DM55&lt;0,MIN(-'Flujo de caja mensual'!DM55,'Flujo de caja mensual'!DM69),0))</f>
        <v>0</v>
      </c>
      <c r="DN59" s="145">
        <f>IF(DN1=Resumen!$K$19,'Flujo de caja mensual'!DN69,IF('Flujo de caja mensual'!DN55&lt;0,MIN(-'Flujo de caja mensual'!DN55,'Flujo de caja mensual'!DN69),0))</f>
        <v>0</v>
      </c>
      <c r="DO59" s="145">
        <f>IF(DO1=Resumen!$K$19,'Flujo de caja mensual'!DO69,IF('Flujo de caja mensual'!DO55&lt;0,MIN(-'Flujo de caja mensual'!DO55,'Flujo de caja mensual'!DO69),0))</f>
        <v>0</v>
      </c>
      <c r="DP59" s="145">
        <f>IF(DP1=Resumen!$K$19,'Flujo de caja mensual'!DP69,IF('Flujo de caja mensual'!DP55&lt;0,MIN(-'Flujo de caja mensual'!DP55,'Flujo de caja mensual'!DP69),0))</f>
        <v>0</v>
      </c>
      <c r="DQ59" s="145">
        <f>IF(DQ1=Resumen!$K$19,'Flujo de caja mensual'!DQ69,IF('Flujo de caja mensual'!DQ55&lt;0,MIN(-'Flujo de caja mensual'!DQ55,'Flujo de caja mensual'!DQ69),0))</f>
        <v>0</v>
      </c>
      <c r="DR59" s="145">
        <f>IF(DR1=Resumen!$K$19,'Flujo de caja mensual'!DR69,IF('Flujo de caja mensual'!DR55&lt;0,MIN(-'Flujo de caja mensual'!DR55,'Flujo de caja mensual'!DR69),0))</f>
        <v>0</v>
      </c>
      <c r="DS59" s="145">
        <f>IF(DS1=Resumen!$K$19,'Flujo de caja mensual'!DS69,IF('Flujo de caja mensual'!DS55&lt;0,MIN(-'Flujo de caja mensual'!DS55,'Flujo de caja mensual'!DS69),0))</f>
        <v>0</v>
      </c>
      <c r="DT59" s="145">
        <f>IF(DT1=Resumen!$K$19,'Flujo de caja mensual'!DT69,IF('Flujo de caja mensual'!DT55&lt;0,MIN(-'Flujo de caja mensual'!DT55,'Flujo de caja mensual'!DT69),0))</f>
        <v>0</v>
      </c>
      <c r="DU59" s="145">
        <f>IF(DU1=Resumen!$K$19,'Flujo de caja mensual'!DU69,IF('Flujo de caja mensual'!DU55&lt;0,MIN(-'Flujo de caja mensual'!DU55,'Flujo de caja mensual'!DU69),0))</f>
        <v>0</v>
      </c>
      <c r="DV59" s="145">
        <f>IF(DV1=Resumen!$K$19,'Flujo de caja mensual'!DV69,IF('Flujo de caja mensual'!DV55&lt;0,MIN(-'Flujo de caja mensual'!DV55,'Flujo de caja mensual'!DV69),0))</f>
        <v>0</v>
      </c>
      <c r="DW59" s="145">
        <f>IF(DW1=Resumen!$K$19,'Flujo de caja mensual'!DW69,IF('Flujo de caja mensual'!DW55&lt;0,MIN(-'Flujo de caja mensual'!DW55,'Flujo de caja mensual'!DW69),0))</f>
        <v>0</v>
      </c>
      <c r="DX59" s="145">
        <f>IF(DX1=Resumen!$K$19,'Flujo de caja mensual'!DX69,IF('Flujo de caja mensual'!DX55&lt;0,MIN(-'Flujo de caja mensual'!DX55,'Flujo de caja mensual'!DX69),0))</f>
        <v>0</v>
      </c>
      <c r="DY59" s="145">
        <f>IF(DY1=Resumen!$K$19,'Flujo de caja mensual'!DY69,IF('Flujo de caja mensual'!DY55&lt;0,MIN(-'Flujo de caja mensual'!DY55,'Flujo de caja mensual'!DY69),0))</f>
        <v>0</v>
      </c>
      <c r="DZ59" s="145">
        <f>IF(DZ1=Resumen!$K$19,'Flujo de caja mensual'!DZ69,IF('Flujo de caja mensual'!DZ55&lt;0,MIN(-'Flujo de caja mensual'!DZ55,'Flujo de caja mensual'!DZ69),0))</f>
        <v>0</v>
      </c>
      <c r="EA59" s="145">
        <f>IF(EA1=Resumen!$K$19,'Flujo de caja mensual'!EA69,IF('Flujo de caja mensual'!EA55&lt;0,MIN(-'Flujo de caja mensual'!EA55,'Flujo de caja mensual'!EA69),0))</f>
        <v>0</v>
      </c>
      <c r="EB59" s="145">
        <f>IF(EB1=Resumen!$K$19,'Flujo de caja mensual'!EB69,IF('Flujo de caja mensual'!EB55&lt;0,MIN(-'Flujo de caja mensual'!EB55,'Flujo de caja mensual'!EB69),0))</f>
        <v>0</v>
      </c>
      <c r="EC59" s="145">
        <f>IF(EC1=Resumen!$K$19,'Flujo de caja mensual'!EC69,IF('Flujo de caja mensual'!EC55&lt;0,MIN(-'Flujo de caja mensual'!EC55,'Flujo de caja mensual'!EC69),0))</f>
        <v>0</v>
      </c>
      <c r="ED59" s="145">
        <f>IF(ED1=Resumen!$K$19,'Flujo de caja mensual'!ED69,IF('Flujo de caja mensual'!ED55&lt;0,MIN(-'Flujo de caja mensual'!ED55,'Flujo de caja mensual'!ED69),0))</f>
        <v>0</v>
      </c>
      <c r="EE59" s="146">
        <f>IF(EE1=Resumen!$K$19,'Flujo de caja mensual'!EE69,IF('Flujo de caja mensual'!EE55&lt;0,MIN(-'Flujo de caja mensual'!EE55,'Flujo de caja mensual'!EE69),0))</f>
        <v>0</v>
      </c>
    </row>
    <row r="60" spans="1:135" x14ac:dyDescent="0.25">
      <c r="B60" s="5"/>
      <c r="C60" s="144"/>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145"/>
      <c r="CK60" s="145"/>
      <c r="CL60" s="145"/>
      <c r="CM60" s="145"/>
      <c r="CN60" s="145"/>
      <c r="CO60" s="145"/>
      <c r="CP60" s="145"/>
      <c r="CQ60" s="145"/>
      <c r="CR60" s="145"/>
      <c r="CS60" s="145"/>
      <c r="CT60" s="145"/>
      <c r="CU60" s="145"/>
      <c r="CV60" s="145"/>
      <c r="CW60" s="145"/>
      <c r="CX60" s="145"/>
      <c r="CY60" s="145"/>
      <c r="CZ60" s="145"/>
      <c r="DA60" s="145"/>
      <c r="DB60" s="145"/>
      <c r="DC60" s="145"/>
      <c r="DD60" s="145"/>
      <c r="DE60" s="145"/>
      <c r="DF60" s="145"/>
      <c r="DG60" s="145"/>
      <c r="DH60" s="145"/>
      <c r="DI60" s="145"/>
      <c r="DJ60" s="145"/>
      <c r="DK60" s="145"/>
      <c r="DL60" s="145"/>
      <c r="DM60" s="145"/>
      <c r="DN60" s="145"/>
      <c r="DO60" s="145"/>
      <c r="DP60" s="145"/>
      <c r="DQ60" s="145"/>
      <c r="DR60" s="145"/>
      <c r="DS60" s="145"/>
      <c r="DT60" s="145"/>
      <c r="DU60" s="145"/>
      <c r="DV60" s="145"/>
      <c r="DW60" s="145"/>
      <c r="DX60" s="145"/>
      <c r="DY60" s="145"/>
      <c r="DZ60" s="145"/>
      <c r="EA60" s="145"/>
      <c r="EB60" s="145"/>
      <c r="EC60" s="145"/>
      <c r="ED60" s="145"/>
      <c r="EE60" s="146"/>
    </row>
    <row r="61" spans="1:135" x14ac:dyDescent="0.25">
      <c r="B61" s="140" t="s">
        <v>47</v>
      </c>
      <c r="C61" s="144"/>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c r="BJ61" s="145"/>
      <c r="BK61" s="145"/>
      <c r="BL61" s="145"/>
      <c r="BM61" s="145"/>
      <c r="BN61" s="145"/>
      <c r="BO61" s="145"/>
      <c r="BP61" s="145"/>
      <c r="BQ61" s="145"/>
      <c r="BR61" s="145"/>
      <c r="BS61" s="145"/>
      <c r="BT61" s="145"/>
      <c r="BU61" s="145"/>
      <c r="BV61" s="145"/>
      <c r="BW61" s="145"/>
      <c r="BX61" s="145"/>
      <c r="BY61" s="145"/>
      <c r="BZ61" s="145"/>
      <c r="CA61" s="145"/>
      <c r="CB61" s="145"/>
      <c r="CC61" s="145"/>
      <c r="CD61" s="145"/>
      <c r="CE61" s="145"/>
      <c r="CF61" s="145"/>
      <c r="CG61" s="145"/>
      <c r="CH61" s="145"/>
      <c r="CI61" s="145"/>
      <c r="CJ61" s="145"/>
      <c r="CK61" s="145"/>
      <c r="CL61" s="145"/>
      <c r="CM61" s="145"/>
      <c r="CN61" s="145"/>
      <c r="CO61" s="145"/>
      <c r="CP61" s="145"/>
      <c r="CQ61" s="145"/>
      <c r="CR61" s="145"/>
      <c r="CS61" s="145"/>
      <c r="CT61" s="145"/>
      <c r="CU61" s="145"/>
      <c r="CV61" s="145"/>
      <c r="CW61" s="145"/>
      <c r="CX61" s="145"/>
      <c r="CY61" s="145"/>
      <c r="CZ61" s="145"/>
      <c r="DA61" s="145"/>
      <c r="DB61" s="145"/>
      <c r="DC61" s="145"/>
      <c r="DD61" s="145"/>
      <c r="DE61" s="145"/>
      <c r="DF61" s="145"/>
      <c r="DG61" s="145"/>
      <c r="DH61" s="145"/>
      <c r="DI61" s="145"/>
      <c r="DJ61" s="145"/>
      <c r="DK61" s="145"/>
      <c r="DL61" s="145"/>
      <c r="DM61" s="145"/>
      <c r="DN61" s="145"/>
      <c r="DO61" s="145"/>
      <c r="DP61" s="145"/>
      <c r="DQ61" s="145"/>
      <c r="DR61" s="145"/>
      <c r="DS61" s="145"/>
      <c r="DT61" s="145"/>
      <c r="DU61" s="145"/>
      <c r="DV61" s="145"/>
      <c r="DW61" s="145"/>
      <c r="DX61" s="145"/>
      <c r="DY61" s="145"/>
      <c r="DZ61" s="145"/>
      <c r="EA61" s="145"/>
      <c r="EB61" s="145"/>
      <c r="EC61" s="145"/>
      <c r="ED61" s="145"/>
      <c r="EE61" s="146"/>
    </row>
    <row r="62" spans="1:135" x14ac:dyDescent="0.25">
      <c r="A62" s="152">
        <f>SUMIF($C$1:$EE$1,"&lt;="&amp;Resumen!$K$19,'Flujo de caja mensual'!C62:EE62)</f>
        <v>-135000000000</v>
      </c>
      <c r="B62" s="5" t="s">
        <v>207</v>
      </c>
      <c r="C62" s="144">
        <f>-Resumen!B21</f>
        <v>-135000000000</v>
      </c>
      <c r="D62" s="145"/>
      <c r="E62" s="145"/>
      <c r="F62" s="145"/>
      <c r="G62" s="145"/>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c r="BJ62" s="145"/>
      <c r="BK62" s="145"/>
      <c r="BL62" s="145"/>
      <c r="BM62" s="145"/>
      <c r="BN62" s="145"/>
      <c r="BO62" s="145"/>
      <c r="BP62" s="145"/>
      <c r="BQ62" s="145"/>
      <c r="BR62" s="145"/>
      <c r="BS62" s="145"/>
      <c r="BT62" s="145"/>
      <c r="BU62" s="145"/>
      <c r="BV62" s="145"/>
      <c r="BW62" s="145"/>
      <c r="BX62" s="145"/>
      <c r="BY62" s="145"/>
      <c r="BZ62" s="145"/>
      <c r="CA62" s="145"/>
      <c r="CB62" s="145"/>
      <c r="CC62" s="145"/>
      <c r="CD62" s="145"/>
      <c r="CE62" s="145"/>
      <c r="CF62" s="145"/>
      <c r="CG62" s="145"/>
      <c r="CH62" s="145"/>
      <c r="CI62" s="145"/>
      <c r="CJ62" s="145"/>
      <c r="CK62" s="145"/>
      <c r="CL62" s="145"/>
      <c r="CM62" s="145"/>
      <c r="CN62" s="145"/>
      <c r="CO62" s="145"/>
      <c r="CP62" s="145"/>
      <c r="CQ62" s="145"/>
      <c r="CR62" s="145"/>
      <c r="CS62" s="145"/>
      <c r="CT62" s="145"/>
      <c r="CU62" s="145"/>
      <c r="CV62" s="145"/>
      <c r="CW62" s="145"/>
      <c r="CX62" s="145"/>
      <c r="CY62" s="145"/>
      <c r="CZ62" s="145"/>
      <c r="DA62" s="145"/>
      <c r="DB62" s="145"/>
      <c r="DC62" s="145"/>
      <c r="DD62" s="145"/>
      <c r="DE62" s="145"/>
      <c r="DF62" s="145"/>
      <c r="DG62" s="145"/>
      <c r="DH62" s="145"/>
      <c r="DI62" s="145"/>
      <c r="DJ62" s="145"/>
      <c r="DK62" s="145"/>
      <c r="DL62" s="145"/>
      <c r="DM62" s="145"/>
      <c r="DN62" s="145"/>
      <c r="DO62" s="145"/>
      <c r="DP62" s="145"/>
      <c r="DQ62" s="145"/>
      <c r="DR62" s="145"/>
      <c r="DS62" s="145"/>
      <c r="DT62" s="145"/>
      <c r="DU62" s="145"/>
      <c r="DV62" s="145"/>
      <c r="DW62" s="145"/>
      <c r="DX62" s="145"/>
      <c r="DY62" s="145"/>
      <c r="DZ62" s="145"/>
      <c r="EA62" s="145"/>
      <c r="EB62" s="145"/>
      <c r="EC62" s="145"/>
      <c r="ED62" s="145"/>
      <c r="EE62" s="146">
        <v>0</v>
      </c>
    </row>
    <row r="63" spans="1:135" x14ac:dyDescent="0.25">
      <c r="A63" s="152">
        <f>SUMIF($C$1:$EE$1,"&lt;="&amp;Resumen!$K$19,'Flujo de caja mensual'!C63:EE63)</f>
        <v>-12000000</v>
      </c>
      <c r="B63" s="5" t="s">
        <v>208</v>
      </c>
      <c r="C63" s="144">
        <f>-Resumen!B23</f>
        <v>-12000000</v>
      </c>
      <c r="D63" s="145"/>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c r="BJ63" s="145"/>
      <c r="BK63" s="145"/>
      <c r="BL63" s="145"/>
      <c r="BM63" s="145"/>
      <c r="BN63" s="145"/>
      <c r="BO63" s="145"/>
      <c r="BP63" s="145"/>
      <c r="BQ63" s="145"/>
      <c r="BR63" s="145"/>
      <c r="BS63" s="145"/>
      <c r="BT63" s="145"/>
      <c r="BU63" s="145"/>
      <c r="BV63" s="145"/>
      <c r="BW63" s="145"/>
      <c r="BX63" s="145"/>
      <c r="BY63" s="145"/>
      <c r="BZ63" s="145"/>
      <c r="CA63" s="145"/>
      <c r="CB63" s="145"/>
      <c r="CC63" s="145"/>
      <c r="CD63" s="145"/>
      <c r="CE63" s="145"/>
      <c r="CF63" s="145"/>
      <c r="CG63" s="145"/>
      <c r="CH63" s="145"/>
      <c r="CI63" s="145"/>
      <c r="CJ63" s="145"/>
      <c r="CK63" s="145"/>
      <c r="CL63" s="145"/>
      <c r="CM63" s="145"/>
      <c r="CN63" s="145"/>
      <c r="CO63" s="145"/>
      <c r="CP63" s="145"/>
      <c r="CQ63" s="145"/>
      <c r="CR63" s="145"/>
      <c r="CS63" s="145"/>
      <c r="CT63" s="145"/>
      <c r="CU63" s="145"/>
      <c r="CV63" s="145"/>
      <c r="CW63" s="145"/>
      <c r="CX63" s="145"/>
      <c r="CY63" s="145"/>
      <c r="CZ63" s="145"/>
      <c r="DA63" s="145"/>
      <c r="DB63" s="145"/>
      <c r="DC63" s="145"/>
      <c r="DD63" s="145"/>
      <c r="DE63" s="145"/>
      <c r="DF63" s="145"/>
      <c r="DG63" s="145"/>
      <c r="DH63" s="145"/>
      <c r="DI63" s="145"/>
      <c r="DJ63" s="145"/>
      <c r="DK63" s="145"/>
      <c r="DL63" s="145"/>
      <c r="DM63" s="145"/>
      <c r="DN63" s="145"/>
      <c r="DO63" s="145"/>
      <c r="DP63" s="145"/>
      <c r="DQ63" s="145"/>
      <c r="DR63" s="145"/>
      <c r="DS63" s="145"/>
      <c r="DT63" s="145"/>
      <c r="DU63" s="145"/>
      <c r="DV63" s="145"/>
      <c r="DW63" s="145"/>
      <c r="DX63" s="145"/>
      <c r="DY63" s="145"/>
      <c r="DZ63" s="145"/>
      <c r="EA63" s="145"/>
      <c r="EB63" s="145"/>
      <c r="EC63" s="145"/>
      <c r="ED63" s="145"/>
      <c r="EE63" s="146">
        <v>0</v>
      </c>
    </row>
    <row r="64" spans="1:135" x14ac:dyDescent="0.25">
      <c r="A64" s="152">
        <f>SUMIF($C$1:$EE$1,"&lt;="&amp;Resumen!$K$19,'Flujo de caja mensual'!C64:EE64)</f>
        <v>242856105047.60718</v>
      </c>
      <c r="B64" s="5" t="s">
        <v>196</v>
      </c>
      <c r="C64" s="144"/>
      <c r="D64" s="145">
        <f>IF(D1=Resumen!$K$19,SUM('Flujo de caja mensual'!E43:P43)/Resumen!$K$18,0)</f>
        <v>0</v>
      </c>
      <c r="E64" s="145">
        <f>IF(E1=Resumen!$K$19,SUM('Flujo de caja mensual'!F43:Q43)/Resumen!$K$18,0)</f>
        <v>0</v>
      </c>
      <c r="F64" s="145">
        <f>IF(F1=Resumen!$K$19,SUM('Flujo de caja mensual'!G43:R43)/Resumen!$K$18,0)</f>
        <v>0</v>
      </c>
      <c r="G64" s="145">
        <f>IF(G1=Resumen!$K$19,SUM('Flujo de caja mensual'!H43:S43)/Resumen!$K$18,0)</f>
        <v>0</v>
      </c>
      <c r="H64" s="145">
        <f>IF(H1=Resumen!$K$19,SUM('Flujo de caja mensual'!I43:T43)/Resumen!$K$18,0)</f>
        <v>0</v>
      </c>
      <c r="I64" s="145">
        <f>IF(I1=Resumen!$K$19,SUM('Flujo de caja mensual'!J43:U43)/Resumen!$K$18,0)</f>
        <v>0</v>
      </c>
      <c r="J64" s="145">
        <f>IF(J1=Resumen!$K$19,SUM('Flujo de caja mensual'!K43:V43)/Resumen!$K$18,0)</f>
        <v>0</v>
      </c>
      <c r="K64" s="145">
        <f>IF(K1=Resumen!$K$19,SUM('Flujo de caja mensual'!L43:W43)/Resumen!$K$18,0)</f>
        <v>0</v>
      </c>
      <c r="L64" s="145">
        <f>IF(L1=Resumen!$K$19,SUM('Flujo de caja mensual'!M43:X43)/Resumen!$K$18,0)</f>
        <v>0</v>
      </c>
      <c r="M64" s="145">
        <f>IF(M1=Resumen!$K$19,SUM('Flujo de caja mensual'!N43:Y43)/Resumen!$K$18,0)</f>
        <v>0</v>
      </c>
      <c r="N64" s="145">
        <f>IF(N1=Resumen!$K$19,SUM('Flujo de caja mensual'!O43:Z43)/Resumen!$K$18,0)</f>
        <v>0</v>
      </c>
      <c r="O64" s="145">
        <f>IF(O1=Resumen!$K$19,SUM('Flujo de caja mensual'!P43:AA43)/Resumen!$K$18,0)</f>
        <v>0</v>
      </c>
      <c r="P64" s="145">
        <f>IF(P1=Resumen!$K$19,SUM('Flujo de caja mensual'!Q43:AB43)/Resumen!$K$18,0)</f>
        <v>0</v>
      </c>
      <c r="Q64" s="145">
        <f>IF(Q1=Resumen!$K$19,SUM('Flujo de caja mensual'!R43:AC43)/Resumen!$K$18,0)</f>
        <v>0</v>
      </c>
      <c r="R64" s="145">
        <f>IF(R1=Resumen!$K$19,SUM('Flujo de caja mensual'!S43:AD43)/Resumen!$K$18,0)</f>
        <v>0</v>
      </c>
      <c r="S64" s="145">
        <f>IF(S1=Resumen!$K$19,SUM('Flujo de caja mensual'!T43:AE43)/Resumen!$K$18,0)</f>
        <v>0</v>
      </c>
      <c r="T64" s="145">
        <f>IF(T1=Resumen!$K$19,SUM('Flujo de caja mensual'!U43:AF43)/Resumen!$K$18,0)</f>
        <v>0</v>
      </c>
      <c r="U64" s="145">
        <f>IF(U1=Resumen!$K$19,SUM('Flujo de caja mensual'!V43:AG43)/Resumen!$K$18,0)</f>
        <v>0</v>
      </c>
      <c r="V64" s="145">
        <f>IF(V1=Resumen!$K$19,SUM('Flujo de caja mensual'!W43:AH43)/Resumen!$K$18,0)</f>
        <v>0</v>
      </c>
      <c r="W64" s="145">
        <f>IF(W1=Resumen!$K$19,SUM('Flujo de caja mensual'!X43:AI43)/Resumen!$K$18,0)</f>
        <v>0</v>
      </c>
      <c r="X64" s="145">
        <f>IF(X1=Resumen!$K$19,SUM('Flujo de caja mensual'!Y43:AJ43)/Resumen!$K$18,0)</f>
        <v>0</v>
      </c>
      <c r="Y64" s="145">
        <f>IF(Y1=Resumen!$K$19,SUM('Flujo de caja mensual'!Z43:AK43)/Resumen!$K$18,0)</f>
        <v>0</v>
      </c>
      <c r="Z64" s="145">
        <f>IF(Z1=Resumen!$K$19,SUM('Flujo de caja mensual'!AA43:AL43)/Resumen!$K$18,0)</f>
        <v>0</v>
      </c>
      <c r="AA64" s="145">
        <f>IF(AA1=Resumen!$K$19,SUM('Flujo de caja mensual'!AB43:AM43)/Resumen!$K$18,0)</f>
        <v>0</v>
      </c>
      <c r="AB64" s="145">
        <f>IF(AB1=Resumen!$K$19,SUM('Flujo de caja mensual'!AC43:AN43)/Resumen!$K$18,0)</f>
        <v>0</v>
      </c>
      <c r="AC64" s="145">
        <f>IF(AC1=Resumen!$K$19,SUM('Flujo de caja mensual'!AD43:AO43)/Resumen!$K$18,0)</f>
        <v>0</v>
      </c>
      <c r="AD64" s="145">
        <f>IF(AD1=Resumen!$K$19,SUM('Flujo de caja mensual'!AE43:AP43)/Resumen!$K$18,0)</f>
        <v>0</v>
      </c>
      <c r="AE64" s="145">
        <f>IF(AE1=Resumen!$K$19,SUM('Flujo de caja mensual'!AF43:AQ43)/Resumen!$K$18,0)</f>
        <v>0</v>
      </c>
      <c r="AF64" s="145">
        <f>IF(AF1=Resumen!$K$19,SUM('Flujo de caja mensual'!AG43:AR43)/Resumen!$K$18,0)</f>
        <v>0</v>
      </c>
      <c r="AG64" s="145">
        <f>IF(AG1=Resumen!$K$19,SUM('Flujo de caja mensual'!AH43:AS43)/Resumen!$K$18,0)</f>
        <v>0</v>
      </c>
      <c r="AH64" s="145">
        <f>IF(AH1=Resumen!$K$19,SUM('Flujo de caja mensual'!AI43:AT43)/Resumen!$K$18,0)</f>
        <v>0</v>
      </c>
      <c r="AI64" s="145">
        <f>IF(AI1=Resumen!$K$19,SUM('Flujo de caja mensual'!AJ43:AU43)/Resumen!$K$18,0)</f>
        <v>0</v>
      </c>
      <c r="AJ64" s="145">
        <f>IF(AJ1=Resumen!$K$19,SUM('Flujo de caja mensual'!AK43:AV43)/Resumen!$K$18,0)</f>
        <v>0</v>
      </c>
      <c r="AK64" s="145">
        <f>IF(AK1=Resumen!$K$19,SUM('Flujo de caja mensual'!AL43:AW43)/Resumen!$K$18,0)</f>
        <v>0</v>
      </c>
      <c r="AL64" s="145">
        <f>IF(AL1=Resumen!$K$19,SUM('Flujo de caja mensual'!AM43:AX43)/Resumen!$K$18,0)</f>
        <v>0</v>
      </c>
      <c r="AM64" s="145">
        <f>IF(AM1=Resumen!$K$19,SUM('Flujo de caja mensual'!AN43:AY43)/Resumen!$K$18,0)</f>
        <v>0</v>
      </c>
      <c r="AN64" s="145">
        <f>IF(AN1=Resumen!$K$19,SUM('Flujo de caja mensual'!AO43:AZ43)/Resumen!$K$18,0)</f>
        <v>0</v>
      </c>
      <c r="AO64" s="145">
        <f>IF(AO1=Resumen!$K$19,SUM('Flujo de caja mensual'!AP43:BA43)/Resumen!$K$18,0)</f>
        <v>0</v>
      </c>
      <c r="AP64" s="145">
        <f>IF(AP1=Resumen!$K$19,SUM('Flujo de caja mensual'!AQ43:BB43)/Resumen!$K$18,0)</f>
        <v>0</v>
      </c>
      <c r="AQ64" s="145">
        <f>IF(AQ1=Resumen!$K$19,SUM('Flujo de caja mensual'!AR43:BC43)/Resumen!$K$18,0)</f>
        <v>0</v>
      </c>
      <c r="AR64" s="145">
        <f>IF(AR1=Resumen!$K$19,SUM('Flujo de caja mensual'!AS43:BD43)/Resumen!$K$18,0)</f>
        <v>0</v>
      </c>
      <c r="AS64" s="145">
        <f>IF(AS1=Resumen!$K$19,SUM('Flujo de caja mensual'!AT43:BE43)/Resumen!$K$18,0)</f>
        <v>0</v>
      </c>
      <c r="AT64" s="145">
        <f>IF(AT1=Resumen!$K$19,SUM('Flujo de caja mensual'!AU43:BF43)/Resumen!$K$18,0)</f>
        <v>0</v>
      </c>
      <c r="AU64" s="145">
        <f>IF(AU1=Resumen!$K$19,SUM('Flujo de caja mensual'!AV43:BG43)/Resumen!$K$18,0)</f>
        <v>0</v>
      </c>
      <c r="AV64" s="145">
        <f>IF(AV1=Resumen!$K$19,SUM('Flujo de caja mensual'!AW43:BH43)/Resumen!$K$18,0)</f>
        <v>0</v>
      </c>
      <c r="AW64" s="145">
        <f>IF(AW1=Resumen!$K$19,SUM('Flujo de caja mensual'!AX43:BI43)/Resumen!$K$18,0)</f>
        <v>0</v>
      </c>
      <c r="AX64" s="145">
        <f>IF(AX1=Resumen!$K$19,SUM('Flujo de caja mensual'!AY43:BJ43)/Resumen!$K$18,0)</f>
        <v>0</v>
      </c>
      <c r="AY64" s="145">
        <f>IF(AY1=Resumen!$K$19,SUM('Flujo de caja mensual'!AZ43:BK43)/Resumen!$K$18,0)</f>
        <v>0</v>
      </c>
      <c r="AZ64" s="145">
        <f>IF(AZ1=Resumen!$K$19,SUM('Flujo de caja mensual'!BA43:BL43)/Resumen!$K$18,0)</f>
        <v>0</v>
      </c>
      <c r="BA64" s="145">
        <f>IF(BA1=Resumen!$K$19,SUM('Flujo de caja mensual'!BB43:BM43)/Resumen!$K$18,0)</f>
        <v>0</v>
      </c>
      <c r="BB64" s="145">
        <f>IF(BB1=Resumen!$K$19,SUM('Flujo de caja mensual'!BC43:BN43)/Resumen!$K$18,0)</f>
        <v>0</v>
      </c>
      <c r="BC64" s="145">
        <f>IF(BC1=Resumen!$K$19,SUM('Flujo de caja mensual'!BD43:BO43)/Resumen!$K$18,0)</f>
        <v>0</v>
      </c>
      <c r="BD64" s="145">
        <f>IF(BD1=Resumen!$K$19,SUM('Flujo de caja mensual'!BE43:BP43)/Resumen!$K$18,0)</f>
        <v>0</v>
      </c>
      <c r="BE64" s="145">
        <f>IF(BE1=Resumen!$K$19,SUM('Flujo de caja mensual'!BF43:BQ43)/Resumen!$K$18,0)</f>
        <v>0</v>
      </c>
      <c r="BF64" s="145">
        <f>IF(BF1=Resumen!$K$19,SUM('Flujo de caja mensual'!BG43:BR43)/Resumen!$K$18,0)</f>
        <v>0</v>
      </c>
      <c r="BG64" s="145">
        <f>IF(BG1=Resumen!$K$19,SUM('Flujo de caja mensual'!BH43:BS43)/Resumen!$K$18,0)</f>
        <v>0</v>
      </c>
      <c r="BH64" s="145">
        <f>IF(BH1=Resumen!$K$19,SUM('Flujo de caja mensual'!BI43:BT43)/Resumen!$K$18,0)</f>
        <v>0</v>
      </c>
      <c r="BI64" s="145">
        <f>IF(BI1=Resumen!$K$19,SUM('Flujo de caja mensual'!BJ43:BU43)/Resumen!$K$18,0)</f>
        <v>0</v>
      </c>
      <c r="BJ64" s="145">
        <f>IF(BJ1=Resumen!$K$19,SUM('Flujo de caja mensual'!BK43:BV43)/Resumen!$K$18,0)</f>
        <v>0</v>
      </c>
      <c r="BK64" s="145">
        <f>IF(BK1=Resumen!$K$19,SUM('Flujo de caja mensual'!BL43:BW43)/Resumen!$K$18,0)</f>
        <v>0</v>
      </c>
      <c r="BL64" s="145">
        <f>IF(BL1=Resumen!$K$19,SUM('Flujo de caja mensual'!BM43:BX43)/Resumen!$K$18,0)</f>
        <v>0</v>
      </c>
      <c r="BM64" s="145">
        <f>IF(BM1=Resumen!$K$19,SUM('Flujo de caja mensual'!BN43:BY43)/Resumen!$K$18,0)</f>
        <v>0</v>
      </c>
      <c r="BN64" s="145">
        <f>IF(BN1=Resumen!$K$19,SUM('Flujo de caja mensual'!BO43:BZ43)/Resumen!$K$18,0)</f>
        <v>0</v>
      </c>
      <c r="BO64" s="145">
        <f>IF(BO1=Resumen!$K$19,SUM('Flujo de caja mensual'!BP43:CA43)/Resumen!$K$18,0)</f>
        <v>0</v>
      </c>
      <c r="BP64" s="145">
        <f>IF(BP1=Resumen!$K$19,SUM('Flujo de caja mensual'!BQ43:CB43)/Resumen!$K$18,0)</f>
        <v>0</v>
      </c>
      <c r="BQ64" s="145">
        <f>IF(BQ1=Resumen!$K$19,SUM('Flujo de caja mensual'!BR43:CC43)/Resumen!$K$18,0)</f>
        <v>0</v>
      </c>
      <c r="BR64" s="145">
        <f>IF(BR1=Resumen!$K$19,SUM('Flujo de caja mensual'!BS43:CD43)/Resumen!$K$18,0)</f>
        <v>0</v>
      </c>
      <c r="BS64" s="145">
        <f>IF(BS1=Resumen!$K$19,SUM('Flujo de caja mensual'!BT43:CE43)/Resumen!$K$18,0)</f>
        <v>0</v>
      </c>
      <c r="BT64" s="145">
        <f>IF(BT1=Resumen!$K$19,SUM('Flujo de caja mensual'!BU43:CF43)/Resumen!$K$18,0)</f>
        <v>0</v>
      </c>
      <c r="BU64" s="145">
        <f>IF(BU1=Resumen!$K$19,SUM('Flujo de caja mensual'!BV43:CG43)/Resumen!$K$18,0)</f>
        <v>0</v>
      </c>
      <c r="BV64" s="145">
        <f>IF(BV1=Resumen!$K$19,SUM('Flujo de caja mensual'!BW43:CH43)/Resumen!$K$18,0)</f>
        <v>0</v>
      </c>
      <c r="BW64" s="145">
        <f>IF(BW1=Resumen!$K$19,SUM('Flujo de caja mensual'!BX43:CI43)/Resumen!$K$18,0)</f>
        <v>0</v>
      </c>
      <c r="BX64" s="145">
        <f>IF(BX1=Resumen!$K$19,SUM('Flujo de caja mensual'!BY43:CJ43)/Resumen!$K$18,0)</f>
        <v>0</v>
      </c>
      <c r="BY64" s="145">
        <f>IF(BY1=Resumen!$K$19,SUM('Flujo de caja mensual'!BZ43:CK43)/Resumen!$K$18,0)</f>
        <v>0</v>
      </c>
      <c r="BZ64" s="145">
        <f>IF(BZ1=Resumen!$K$19,SUM('Flujo de caja mensual'!CA43:CL43)/Resumen!$K$18,0)</f>
        <v>0</v>
      </c>
      <c r="CA64" s="145">
        <f>IF(CA1=Resumen!$K$19,SUM('Flujo de caja mensual'!CB43:CM43)/Resumen!$K$18,0)</f>
        <v>0</v>
      </c>
      <c r="CB64" s="145">
        <f>IF(CB1=Resumen!$K$19,SUM('Flujo de caja mensual'!CC43:CN43)/Resumen!$K$18,0)</f>
        <v>0</v>
      </c>
      <c r="CC64" s="145">
        <f>IF(CC1=Resumen!$K$19,SUM('Flujo de caja mensual'!CD43:CO43)/Resumen!$K$18,0)</f>
        <v>0</v>
      </c>
      <c r="CD64" s="145">
        <f>IF(CD1=Resumen!$K$19,SUM('Flujo de caja mensual'!CE43:CP43)/Resumen!$K$18,0)</f>
        <v>0</v>
      </c>
      <c r="CE64" s="145">
        <f>IF(CE1=Resumen!$K$19,SUM('Flujo de caja mensual'!CF43:CQ43)/Resumen!$K$18,0)</f>
        <v>0</v>
      </c>
      <c r="CF64" s="145">
        <f>IF(CF1=Resumen!$K$19,SUM('Flujo de caja mensual'!CG43:CR43)/Resumen!$K$18,0)</f>
        <v>0</v>
      </c>
      <c r="CG64" s="145">
        <f>IF(CG1=Resumen!$K$19,SUM('Flujo de caja mensual'!CH43:CS43)/Resumen!$K$18,0)</f>
        <v>0</v>
      </c>
      <c r="CH64" s="145">
        <f>IF(CH1=Resumen!$K$19,SUM('Flujo de caja mensual'!CI43:CT43)/Resumen!$K$18,0)</f>
        <v>0</v>
      </c>
      <c r="CI64" s="145">
        <f>IF(CI1=Resumen!$K$19,SUM('Flujo de caja mensual'!CJ43:CU43)/Resumen!$K$18,0)</f>
        <v>0</v>
      </c>
      <c r="CJ64" s="145">
        <f>IF(CJ1=Resumen!$K$19,SUM('Flujo de caja mensual'!CK43:CV43)/Resumen!$K$18,0)</f>
        <v>0</v>
      </c>
      <c r="CK64" s="145">
        <f>IF(CK1=Resumen!$K$19,SUM('Flujo de caja mensual'!CL43:CW43)/Resumen!$K$18,0)</f>
        <v>0</v>
      </c>
      <c r="CL64" s="145">
        <f>IF(CL1=Resumen!$K$19,SUM('Flujo de caja mensual'!CM43:CX43)/Resumen!$K$18,0)</f>
        <v>0</v>
      </c>
      <c r="CM64" s="145">
        <f>IF(CM1=Resumen!$K$19,SUM('Flujo de caja mensual'!CN43:CY43)/Resumen!$K$18,0)</f>
        <v>0</v>
      </c>
      <c r="CN64" s="145">
        <f>IF(CN1=Resumen!$K$19,SUM('Flujo de caja mensual'!CO43:CZ43)/Resumen!$K$18,0)</f>
        <v>0</v>
      </c>
      <c r="CO64" s="145">
        <f>IF(CO1=Resumen!$K$19,SUM('Flujo de caja mensual'!CP43:DA43)/Resumen!$K$18,0)</f>
        <v>0</v>
      </c>
      <c r="CP64" s="145">
        <f>IF(CP1=Resumen!$K$19,SUM('Flujo de caja mensual'!CQ43:DB43)/Resumen!$K$18,0)</f>
        <v>0</v>
      </c>
      <c r="CQ64" s="145">
        <f>IF(CQ1=Resumen!$K$19,SUM('Flujo de caja mensual'!CR43:DC43)/Resumen!$K$18,0)</f>
        <v>0</v>
      </c>
      <c r="CR64" s="145">
        <f>IF(CR1=Resumen!$K$19,SUM('Flujo de caja mensual'!CS43:DD43)/Resumen!$K$18,0)</f>
        <v>0</v>
      </c>
      <c r="CS64" s="145">
        <f>IF(CS1=Resumen!$K$19,SUM('Flujo de caja mensual'!CT43:DE43)/Resumen!$K$18,0)</f>
        <v>0</v>
      </c>
      <c r="CT64" s="145">
        <f>IF(CT1=Resumen!$K$19,SUM('Flujo de caja mensual'!CU43:DF43)/Resumen!$K$18,0)</f>
        <v>0</v>
      </c>
      <c r="CU64" s="145">
        <f>IF(CU1=Resumen!$K$19,SUM('Flujo de caja mensual'!CV43:DG43)/Resumen!$K$18,0)</f>
        <v>0</v>
      </c>
      <c r="CV64" s="145">
        <f>IF(CV1=Resumen!$K$19,SUM('Flujo de caja mensual'!CW43:DH43)/Resumen!$K$18,0)</f>
        <v>0</v>
      </c>
      <c r="CW64" s="145">
        <f>IF(CW1=Resumen!$K$19,SUM('Flujo de caja mensual'!CX43:DI43)/Resumen!$K$18,0)</f>
        <v>0</v>
      </c>
      <c r="CX64" s="145">
        <f>IF(CX1=Resumen!$K$19,SUM('Flujo de caja mensual'!CY43:DJ43)/Resumen!$K$18,0)</f>
        <v>0</v>
      </c>
      <c r="CY64" s="145">
        <f>IF(CY1=Resumen!$K$19,SUM('Flujo de caja mensual'!CZ43:DK43)/Resumen!$K$18,0)</f>
        <v>0</v>
      </c>
      <c r="CZ64" s="145">
        <f>IF(CZ1=Resumen!$K$19,SUM('Flujo de caja mensual'!DA43:DL43)/Resumen!$K$18,0)</f>
        <v>0</v>
      </c>
      <c r="DA64" s="145">
        <f>IF(DA1=Resumen!$K$19,SUM('Flujo de caja mensual'!DB43:DM43)/Resumen!$K$18,0)</f>
        <v>0</v>
      </c>
      <c r="DB64" s="145">
        <f>IF(DB1=Resumen!$K$19,SUM('Flujo de caja mensual'!DC43:DN43)/Resumen!$K$18,0)</f>
        <v>0</v>
      </c>
      <c r="DC64" s="145">
        <f>IF(DC1=Resumen!$K$19,SUM('Flujo de caja mensual'!DD43:DO43)/Resumen!$K$18,0)</f>
        <v>0</v>
      </c>
      <c r="DD64" s="145">
        <f>IF(DD1=Resumen!$K$19,SUM('Flujo de caja mensual'!DE43:DP43)/Resumen!$K$18,0)</f>
        <v>0</v>
      </c>
      <c r="DE64" s="145">
        <f>IF(DE1=Resumen!$K$19,SUM('Flujo de caja mensual'!DF43:DQ43)/Resumen!$K$18,0)</f>
        <v>0</v>
      </c>
      <c r="DF64" s="145">
        <f>IF(DF1=Resumen!$K$19,SUM('Flujo de caja mensual'!DG43:DR43)/Resumen!$K$18,0)</f>
        <v>0</v>
      </c>
      <c r="DG64" s="145">
        <f>IF(DG1=Resumen!$K$19,SUM('Flujo de caja mensual'!DH43:DS43)/Resumen!$K$18,0)</f>
        <v>0</v>
      </c>
      <c r="DH64" s="145">
        <f>IF(DH1=Resumen!$K$19,SUM('Flujo de caja mensual'!DI43:DT43)/Resumen!$K$18,0)</f>
        <v>0</v>
      </c>
      <c r="DI64" s="145">
        <f>IF(DI1=Resumen!$K$19,SUM('Flujo de caja mensual'!DJ43:DU43)/Resumen!$K$18,0)</f>
        <v>0</v>
      </c>
      <c r="DJ64" s="145">
        <f>IF(DJ1=Resumen!$K$19,SUM('Flujo de caja mensual'!DK43:DV43)/Resumen!$K$18,0)</f>
        <v>0</v>
      </c>
      <c r="DK64" s="145">
        <f>IF(DK1=Resumen!$K$19,SUM('Flujo de caja mensual'!DL43:DW43)/Resumen!$K$18,0)</f>
        <v>0</v>
      </c>
      <c r="DL64" s="145">
        <f>IF(DL1=Resumen!$K$19,SUM('Flujo de caja mensual'!DM43:DX43)/Resumen!$K$18,0)</f>
        <v>0</v>
      </c>
      <c r="DM64" s="145">
        <f>IF(DM1=Resumen!$K$19,SUM('Flujo de caja mensual'!DN43:DY43)/Resumen!$K$18,0)</f>
        <v>0</v>
      </c>
      <c r="DN64" s="145">
        <f>IF(DN1=Resumen!$K$19,SUM('Flujo de caja mensual'!DO43:DZ43)/Resumen!$K$18,0)</f>
        <v>0</v>
      </c>
      <c r="DO64" s="145">
        <f>IF(DO1=Resumen!$K$19,SUM('Flujo de caja mensual'!DP43:EA43)/Resumen!$K$18,0)</f>
        <v>0</v>
      </c>
      <c r="DP64" s="145">
        <f>IF(DP1=Resumen!$K$19,SUM('Flujo de caja mensual'!DQ43:EB43)/Resumen!$K$18,0)</f>
        <v>0</v>
      </c>
      <c r="DQ64" s="145">
        <f>IF(DQ1=Resumen!$K$19,SUM('Flujo de caja mensual'!DR43:EC43)/Resumen!$K$18,0)</f>
        <v>0</v>
      </c>
      <c r="DR64" s="145">
        <f>IF(DR1=Resumen!$K$19,SUM('Flujo de caja mensual'!DS43:ED43)/Resumen!$K$18,0)</f>
        <v>0</v>
      </c>
      <c r="DS64" s="145">
        <f>IF(DS1=Resumen!$K$19,SUM('Flujo de caja mensual'!DT43:EE43)/Resumen!$K$18,0)</f>
        <v>242856105047.60718</v>
      </c>
      <c r="DT64" s="145">
        <f>IF(DT1=Resumen!$K$19,SUM('Flujo de caja mensual'!DU43:EF43)/Resumen!$K$18,0)</f>
        <v>0</v>
      </c>
      <c r="DU64" s="145">
        <f>IF(DU1=Resumen!$K$19,SUM('Flujo de caja mensual'!DV43:EG43)/Resumen!$K$18,0)</f>
        <v>0</v>
      </c>
      <c r="DV64" s="145">
        <f>IF(DV1=Resumen!$K$19,SUM('Flujo de caja mensual'!DW43:EH43)/Resumen!$K$18,0)</f>
        <v>0</v>
      </c>
      <c r="DW64" s="145">
        <f>IF(DW1=Resumen!$K$19,SUM('Flujo de caja mensual'!DX43:EI43)/Resumen!$K$18,0)</f>
        <v>0</v>
      </c>
      <c r="DX64" s="145">
        <f>IF(DX1=Resumen!$K$19,SUM('Flujo de caja mensual'!DY43:EJ43)/Resumen!$K$18,0)</f>
        <v>0</v>
      </c>
      <c r="DY64" s="145">
        <f>IF(DY1=Resumen!$K$19,SUM('Flujo de caja mensual'!DZ43:EK43)/Resumen!$K$18,0)</f>
        <v>0</v>
      </c>
      <c r="DZ64" s="145">
        <f>IF(DZ1=Resumen!$K$19,SUM('Flujo de caja mensual'!EA43:EL43)/Resumen!$K$18,0)</f>
        <v>0</v>
      </c>
      <c r="EA64" s="145">
        <f>IF(EA1=Resumen!$K$19,SUM('Flujo de caja mensual'!EB43:EM43)/Resumen!$K$18,0)</f>
        <v>0</v>
      </c>
      <c r="EB64" s="145">
        <f>IF(EB1=Resumen!$K$19,SUM('Flujo de caja mensual'!EC43:EN43)/Resumen!$K$18,0)</f>
        <v>0</v>
      </c>
      <c r="EC64" s="145">
        <f>IF(EC1=Resumen!$K$19,SUM('Flujo de caja mensual'!ED43:EO43)/Resumen!$K$18,0)</f>
        <v>0</v>
      </c>
      <c r="ED64" s="145">
        <f>IF(ED1=Resumen!$K$19,SUM('Flujo de caja mensual'!EE43:EP43)/Resumen!$K$18,0)</f>
        <v>0</v>
      </c>
      <c r="EE64" s="146">
        <f>IF(EE1=Resumen!$K$19,SUM('Flujo de caja mensual'!EF43:EQ43)/Resumen!$K$18,0)</f>
        <v>0</v>
      </c>
    </row>
    <row r="65" spans="1:135" x14ac:dyDescent="0.25">
      <c r="A65" s="152">
        <f>SUMIF($C$1:$EE$1,"&lt;="&amp;Resumen!$K$19,'Flujo de caja mensual'!C65:EE65)</f>
        <v>-2428561050.4760718</v>
      </c>
      <c r="B65" s="5" t="s">
        <v>195</v>
      </c>
      <c r="C65" s="144"/>
      <c r="D65" s="145">
        <f>D64*-Resumen!$K$17</f>
        <v>0</v>
      </c>
      <c r="E65" s="145">
        <f>E64*-Resumen!$K$17</f>
        <v>0</v>
      </c>
      <c r="F65" s="145">
        <f>F64*-Resumen!$K$17</f>
        <v>0</v>
      </c>
      <c r="G65" s="145">
        <f>G64*-Resumen!$K$17</f>
        <v>0</v>
      </c>
      <c r="H65" s="145">
        <f>H64*-Resumen!$K$17</f>
        <v>0</v>
      </c>
      <c r="I65" s="145">
        <f>I64*-Resumen!$K$17</f>
        <v>0</v>
      </c>
      <c r="J65" s="145">
        <f>J64*-Resumen!$K$17</f>
        <v>0</v>
      </c>
      <c r="K65" s="145">
        <f>K64*-Resumen!$K$17</f>
        <v>0</v>
      </c>
      <c r="L65" s="145">
        <f>L64*-Resumen!$K$17</f>
        <v>0</v>
      </c>
      <c r="M65" s="145">
        <f>M64*-Resumen!$K$17</f>
        <v>0</v>
      </c>
      <c r="N65" s="145">
        <f>N64*-Resumen!$K$17</f>
        <v>0</v>
      </c>
      <c r="O65" s="145">
        <f>O64*-Resumen!$K$17</f>
        <v>0</v>
      </c>
      <c r="P65" s="145">
        <f>P64*-Resumen!$K$17</f>
        <v>0</v>
      </c>
      <c r="Q65" s="145">
        <f>Q64*-Resumen!$K$17</f>
        <v>0</v>
      </c>
      <c r="R65" s="145">
        <f>R64*-Resumen!$K$17</f>
        <v>0</v>
      </c>
      <c r="S65" s="145">
        <f>S64*-Resumen!$K$17</f>
        <v>0</v>
      </c>
      <c r="T65" s="145">
        <f>T64*-Resumen!$K$17</f>
        <v>0</v>
      </c>
      <c r="U65" s="145">
        <f>U64*-Resumen!$K$17</f>
        <v>0</v>
      </c>
      <c r="V65" s="145">
        <f>V64*-Resumen!$K$17</f>
        <v>0</v>
      </c>
      <c r="W65" s="145">
        <f>W64*-Resumen!$K$17</f>
        <v>0</v>
      </c>
      <c r="X65" s="145">
        <f>X64*-Resumen!$K$17</f>
        <v>0</v>
      </c>
      <c r="Y65" s="145">
        <f>Y64*-Resumen!$K$17</f>
        <v>0</v>
      </c>
      <c r="Z65" s="145">
        <f>Z64*-Resumen!$K$17</f>
        <v>0</v>
      </c>
      <c r="AA65" s="145">
        <f>AA64*-Resumen!$K$17</f>
        <v>0</v>
      </c>
      <c r="AB65" s="145">
        <f>AB64*-Resumen!$K$17</f>
        <v>0</v>
      </c>
      <c r="AC65" s="145">
        <f>AC64*-Resumen!$K$17</f>
        <v>0</v>
      </c>
      <c r="AD65" s="145">
        <f>AD64*-Resumen!$K$17</f>
        <v>0</v>
      </c>
      <c r="AE65" s="145">
        <f>AE64*-Resumen!$K$17</f>
        <v>0</v>
      </c>
      <c r="AF65" s="145">
        <f>AF64*-Resumen!$K$17</f>
        <v>0</v>
      </c>
      <c r="AG65" s="145">
        <f>AG64*-Resumen!$K$17</f>
        <v>0</v>
      </c>
      <c r="AH65" s="145">
        <f>AH64*-Resumen!$K$17</f>
        <v>0</v>
      </c>
      <c r="AI65" s="145">
        <f>AI64*-Resumen!$K$17</f>
        <v>0</v>
      </c>
      <c r="AJ65" s="145">
        <f>AJ64*-Resumen!$K$17</f>
        <v>0</v>
      </c>
      <c r="AK65" s="145">
        <f>AK64*-Resumen!$K$17</f>
        <v>0</v>
      </c>
      <c r="AL65" s="145">
        <f>AL64*-Resumen!$K$17</f>
        <v>0</v>
      </c>
      <c r="AM65" s="145">
        <f>AM64*-Resumen!$K$17</f>
        <v>0</v>
      </c>
      <c r="AN65" s="145">
        <f>AN64*-Resumen!$K$17</f>
        <v>0</v>
      </c>
      <c r="AO65" s="145">
        <f>AO64*-Resumen!$K$17</f>
        <v>0</v>
      </c>
      <c r="AP65" s="145">
        <f>AP64*-Resumen!$K$17</f>
        <v>0</v>
      </c>
      <c r="AQ65" s="145">
        <f>AQ64*-Resumen!$K$17</f>
        <v>0</v>
      </c>
      <c r="AR65" s="145">
        <f>AR64*-Resumen!$K$17</f>
        <v>0</v>
      </c>
      <c r="AS65" s="145">
        <f>AS64*-Resumen!$K$17</f>
        <v>0</v>
      </c>
      <c r="AT65" s="145">
        <f>AT64*-Resumen!$K$17</f>
        <v>0</v>
      </c>
      <c r="AU65" s="145">
        <f>AU64*-Resumen!$K$17</f>
        <v>0</v>
      </c>
      <c r="AV65" s="145">
        <f>AV64*-Resumen!$K$17</f>
        <v>0</v>
      </c>
      <c r="AW65" s="145">
        <f>AW64*-Resumen!$K$17</f>
        <v>0</v>
      </c>
      <c r="AX65" s="145">
        <f>AX64*-Resumen!$K$17</f>
        <v>0</v>
      </c>
      <c r="AY65" s="145">
        <f>AY64*-Resumen!$K$17</f>
        <v>0</v>
      </c>
      <c r="AZ65" s="145">
        <f>AZ64*-Resumen!$K$17</f>
        <v>0</v>
      </c>
      <c r="BA65" s="145">
        <f>BA64*-Resumen!$K$17</f>
        <v>0</v>
      </c>
      <c r="BB65" s="145">
        <f>BB64*-Resumen!$K$17</f>
        <v>0</v>
      </c>
      <c r="BC65" s="145">
        <f>BC64*-Resumen!$K$17</f>
        <v>0</v>
      </c>
      <c r="BD65" s="145">
        <f>BD64*-Resumen!$K$17</f>
        <v>0</v>
      </c>
      <c r="BE65" s="145">
        <f>BE64*-Resumen!$K$17</f>
        <v>0</v>
      </c>
      <c r="BF65" s="145">
        <f>BF64*-Resumen!$K$17</f>
        <v>0</v>
      </c>
      <c r="BG65" s="145">
        <f>BG64*-Resumen!$K$17</f>
        <v>0</v>
      </c>
      <c r="BH65" s="145">
        <f>BH64*-Resumen!$K$17</f>
        <v>0</v>
      </c>
      <c r="BI65" s="145">
        <f>BI64*-Resumen!$K$17</f>
        <v>0</v>
      </c>
      <c r="BJ65" s="145">
        <f>BJ64*-Resumen!$K$17</f>
        <v>0</v>
      </c>
      <c r="BK65" s="145">
        <f>BK64*-Resumen!$K$17</f>
        <v>0</v>
      </c>
      <c r="BL65" s="145">
        <f>BL64*-Resumen!$K$17</f>
        <v>0</v>
      </c>
      <c r="BM65" s="145">
        <f>BM64*-Resumen!$K$17</f>
        <v>0</v>
      </c>
      <c r="BN65" s="145">
        <f>BN64*-Resumen!$K$17</f>
        <v>0</v>
      </c>
      <c r="BO65" s="145">
        <f>BO64*-Resumen!$K$17</f>
        <v>0</v>
      </c>
      <c r="BP65" s="145">
        <f>BP64*-Resumen!$K$17</f>
        <v>0</v>
      </c>
      <c r="BQ65" s="145">
        <f>BQ64*-Resumen!$K$17</f>
        <v>0</v>
      </c>
      <c r="BR65" s="145">
        <f>BR64*-Resumen!$K$17</f>
        <v>0</v>
      </c>
      <c r="BS65" s="145">
        <f>BS64*-Resumen!$K$17</f>
        <v>0</v>
      </c>
      <c r="BT65" s="145">
        <f>BT64*-Resumen!$K$17</f>
        <v>0</v>
      </c>
      <c r="BU65" s="145">
        <f>BU64*-Resumen!$K$17</f>
        <v>0</v>
      </c>
      <c r="BV65" s="145">
        <f>BV64*-Resumen!$K$17</f>
        <v>0</v>
      </c>
      <c r="BW65" s="145">
        <f>BW64*-Resumen!$K$17</f>
        <v>0</v>
      </c>
      <c r="BX65" s="145">
        <f>BX64*-Resumen!$K$17</f>
        <v>0</v>
      </c>
      <c r="BY65" s="145">
        <f>BY64*-Resumen!$K$17</f>
        <v>0</v>
      </c>
      <c r="BZ65" s="145">
        <f>BZ64*-Resumen!$K$17</f>
        <v>0</v>
      </c>
      <c r="CA65" s="145">
        <f>CA64*-Resumen!$K$17</f>
        <v>0</v>
      </c>
      <c r="CB65" s="145">
        <f>CB64*-Resumen!$K$17</f>
        <v>0</v>
      </c>
      <c r="CC65" s="145">
        <f>CC64*-Resumen!$K$17</f>
        <v>0</v>
      </c>
      <c r="CD65" s="145">
        <f>CD64*-Resumen!$K$17</f>
        <v>0</v>
      </c>
      <c r="CE65" s="145">
        <f>CE64*-Resumen!$K$17</f>
        <v>0</v>
      </c>
      <c r="CF65" s="145">
        <f>CF64*-Resumen!$K$17</f>
        <v>0</v>
      </c>
      <c r="CG65" s="145">
        <f>CG64*-Resumen!$K$17</f>
        <v>0</v>
      </c>
      <c r="CH65" s="145">
        <f>CH64*-Resumen!$K$17</f>
        <v>0</v>
      </c>
      <c r="CI65" s="145">
        <f>CI64*-Resumen!$K$17</f>
        <v>0</v>
      </c>
      <c r="CJ65" s="145">
        <f>CJ64*-Resumen!$K$17</f>
        <v>0</v>
      </c>
      <c r="CK65" s="145">
        <f>CK64*-Resumen!$K$17</f>
        <v>0</v>
      </c>
      <c r="CL65" s="145">
        <f>CL64*-Resumen!$K$17</f>
        <v>0</v>
      </c>
      <c r="CM65" s="145">
        <f>CM64*-Resumen!$K$17</f>
        <v>0</v>
      </c>
      <c r="CN65" s="145">
        <f>CN64*-Resumen!$K$17</f>
        <v>0</v>
      </c>
      <c r="CO65" s="145">
        <f>CO64*-Resumen!$K$17</f>
        <v>0</v>
      </c>
      <c r="CP65" s="145">
        <f>CP64*-Resumen!$K$17</f>
        <v>0</v>
      </c>
      <c r="CQ65" s="145">
        <f>CQ64*-Resumen!$K$17</f>
        <v>0</v>
      </c>
      <c r="CR65" s="145">
        <f>CR64*-Resumen!$K$17</f>
        <v>0</v>
      </c>
      <c r="CS65" s="145">
        <f>CS64*-Resumen!$K$17</f>
        <v>0</v>
      </c>
      <c r="CT65" s="145">
        <f>CT64*-Resumen!$K$17</f>
        <v>0</v>
      </c>
      <c r="CU65" s="145">
        <f>CU64*-Resumen!$K$17</f>
        <v>0</v>
      </c>
      <c r="CV65" s="145">
        <f>CV64*-Resumen!$K$17</f>
        <v>0</v>
      </c>
      <c r="CW65" s="145">
        <f>CW64*-Resumen!$K$17</f>
        <v>0</v>
      </c>
      <c r="CX65" s="145">
        <f>CX64*-Resumen!$K$17</f>
        <v>0</v>
      </c>
      <c r="CY65" s="145">
        <f>CY64*-Resumen!$K$17</f>
        <v>0</v>
      </c>
      <c r="CZ65" s="145">
        <f>CZ64*-Resumen!$K$17</f>
        <v>0</v>
      </c>
      <c r="DA65" s="145">
        <f>DA64*-Resumen!$K$17</f>
        <v>0</v>
      </c>
      <c r="DB65" s="145">
        <f>DB64*-Resumen!$K$17</f>
        <v>0</v>
      </c>
      <c r="DC65" s="145">
        <f>DC64*-Resumen!$K$17</f>
        <v>0</v>
      </c>
      <c r="DD65" s="145">
        <f>DD64*-Resumen!$K$17</f>
        <v>0</v>
      </c>
      <c r="DE65" s="145">
        <f>DE64*-Resumen!$K$17</f>
        <v>0</v>
      </c>
      <c r="DF65" s="145">
        <f>DF64*-Resumen!$K$17</f>
        <v>0</v>
      </c>
      <c r="DG65" s="145">
        <f>DG64*-Resumen!$K$17</f>
        <v>0</v>
      </c>
      <c r="DH65" s="145">
        <f>DH64*-Resumen!$K$17</f>
        <v>0</v>
      </c>
      <c r="DI65" s="145">
        <f>DI64*-Resumen!$K$17</f>
        <v>0</v>
      </c>
      <c r="DJ65" s="145">
        <f>DJ64*-Resumen!$K$17</f>
        <v>0</v>
      </c>
      <c r="DK65" s="145">
        <f>DK64*-Resumen!$K$17</f>
        <v>0</v>
      </c>
      <c r="DL65" s="145">
        <f>DL64*-Resumen!$K$17</f>
        <v>0</v>
      </c>
      <c r="DM65" s="145">
        <f>DM64*-Resumen!$K$17</f>
        <v>0</v>
      </c>
      <c r="DN65" s="145">
        <f>DN64*-Resumen!$K$17</f>
        <v>0</v>
      </c>
      <c r="DO65" s="145">
        <f>DO64*-Resumen!$K$17</f>
        <v>0</v>
      </c>
      <c r="DP65" s="145">
        <f>DP64*-Resumen!$K$17</f>
        <v>0</v>
      </c>
      <c r="DQ65" s="145">
        <f>DQ64*-Resumen!$K$17</f>
        <v>0</v>
      </c>
      <c r="DR65" s="145">
        <f>DR64*-Resumen!$K$17</f>
        <v>0</v>
      </c>
      <c r="DS65" s="145">
        <f>DS64*-Resumen!$K$17</f>
        <v>-2428561050.4760718</v>
      </c>
      <c r="DT65" s="145">
        <f>DT64*-Resumen!$K$17</f>
        <v>0</v>
      </c>
      <c r="DU65" s="145">
        <f>DU64*-Resumen!$K$17</f>
        <v>0</v>
      </c>
      <c r="DV65" s="145">
        <f>DV64*-Resumen!$K$17</f>
        <v>0</v>
      </c>
      <c r="DW65" s="145">
        <f>DW64*-Resumen!$K$17</f>
        <v>0</v>
      </c>
      <c r="DX65" s="145">
        <f>DX64*-Resumen!$K$17</f>
        <v>0</v>
      </c>
      <c r="DY65" s="145">
        <f>DY64*-Resumen!$K$17</f>
        <v>0</v>
      </c>
      <c r="DZ65" s="145">
        <f>DZ64*-Resumen!$K$17</f>
        <v>0</v>
      </c>
      <c r="EA65" s="145">
        <f>EA64*-Resumen!$K$17</f>
        <v>0</v>
      </c>
      <c r="EB65" s="145">
        <f>EB64*-Resumen!$K$17</f>
        <v>0</v>
      </c>
      <c r="EC65" s="145">
        <f>EC64*-Resumen!$K$17</f>
        <v>0</v>
      </c>
      <c r="ED65" s="145">
        <f>ED64*-Resumen!$K$17</f>
        <v>0</v>
      </c>
      <c r="EE65" s="146">
        <f>EE64*-Resumen!$K$17</f>
        <v>0</v>
      </c>
    </row>
    <row r="66" spans="1:135" x14ac:dyDescent="0.25">
      <c r="B66" s="5"/>
      <c r="C66" s="144"/>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c r="BJ66" s="145"/>
      <c r="BK66" s="145"/>
      <c r="BL66" s="145"/>
      <c r="BM66" s="145"/>
      <c r="BN66" s="145"/>
      <c r="BO66" s="145"/>
      <c r="BP66" s="145"/>
      <c r="BQ66" s="145"/>
      <c r="BR66" s="145"/>
      <c r="BS66" s="145"/>
      <c r="BT66" s="145"/>
      <c r="BU66" s="145"/>
      <c r="BV66" s="145"/>
      <c r="BW66" s="145"/>
      <c r="BX66" s="145"/>
      <c r="BY66" s="145"/>
      <c r="BZ66" s="145"/>
      <c r="CA66" s="145"/>
      <c r="CB66" s="145"/>
      <c r="CC66" s="145"/>
      <c r="CD66" s="145"/>
      <c r="CE66" s="145"/>
      <c r="CF66" s="145"/>
      <c r="CG66" s="145"/>
      <c r="CH66" s="145"/>
      <c r="CI66" s="145"/>
      <c r="CJ66" s="145"/>
      <c r="CK66" s="145"/>
      <c r="CL66" s="145"/>
      <c r="CM66" s="145"/>
      <c r="CN66" s="145"/>
      <c r="CO66" s="145"/>
      <c r="CP66" s="145"/>
      <c r="CQ66" s="145"/>
      <c r="CR66" s="145"/>
      <c r="CS66" s="145"/>
      <c r="CT66" s="145"/>
      <c r="CU66" s="145"/>
      <c r="CV66" s="145"/>
      <c r="CW66" s="145"/>
      <c r="CX66" s="145"/>
      <c r="CY66" s="145"/>
      <c r="CZ66" s="145"/>
      <c r="DA66" s="145"/>
      <c r="DB66" s="145"/>
      <c r="DC66" s="145"/>
      <c r="DD66" s="145"/>
      <c r="DE66" s="145"/>
      <c r="DF66" s="145"/>
      <c r="DG66" s="145"/>
      <c r="DH66" s="145"/>
      <c r="DI66" s="145"/>
      <c r="DJ66" s="145"/>
      <c r="DK66" s="145"/>
      <c r="DL66" s="145"/>
      <c r="DM66" s="145"/>
      <c r="DN66" s="145"/>
      <c r="DO66" s="145"/>
      <c r="DP66" s="145"/>
      <c r="DQ66" s="145"/>
      <c r="DR66" s="145"/>
      <c r="DS66" s="145"/>
      <c r="DT66" s="145"/>
      <c r="DU66" s="145"/>
      <c r="DV66" s="145"/>
      <c r="DW66" s="145"/>
      <c r="DX66" s="145"/>
      <c r="DY66" s="145"/>
      <c r="DZ66" s="145"/>
      <c r="EA66" s="145"/>
      <c r="EB66" s="145"/>
      <c r="EC66" s="145"/>
      <c r="ED66" s="145"/>
      <c r="EE66" s="146"/>
    </row>
    <row r="67" spans="1:135" x14ac:dyDescent="0.25">
      <c r="A67" s="152">
        <f>SUMIF($C$1:$EE$1,"&lt;="&amp;Resumen!$K$19,'Flujo de caja mensual'!C67:EE67)</f>
        <v>141222946659.79462</v>
      </c>
      <c r="B67" s="14" t="s">
        <v>48</v>
      </c>
      <c r="C67" s="150">
        <f>SUM(C47,C50:C53,C58:C59,C62:C65)</f>
        <v>-61504500000</v>
      </c>
      <c r="D67" s="148">
        <f t="shared" ref="D67:BO67" si="20">SUM(D47,D50:D53,D58:D59,D62:D65)</f>
        <v>153284467.18755198</v>
      </c>
      <c r="E67" s="148">
        <f t="shared" si="20"/>
        <v>-609074226.14334953</v>
      </c>
      <c r="F67" s="148">
        <f t="shared" si="20"/>
        <v>-791664391.63841987</v>
      </c>
      <c r="G67" s="148">
        <f t="shared" si="20"/>
        <v>-893165519.93504357</v>
      </c>
      <c r="H67" s="148">
        <f t="shared" si="20"/>
        <v>-889477555.99802589</v>
      </c>
      <c r="I67" s="148">
        <f t="shared" si="20"/>
        <v>-887650444.57326651</v>
      </c>
      <c r="J67" s="148">
        <f t="shared" si="20"/>
        <v>-883934130.18687677</v>
      </c>
      <c r="K67" s="148">
        <f t="shared" si="20"/>
        <v>-720203557.1443007</v>
      </c>
      <c r="L67" s="148">
        <f t="shared" si="20"/>
        <v>107466330.47057343</v>
      </c>
      <c r="M67" s="148">
        <f t="shared" si="20"/>
        <v>157517255.46296644</v>
      </c>
      <c r="N67" s="148">
        <f t="shared" si="20"/>
        <v>161290940.86143804</v>
      </c>
      <c r="O67" s="148">
        <f t="shared" si="20"/>
        <v>176102700.96209395</v>
      </c>
      <c r="P67" s="148">
        <f t="shared" si="20"/>
        <v>268335797.22533536</v>
      </c>
      <c r="Q67" s="148">
        <f t="shared" si="20"/>
        <v>283462307.9229815</v>
      </c>
      <c r="R67" s="148">
        <f t="shared" si="20"/>
        <v>298676134.68977451</v>
      </c>
      <c r="S67" s="148">
        <f t="shared" si="20"/>
        <v>313977687.25017691</v>
      </c>
      <c r="T67" s="148">
        <f t="shared" si="20"/>
        <v>329367377.07550359</v>
      </c>
      <c r="U67" s="148">
        <f t="shared" si="20"/>
        <v>344845617.39096498</v>
      </c>
      <c r="V67" s="148">
        <f t="shared" si="20"/>
        <v>333937701.95761228</v>
      </c>
      <c r="W67" s="148">
        <f t="shared" si="20"/>
        <v>337593247.66792655</v>
      </c>
      <c r="X67" s="148">
        <f t="shared" si="20"/>
        <v>341260017.55896044</v>
      </c>
      <c r="Y67" s="148">
        <f t="shared" si="20"/>
        <v>344938046.08359897</v>
      </c>
      <c r="Z67" s="148">
        <f t="shared" si="20"/>
        <v>348627367.79999304</v>
      </c>
      <c r="AA67" s="148">
        <f t="shared" si="20"/>
        <v>352328017.37187612</v>
      </c>
      <c r="AB67" s="148">
        <f t="shared" si="20"/>
        <v>365682641.53792524</v>
      </c>
      <c r="AC67" s="148">
        <f t="shared" si="20"/>
        <v>369014961.03673863</v>
      </c>
      <c r="AD67" s="148">
        <f t="shared" si="20"/>
        <v>372356174.52059293</v>
      </c>
      <c r="AE67" s="148">
        <f t="shared" si="20"/>
        <v>375706305.15629315</v>
      </c>
      <c r="AF67" s="148">
        <f t="shared" si="20"/>
        <v>379065376.168437</v>
      </c>
      <c r="AG67" s="148">
        <f t="shared" si="20"/>
        <v>382433410.83954</v>
      </c>
      <c r="AH67" s="148">
        <f t="shared" si="20"/>
        <v>385810432.51017451</v>
      </c>
      <c r="AI67" s="148">
        <f t="shared" si="20"/>
        <v>389196464.57909918</v>
      </c>
      <c r="AJ67" s="148">
        <f t="shared" si="20"/>
        <v>392591530.50339389</v>
      </c>
      <c r="AK67" s="148">
        <f t="shared" si="20"/>
        <v>395995653.79859328</v>
      </c>
      <c r="AL67" s="148">
        <f t="shared" si="20"/>
        <v>399408858.03882051</v>
      </c>
      <c r="AM67" s="148">
        <f t="shared" si="20"/>
        <v>402831166.85692096</v>
      </c>
      <c r="AN67" s="148">
        <f t="shared" si="20"/>
        <v>401349261.88644791</v>
      </c>
      <c r="AO67" s="148">
        <f t="shared" si="20"/>
        <v>404789850.99439549</v>
      </c>
      <c r="AP67" s="148">
        <f t="shared" si="20"/>
        <v>408239615.9324348</v>
      </c>
      <c r="AQ67" s="148">
        <f t="shared" si="20"/>
        <v>411698580.56964922</v>
      </c>
      <c r="AR67" s="148">
        <f t="shared" si="20"/>
        <v>415166768.83451915</v>
      </c>
      <c r="AS67" s="148">
        <f t="shared" si="20"/>
        <v>418644204.71505737</v>
      </c>
      <c r="AT67" s="148">
        <f t="shared" si="20"/>
        <v>422130912.25894618</v>
      </c>
      <c r="AU67" s="148">
        <f t="shared" si="20"/>
        <v>425626915.57367277</v>
      </c>
      <c r="AV67" s="148">
        <f t="shared" si="20"/>
        <v>429132238.82666564</v>
      </c>
      <c r="AW67" s="148">
        <f t="shared" si="20"/>
        <v>432646906.24543166</v>
      </c>
      <c r="AX67" s="148">
        <f t="shared" si="20"/>
        <v>436170942.11769223</v>
      </c>
      <c r="AY67" s="148">
        <f t="shared" si="20"/>
        <v>439704370.79152203</v>
      </c>
      <c r="AZ67" s="148">
        <f t="shared" si="20"/>
        <v>438178445.40242767</v>
      </c>
      <c r="BA67" s="148">
        <f t="shared" si="20"/>
        <v>441730732.96571565</v>
      </c>
      <c r="BB67" s="148">
        <f t="shared" si="20"/>
        <v>445292486.73828483</v>
      </c>
      <c r="BC67" s="148">
        <f t="shared" si="20"/>
        <v>448863731.31099582</v>
      </c>
      <c r="BD67" s="148">
        <f t="shared" si="20"/>
        <v>452444491.33575177</v>
      </c>
      <c r="BE67" s="148">
        <f t="shared" si="20"/>
        <v>456034791.5256362</v>
      </c>
      <c r="BF67" s="148">
        <f t="shared" si="20"/>
        <v>459634656.65505171</v>
      </c>
      <c r="BG67" s="148">
        <f t="shared" si="20"/>
        <v>463244111.55986118</v>
      </c>
      <c r="BH67" s="148">
        <f t="shared" si="20"/>
        <v>466863181.1375258</v>
      </c>
      <c r="BI67" s="148">
        <f t="shared" si="20"/>
        <v>470491890.34724522</v>
      </c>
      <c r="BJ67" s="148">
        <f t="shared" si="20"/>
        <v>474130264.2100966</v>
      </c>
      <c r="BK67" s="148">
        <f t="shared" si="20"/>
        <v>40837494230.489571</v>
      </c>
      <c r="BL67" s="148">
        <f t="shared" si="20"/>
        <v>187370368.28168261</v>
      </c>
      <c r="BM67" s="148">
        <f t="shared" si="20"/>
        <v>191037886.85128486</v>
      </c>
      <c r="BN67" s="148">
        <f t="shared" si="20"/>
        <v>194715170.77992213</v>
      </c>
      <c r="BO67" s="148">
        <f t="shared" si="20"/>
        <v>198402245.40017283</v>
      </c>
      <c r="BP67" s="148">
        <f t="shared" ref="BP67:EA67" si="21">SUM(BP47,BP50:BP53,BP58:BP59,BP62:BP65)</f>
        <v>202099136.10733998</v>
      </c>
      <c r="BQ67" s="148">
        <f t="shared" si="21"/>
        <v>205805868.35959017</v>
      </c>
      <c r="BR67" s="148">
        <f t="shared" si="21"/>
        <v>209522467.67809951</v>
      </c>
      <c r="BS67" s="148">
        <f t="shared" si="21"/>
        <v>213248959.64719284</v>
      </c>
      <c r="BT67" s="148">
        <f t="shared" si="21"/>
        <v>216985369.91448748</v>
      </c>
      <c r="BU67" s="148">
        <f t="shared" si="21"/>
        <v>220731724.19103825</v>
      </c>
      <c r="BV67" s="148">
        <f t="shared" si="21"/>
        <v>224488048.25147545</v>
      </c>
      <c r="BW67" s="148">
        <f t="shared" si="21"/>
        <v>228254367.93415225</v>
      </c>
      <c r="BX67" s="148">
        <f t="shared" si="21"/>
        <v>226635714.46399415</v>
      </c>
      <c r="BY67" s="148">
        <f t="shared" si="21"/>
        <v>230422103.16181767</v>
      </c>
      <c r="BZ67" s="148">
        <f t="shared" si="21"/>
        <v>234218565.38070929</v>
      </c>
      <c r="CA67" s="148">
        <f t="shared" si="21"/>
        <v>238025127.21534884</v>
      </c>
      <c r="CB67" s="148">
        <f t="shared" si="21"/>
        <v>241841814.82485878</v>
      </c>
      <c r="CC67" s="148">
        <f t="shared" si="21"/>
        <v>245668654.43294632</v>
      </c>
      <c r="CD67" s="148">
        <f t="shared" si="21"/>
        <v>249505672.32805359</v>
      </c>
      <c r="CE67" s="148">
        <f t="shared" si="21"/>
        <v>253352894.86350071</v>
      </c>
      <c r="CF67" s="148">
        <f t="shared" si="21"/>
        <v>257210348.4576298</v>
      </c>
      <c r="CG67" s="148">
        <f t="shared" si="21"/>
        <v>261078059.59395397</v>
      </c>
      <c r="CH67" s="148">
        <f t="shared" si="21"/>
        <v>264956054.82130063</v>
      </c>
      <c r="CI67" s="148">
        <f t="shared" si="21"/>
        <v>268844360.75396121</v>
      </c>
      <c r="CJ67" s="148">
        <f t="shared" si="21"/>
        <v>267176865.03731477</v>
      </c>
      <c r="CK67" s="148">
        <f t="shared" si="21"/>
        <v>271085872.48605502</v>
      </c>
      <c r="CL67" s="148">
        <f t="shared" si="21"/>
        <v>275005270.87722099</v>
      </c>
      <c r="CM67" s="148">
        <f t="shared" si="21"/>
        <v>278935087.0884217</v>
      </c>
      <c r="CN67" s="148">
        <f t="shared" si="21"/>
        <v>282875348.06346357</v>
      </c>
      <c r="CO67" s="148">
        <f t="shared" si="21"/>
        <v>286826080.8125006</v>
      </c>
      <c r="CP67" s="148">
        <f t="shared" si="21"/>
        <v>290787312.41218126</v>
      </c>
      <c r="CQ67" s="148">
        <f t="shared" si="21"/>
        <v>294759070.00579584</v>
      </c>
      <c r="CR67" s="148">
        <f t="shared" si="21"/>
        <v>298741380.80342829</v>
      </c>
      <c r="CS67" s="148">
        <f t="shared" si="21"/>
        <v>302734272.08210266</v>
      </c>
      <c r="CT67" s="148">
        <f t="shared" si="21"/>
        <v>306737771.18593323</v>
      </c>
      <c r="CU67" s="148">
        <f t="shared" si="21"/>
        <v>310751905.52627528</v>
      </c>
      <c r="CV67" s="148">
        <f t="shared" si="21"/>
        <v>309033820.13356745</v>
      </c>
      <c r="CW67" s="148">
        <f t="shared" si="21"/>
        <v>313069307.45070374</v>
      </c>
      <c r="CX67" s="148">
        <f t="shared" si="21"/>
        <v>317115512.64335406</v>
      </c>
      <c r="CY67" s="148">
        <f t="shared" si="21"/>
        <v>321172463.3933326</v>
      </c>
      <c r="CZ67" s="148">
        <f t="shared" si="21"/>
        <v>325240187.45044744</v>
      </c>
      <c r="DA67" s="148">
        <f t="shared" si="21"/>
        <v>329318712.63264716</v>
      </c>
      <c r="DB67" s="148">
        <f t="shared" si="21"/>
        <v>333408066.82617676</v>
      </c>
      <c r="DC67" s="148">
        <f t="shared" si="21"/>
        <v>337508277.98572481</v>
      </c>
      <c r="DD67" s="148">
        <f t="shared" si="21"/>
        <v>341619374.13458097</v>
      </c>
      <c r="DE67" s="148">
        <f t="shared" si="21"/>
        <v>345741383.36478126</v>
      </c>
      <c r="DF67" s="148">
        <f t="shared" si="21"/>
        <v>349874333.83726656</v>
      </c>
      <c r="DG67" s="148">
        <f t="shared" si="21"/>
        <v>354018253.78203309</v>
      </c>
      <c r="DH67" s="148">
        <f t="shared" si="21"/>
        <v>352247755.37164128</v>
      </c>
      <c r="DI67" s="148">
        <f t="shared" si="21"/>
        <v>356413699.22794092</v>
      </c>
      <c r="DJ67" s="148">
        <f t="shared" si="21"/>
        <v>360590697.66236985</v>
      </c>
      <c r="DK67" s="148">
        <f t="shared" si="21"/>
        <v>364778779.18267667</v>
      </c>
      <c r="DL67" s="148">
        <f t="shared" si="21"/>
        <v>368977972.36643326</v>
      </c>
      <c r="DM67" s="148">
        <f t="shared" si="21"/>
        <v>373188305.86118686</v>
      </c>
      <c r="DN67" s="148">
        <f t="shared" si="21"/>
        <v>377409808.38461792</v>
      </c>
      <c r="DO67" s="148">
        <f t="shared" si="21"/>
        <v>381642508.72469246</v>
      </c>
      <c r="DP67" s="148">
        <f t="shared" si="21"/>
        <v>385886435.73981678</v>
      </c>
      <c r="DQ67" s="148">
        <f t="shared" si="21"/>
        <v>390141618.35899699</v>
      </c>
      <c r="DR67" s="148">
        <f t="shared" si="21"/>
        <v>394408085.58198798</v>
      </c>
      <c r="DS67" s="148">
        <f t="shared" si="21"/>
        <v>131226166332.33127</v>
      </c>
      <c r="DT67" s="148">
        <f t="shared" si="21"/>
        <v>0</v>
      </c>
      <c r="DU67" s="148">
        <f t="shared" si="21"/>
        <v>0</v>
      </c>
      <c r="DV67" s="148">
        <f t="shared" si="21"/>
        <v>0</v>
      </c>
      <c r="DW67" s="148">
        <f t="shared" si="21"/>
        <v>0</v>
      </c>
      <c r="DX67" s="148">
        <f t="shared" si="21"/>
        <v>0</v>
      </c>
      <c r="DY67" s="148">
        <f t="shared" si="21"/>
        <v>0</v>
      </c>
      <c r="DZ67" s="148">
        <f t="shared" si="21"/>
        <v>0</v>
      </c>
      <c r="EA67" s="148">
        <f t="shared" si="21"/>
        <v>0</v>
      </c>
      <c r="EB67" s="148">
        <f>SUM(EB47,EB50:EB53,EB58:EB59,EB62:EB65)</f>
        <v>0</v>
      </c>
      <c r="EC67" s="148">
        <f>SUM(EC47,EC50:EC53,EC58:EC59,EC62:EC65)</f>
        <v>0</v>
      </c>
      <c r="ED67" s="148">
        <f>SUM(ED47,ED50:ED53,ED58:ED59,ED62:ED65)</f>
        <v>0</v>
      </c>
      <c r="EE67" s="149">
        <f>SUM(EE47,EE50:EE53,EE58:EE59,EE62:EE65)</f>
        <v>0</v>
      </c>
    </row>
    <row r="69" spans="1:135" x14ac:dyDescent="0.25">
      <c r="B69" s="28" t="s">
        <v>45</v>
      </c>
      <c r="C69" s="151">
        <v>0</v>
      </c>
      <c r="D69" s="145">
        <f>C70</f>
        <v>0</v>
      </c>
      <c r="E69" s="145">
        <f t="shared" ref="E69:BP69" si="22">D70</f>
        <v>0</v>
      </c>
      <c r="F69" s="145">
        <f t="shared" si="22"/>
        <v>0</v>
      </c>
      <c r="G69" s="145">
        <f t="shared" si="22"/>
        <v>0</v>
      </c>
      <c r="H69" s="145">
        <f t="shared" si="22"/>
        <v>0</v>
      </c>
      <c r="I69" s="145">
        <f t="shared" si="22"/>
        <v>0</v>
      </c>
      <c r="J69" s="145">
        <f t="shared" si="22"/>
        <v>0</v>
      </c>
      <c r="K69" s="145">
        <f t="shared" si="22"/>
        <v>0</v>
      </c>
      <c r="L69" s="145">
        <f t="shared" si="22"/>
        <v>0</v>
      </c>
      <c r="M69" s="145">
        <f t="shared" si="22"/>
        <v>0</v>
      </c>
      <c r="N69" s="145">
        <f t="shared" si="22"/>
        <v>0</v>
      </c>
      <c r="O69" s="145">
        <f t="shared" si="22"/>
        <v>0</v>
      </c>
      <c r="P69" s="145">
        <f t="shared" si="22"/>
        <v>0</v>
      </c>
      <c r="Q69" s="145">
        <f t="shared" si="22"/>
        <v>0</v>
      </c>
      <c r="R69" s="145">
        <f t="shared" si="22"/>
        <v>0</v>
      </c>
      <c r="S69" s="145">
        <f t="shared" si="22"/>
        <v>0</v>
      </c>
      <c r="T69" s="145">
        <f t="shared" si="22"/>
        <v>0</v>
      </c>
      <c r="U69" s="145">
        <f t="shared" si="22"/>
        <v>0</v>
      </c>
      <c r="V69" s="145">
        <f t="shared" si="22"/>
        <v>0</v>
      </c>
      <c r="W69" s="145">
        <f t="shared" si="22"/>
        <v>0</v>
      </c>
      <c r="X69" s="145">
        <f t="shared" si="22"/>
        <v>0</v>
      </c>
      <c r="Y69" s="145">
        <f t="shared" si="22"/>
        <v>0</v>
      </c>
      <c r="Z69" s="145">
        <f t="shared" si="22"/>
        <v>0</v>
      </c>
      <c r="AA69" s="145">
        <f t="shared" si="22"/>
        <v>0</v>
      </c>
      <c r="AB69" s="145">
        <f t="shared" si="22"/>
        <v>0</v>
      </c>
      <c r="AC69" s="145">
        <f t="shared" si="22"/>
        <v>0</v>
      </c>
      <c r="AD69" s="145">
        <f t="shared" si="22"/>
        <v>0</v>
      </c>
      <c r="AE69" s="145">
        <f t="shared" si="22"/>
        <v>0</v>
      </c>
      <c r="AF69" s="145">
        <f t="shared" si="22"/>
        <v>0</v>
      </c>
      <c r="AG69" s="145">
        <f t="shared" si="22"/>
        <v>0</v>
      </c>
      <c r="AH69" s="145">
        <f t="shared" si="22"/>
        <v>0</v>
      </c>
      <c r="AI69" s="145">
        <f t="shared" si="22"/>
        <v>0</v>
      </c>
      <c r="AJ69" s="145">
        <f t="shared" si="22"/>
        <v>0</v>
      </c>
      <c r="AK69" s="145">
        <f t="shared" si="22"/>
        <v>0</v>
      </c>
      <c r="AL69" s="145">
        <f t="shared" si="22"/>
        <v>0</v>
      </c>
      <c r="AM69" s="145">
        <f t="shared" si="22"/>
        <v>0</v>
      </c>
      <c r="AN69" s="145">
        <f t="shared" si="22"/>
        <v>0</v>
      </c>
      <c r="AO69" s="145">
        <f t="shared" si="22"/>
        <v>0</v>
      </c>
      <c r="AP69" s="145">
        <f t="shared" si="22"/>
        <v>0</v>
      </c>
      <c r="AQ69" s="145">
        <f t="shared" si="22"/>
        <v>0</v>
      </c>
      <c r="AR69" s="145">
        <f t="shared" si="22"/>
        <v>0</v>
      </c>
      <c r="AS69" s="145">
        <f t="shared" si="22"/>
        <v>0</v>
      </c>
      <c r="AT69" s="145">
        <f t="shared" si="22"/>
        <v>0</v>
      </c>
      <c r="AU69" s="145">
        <f t="shared" si="22"/>
        <v>0</v>
      </c>
      <c r="AV69" s="145">
        <f t="shared" si="22"/>
        <v>0</v>
      </c>
      <c r="AW69" s="145">
        <f t="shared" si="22"/>
        <v>0</v>
      </c>
      <c r="AX69" s="145">
        <f t="shared" si="22"/>
        <v>0</v>
      </c>
      <c r="AY69" s="145">
        <f t="shared" si="22"/>
        <v>0</v>
      </c>
      <c r="AZ69" s="145">
        <f t="shared" si="22"/>
        <v>0</v>
      </c>
      <c r="BA69" s="145">
        <f t="shared" si="22"/>
        <v>0</v>
      </c>
      <c r="BB69" s="145">
        <f t="shared" si="22"/>
        <v>0</v>
      </c>
      <c r="BC69" s="145">
        <f t="shared" si="22"/>
        <v>0</v>
      </c>
      <c r="BD69" s="145">
        <f t="shared" si="22"/>
        <v>0</v>
      </c>
      <c r="BE69" s="145">
        <f t="shared" si="22"/>
        <v>0</v>
      </c>
      <c r="BF69" s="145">
        <f t="shared" si="22"/>
        <v>0</v>
      </c>
      <c r="BG69" s="145">
        <f t="shared" si="22"/>
        <v>0</v>
      </c>
      <c r="BH69" s="145">
        <f t="shared" si="22"/>
        <v>0</v>
      </c>
      <c r="BI69" s="145">
        <f t="shared" si="22"/>
        <v>0</v>
      </c>
      <c r="BJ69" s="145">
        <f t="shared" si="22"/>
        <v>0</v>
      </c>
      <c r="BK69" s="145">
        <f t="shared" si="22"/>
        <v>0</v>
      </c>
      <c r="BL69" s="145">
        <f t="shared" si="22"/>
        <v>0</v>
      </c>
      <c r="BM69" s="145">
        <f t="shared" si="22"/>
        <v>0</v>
      </c>
      <c r="BN69" s="145">
        <f t="shared" si="22"/>
        <v>0</v>
      </c>
      <c r="BO69" s="145">
        <f t="shared" si="22"/>
        <v>0</v>
      </c>
      <c r="BP69" s="145">
        <f t="shared" si="22"/>
        <v>0</v>
      </c>
      <c r="BQ69" s="145">
        <f t="shared" ref="BQ69:EB69" si="23">BP70</f>
        <v>0</v>
      </c>
      <c r="BR69" s="145">
        <f t="shared" si="23"/>
        <v>0</v>
      </c>
      <c r="BS69" s="145">
        <f t="shared" si="23"/>
        <v>0</v>
      </c>
      <c r="BT69" s="145">
        <f t="shared" si="23"/>
        <v>0</v>
      </c>
      <c r="BU69" s="145">
        <f t="shared" si="23"/>
        <v>0</v>
      </c>
      <c r="BV69" s="145">
        <f t="shared" si="23"/>
        <v>0</v>
      </c>
      <c r="BW69" s="145">
        <f t="shared" si="23"/>
        <v>0</v>
      </c>
      <c r="BX69" s="145">
        <f t="shared" si="23"/>
        <v>0</v>
      </c>
      <c r="BY69" s="145">
        <f t="shared" si="23"/>
        <v>0</v>
      </c>
      <c r="BZ69" s="145">
        <f t="shared" si="23"/>
        <v>0</v>
      </c>
      <c r="CA69" s="145">
        <f t="shared" si="23"/>
        <v>0</v>
      </c>
      <c r="CB69" s="145">
        <f t="shared" si="23"/>
        <v>0</v>
      </c>
      <c r="CC69" s="145">
        <f t="shared" si="23"/>
        <v>0</v>
      </c>
      <c r="CD69" s="145">
        <f t="shared" si="23"/>
        <v>0</v>
      </c>
      <c r="CE69" s="145">
        <f t="shared" si="23"/>
        <v>0</v>
      </c>
      <c r="CF69" s="145">
        <f t="shared" si="23"/>
        <v>0</v>
      </c>
      <c r="CG69" s="145">
        <f t="shared" si="23"/>
        <v>0</v>
      </c>
      <c r="CH69" s="145">
        <f t="shared" si="23"/>
        <v>0</v>
      </c>
      <c r="CI69" s="145">
        <f t="shared" si="23"/>
        <v>0</v>
      </c>
      <c r="CJ69" s="145">
        <f t="shared" si="23"/>
        <v>0</v>
      </c>
      <c r="CK69" s="145">
        <f t="shared" si="23"/>
        <v>0</v>
      </c>
      <c r="CL69" s="145">
        <f t="shared" si="23"/>
        <v>0</v>
      </c>
      <c r="CM69" s="145">
        <f t="shared" si="23"/>
        <v>0</v>
      </c>
      <c r="CN69" s="145">
        <f t="shared" si="23"/>
        <v>0</v>
      </c>
      <c r="CO69" s="145">
        <f t="shared" si="23"/>
        <v>0</v>
      </c>
      <c r="CP69" s="145">
        <f t="shared" si="23"/>
        <v>0</v>
      </c>
      <c r="CQ69" s="145">
        <f t="shared" si="23"/>
        <v>0</v>
      </c>
      <c r="CR69" s="145">
        <f t="shared" si="23"/>
        <v>0</v>
      </c>
      <c r="CS69" s="145">
        <f t="shared" si="23"/>
        <v>0</v>
      </c>
      <c r="CT69" s="145">
        <f t="shared" si="23"/>
        <v>0</v>
      </c>
      <c r="CU69" s="145">
        <f t="shared" si="23"/>
        <v>0</v>
      </c>
      <c r="CV69" s="145">
        <f t="shared" si="23"/>
        <v>0</v>
      </c>
      <c r="CW69" s="145">
        <f t="shared" si="23"/>
        <v>0</v>
      </c>
      <c r="CX69" s="145">
        <f t="shared" si="23"/>
        <v>0</v>
      </c>
      <c r="CY69" s="145">
        <f t="shared" si="23"/>
        <v>0</v>
      </c>
      <c r="CZ69" s="145">
        <f t="shared" si="23"/>
        <v>0</v>
      </c>
      <c r="DA69" s="145">
        <f t="shared" si="23"/>
        <v>0</v>
      </c>
      <c r="DB69" s="145">
        <f t="shared" si="23"/>
        <v>0</v>
      </c>
      <c r="DC69" s="145">
        <f t="shared" si="23"/>
        <v>0</v>
      </c>
      <c r="DD69" s="145">
        <f t="shared" si="23"/>
        <v>0</v>
      </c>
      <c r="DE69" s="145">
        <f t="shared" si="23"/>
        <v>0</v>
      </c>
      <c r="DF69" s="145">
        <f t="shared" si="23"/>
        <v>0</v>
      </c>
      <c r="DG69" s="145">
        <f t="shared" si="23"/>
        <v>0</v>
      </c>
      <c r="DH69" s="145">
        <f t="shared" si="23"/>
        <v>0</v>
      </c>
      <c r="DI69" s="145">
        <f t="shared" si="23"/>
        <v>0</v>
      </c>
      <c r="DJ69" s="145">
        <f t="shared" si="23"/>
        <v>0</v>
      </c>
      <c r="DK69" s="145">
        <f t="shared" si="23"/>
        <v>0</v>
      </c>
      <c r="DL69" s="145">
        <f t="shared" si="23"/>
        <v>0</v>
      </c>
      <c r="DM69" s="145">
        <f t="shared" si="23"/>
        <v>0</v>
      </c>
      <c r="DN69" s="145">
        <f t="shared" si="23"/>
        <v>0</v>
      </c>
      <c r="DO69" s="145">
        <f t="shared" si="23"/>
        <v>0</v>
      </c>
      <c r="DP69" s="145">
        <f t="shared" si="23"/>
        <v>0</v>
      </c>
      <c r="DQ69" s="145">
        <f t="shared" si="23"/>
        <v>0</v>
      </c>
      <c r="DR69" s="145">
        <f t="shared" si="23"/>
        <v>0</v>
      </c>
      <c r="DS69" s="145">
        <f t="shared" si="23"/>
        <v>0</v>
      </c>
      <c r="DT69" s="145">
        <f t="shared" si="23"/>
        <v>0</v>
      </c>
      <c r="DU69" s="145">
        <f t="shared" si="23"/>
        <v>0</v>
      </c>
      <c r="DV69" s="145">
        <f t="shared" si="23"/>
        <v>0</v>
      </c>
      <c r="DW69" s="145">
        <f t="shared" si="23"/>
        <v>0</v>
      </c>
      <c r="DX69" s="145">
        <f t="shared" si="23"/>
        <v>0</v>
      </c>
      <c r="DY69" s="145">
        <f t="shared" si="23"/>
        <v>0</v>
      </c>
      <c r="DZ69" s="145">
        <f t="shared" si="23"/>
        <v>0</v>
      </c>
      <c r="EA69" s="145">
        <f t="shared" si="23"/>
        <v>0</v>
      </c>
      <c r="EB69" s="145">
        <f t="shared" si="23"/>
        <v>0</v>
      </c>
      <c r="EC69" s="145">
        <f>EB70</f>
        <v>0</v>
      </c>
      <c r="ED69" s="145">
        <f>EC70</f>
        <v>0</v>
      </c>
      <c r="EE69" s="145">
        <f>ED70</f>
        <v>0</v>
      </c>
    </row>
    <row r="70" spans="1:135" x14ac:dyDescent="0.25">
      <c r="B70" s="28" t="s">
        <v>46</v>
      </c>
      <c r="C70" s="145">
        <f>-C58</f>
        <v>0</v>
      </c>
      <c r="D70" s="145">
        <f t="shared" ref="D70:AI70" si="24">D69-D59</f>
        <v>0</v>
      </c>
      <c r="E70" s="145">
        <f t="shared" si="24"/>
        <v>0</v>
      </c>
      <c r="F70" s="145">
        <f t="shared" si="24"/>
        <v>0</v>
      </c>
      <c r="G70" s="145">
        <f t="shared" si="24"/>
        <v>0</v>
      </c>
      <c r="H70" s="145">
        <f t="shared" si="24"/>
        <v>0</v>
      </c>
      <c r="I70" s="145">
        <f t="shared" si="24"/>
        <v>0</v>
      </c>
      <c r="J70" s="145">
        <f t="shared" si="24"/>
        <v>0</v>
      </c>
      <c r="K70" s="145">
        <f t="shared" si="24"/>
        <v>0</v>
      </c>
      <c r="L70" s="145">
        <f t="shared" si="24"/>
        <v>0</v>
      </c>
      <c r="M70" s="145">
        <f t="shared" si="24"/>
        <v>0</v>
      </c>
      <c r="N70" s="145">
        <f t="shared" si="24"/>
        <v>0</v>
      </c>
      <c r="O70" s="145">
        <f t="shared" si="24"/>
        <v>0</v>
      </c>
      <c r="P70" s="145">
        <f t="shared" si="24"/>
        <v>0</v>
      </c>
      <c r="Q70" s="145">
        <f t="shared" si="24"/>
        <v>0</v>
      </c>
      <c r="R70" s="145">
        <f t="shared" si="24"/>
        <v>0</v>
      </c>
      <c r="S70" s="145">
        <f t="shared" si="24"/>
        <v>0</v>
      </c>
      <c r="T70" s="145">
        <f t="shared" si="24"/>
        <v>0</v>
      </c>
      <c r="U70" s="145">
        <f t="shared" si="24"/>
        <v>0</v>
      </c>
      <c r="V70" s="145">
        <f t="shared" si="24"/>
        <v>0</v>
      </c>
      <c r="W70" s="145">
        <f t="shared" si="24"/>
        <v>0</v>
      </c>
      <c r="X70" s="145">
        <f t="shared" si="24"/>
        <v>0</v>
      </c>
      <c r="Y70" s="145">
        <f t="shared" si="24"/>
        <v>0</v>
      </c>
      <c r="Z70" s="145">
        <f t="shared" si="24"/>
        <v>0</v>
      </c>
      <c r="AA70" s="145">
        <f t="shared" si="24"/>
        <v>0</v>
      </c>
      <c r="AB70" s="145">
        <f t="shared" si="24"/>
        <v>0</v>
      </c>
      <c r="AC70" s="145">
        <f t="shared" si="24"/>
        <v>0</v>
      </c>
      <c r="AD70" s="145">
        <f t="shared" si="24"/>
        <v>0</v>
      </c>
      <c r="AE70" s="145">
        <f t="shared" si="24"/>
        <v>0</v>
      </c>
      <c r="AF70" s="145">
        <f t="shared" si="24"/>
        <v>0</v>
      </c>
      <c r="AG70" s="145">
        <f t="shared" si="24"/>
        <v>0</v>
      </c>
      <c r="AH70" s="145">
        <f t="shared" si="24"/>
        <v>0</v>
      </c>
      <c r="AI70" s="145">
        <f t="shared" si="24"/>
        <v>0</v>
      </c>
      <c r="AJ70" s="145">
        <f t="shared" ref="AJ70:BO70" si="25">AJ69-AJ59</f>
        <v>0</v>
      </c>
      <c r="AK70" s="145">
        <f t="shared" si="25"/>
        <v>0</v>
      </c>
      <c r="AL70" s="145">
        <f t="shared" si="25"/>
        <v>0</v>
      </c>
      <c r="AM70" s="145">
        <f t="shared" si="25"/>
        <v>0</v>
      </c>
      <c r="AN70" s="145">
        <f t="shared" si="25"/>
        <v>0</v>
      </c>
      <c r="AO70" s="145">
        <f t="shared" si="25"/>
        <v>0</v>
      </c>
      <c r="AP70" s="145">
        <f t="shared" si="25"/>
        <v>0</v>
      </c>
      <c r="AQ70" s="145">
        <f t="shared" si="25"/>
        <v>0</v>
      </c>
      <c r="AR70" s="145">
        <f t="shared" si="25"/>
        <v>0</v>
      </c>
      <c r="AS70" s="145">
        <f t="shared" si="25"/>
        <v>0</v>
      </c>
      <c r="AT70" s="145">
        <f t="shared" si="25"/>
        <v>0</v>
      </c>
      <c r="AU70" s="145">
        <f t="shared" si="25"/>
        <v>0</v>
      </c>
      <c r="AV70" s="145">
        <f t="shared" si="25"/>
        <v>0</v>
      </c>
      <c r="AW70" s="145">
        <f t="shared" si="25"/>
        <v>0</v>
      </c>
      <c r="AX70" s="145">
        <f t="shared" si="25"/>
        <v>0</v>
      </c>
      <c r="AY70" s="145">
        <f t="shared" si="25"/>
        <v>0</v>
      </c>
      <c r="AZ70" s="145">
        <f t="shared" si="25"/>
        <v>0</v>
      </c>
      <c r="BA70" s="145">
        <f t="shared" si="25"/>
        <v>0</v>
      </c>
      <c r="BB70" s="145">
        <f t="shared" si="25"/>
        <v>0</v>
      </c>
      <c r="BC70" s="145">
        <f t="shared" si="25"/>
        <v>0</v>
      </c>
      <c r="BD70" s="145">
        <f t="shared" si="25"/>
        <v>0</v>
      </c>
      <c r="BE70" s="145">
        <f t="shared" si="25"/>
        <v>0</v>
      </c>
      <c r="BF70" s="145">
        <f t="shared" si="25"/>
        <v>0</v>
      </c>
      <c r="BG70" s="145">
        <f t="shared" si="25"/>
        <v>0</v>
      </c>
      <c r="BH70" s="145">
        <f t="shared" si="25"/>
        <v>0</v>
      </c>
      <c r="BI70" s="145">
        <f t="shared" si="25"/>
        <v>0</v>
      </c>
      <c r="BJ70" s="145">
        <f t="shared" si="25"/>
        <v>0</v>
      </c>
      <c r="BK70" s="145">
        <f t="shared" si="25"/>
        <v>0</v>
      </c>
      <c r="BL70" s="145">
        <f t="shared" si="25"/>
        <v>0</v>
      </c>
      <c r="BM70" s="145">
        <f t="shared" si="25"/>
        <v>0</v>
      </c>
      <c r="BN70" s="145">
        <f t="shared" si="25"/>
        <v>0</v>
      </c>
      <c r="BO70" s="145">
        <f t="shared" si="25"/>
        <v>0</v>
      </c>
      <c r="BP70" s="145">
        <f t="shared" ref="BP70:CU70" si="26">BP69-BP59</f>
        <v>0</v>
      </c>
      <c r="BQ70" s="145">
        <f t="shared" si="26"/>
        <v>0</v>
      </c>
      <c r="BR70" s="145">
        <f t="shared" si="26"/>
        <v>0</v>
      </c>
      <c r="BS70" s="145">
        <f t="shared" si="26"/>
        <v>0</v>
      </c>
      <c r="BT70" s="145">
        <f t="shared" si="26"/>
        <v>0</v>
      </c>
      <c r="BU70" s="145">
        <f t="shared" si="26"/>
        <v>0</v>
      </c>
      <c r="BV70" s="145">
        <f t="shared" si="26"/>
        <v>0</v>
      </c>
      <c r="BW70" s="145">
        <f t="shared" si="26"/>
        <v>0</v>
      </c>
      <c r="BX70" s="145">
        <f t="shared" si="26"/>
        <v>0</v>
      </c>
      <c r="BY70" s="145">
        <f t="shared" si="26"/>
        <v>0</v>
      </c>
      <c r="BZ70" s="145">
        <f t="shared" si="26"/>
        <v>0</v>
      </c>
      <c r="CA70" s="145">
        <f t="shared" si="26"/>
        <v>0</v>
      </c>
      <c r="CB70" s="145">
        <f t="shared" si="26"/>
        <v>0</v>
      </c>
      <c r="CC70" s="145">
        <f t="shared" si="26"/>
        <v>0</v>
      </c>
      <c r="CD70" s="145">
        <f t="shared" si="26"/>
        <v>0</v>
      </c>
      <c r="CE70" s="145">
        <f t="shared" si="26"/>
        <v>0</v>
      </c>
      <c r="CF70" s="145">
        <f t="shared" si="26"/>
        <v>0</v>
      </c>
      <c r="CG70" s="145">
        <f t="shared" si="26"/>
        <v>0</v>
      </c>
      <c r="CH70" s="145">
        <f t="shared" si="26"/>
        <v>0</v>
      </c>
      <c r="CI70" s="145">
        <f t="shared" si="26"/>
        <v>0</v>
      </c>
      <c r="CJ70" s="145">
        <f t="shared" si="26"/>
        <v>0</v>
      </c>
      <c r="CK70" s="145">
        <f t="shared" si="26"/>
        <v>0</v>
      </c>
      <c r="CL70" s="145">
        <f t="shared" si="26"/>
        <v>0</v>
      </c>
      <c r="CM70" s="145">
        <f t="shared" si="26"/>
        <v>0</v>
      </c>
      <c r="CN70" s="145">
        <f t="shared" si="26"/>
        <v>0</v>
      </c>
      <c r="CO70" s="145">
        <f t="shared" si="26"/>
        <v>0</v>
      </c>
      <c r="CP70" s="145">
        <f t="shared" si="26"/>
        <v>0</v>
      </c>
      <c r="CQ70" s="145">
        <f t="shared" si="26"/>
        <v>0</v>
      </c>
      <c r="CR70" s="145">
        <f t="shared" si="26"/>
        <v>0</v>
      </c>
      <c r="CS70" s="145">
        <f t="shared" si="26"/>
        <v>0</v>
      </c>
      <c r="CT70" s="145">
        <f t="shared" si="26"/>
        <v>0</v>
      </c>
      <c r="CU70" s="145">
        <f t="shared" si="26"/>
        <v>0</v>
      </c>
      <c r="CV70" s="145">
        <f t="shared" ref="CV70:EA70" si="27">CV69-CV59</f>
        <v>0</v>
      </c>
      <c r="CW70" s="145">
        <f t="shared" si="27"/>
        <v>0</v>
      </c>
      <c r="CX70" s="145">
        <f t="shared" si="27"/>
        <v>0</v>
      </c>
      <c r="CY70" s="145">
        <f t="shared" si="27"/>
        <v>0</v>
      </c>
      <c r="CZ70" s="145">
        <f t="shared" si="27"/>
        <v>0</v>
      </c>
      <c r="DA70" s="145">
        <f t="shared" si="27"/>
        <v>0</v>
      </c>
      <c r="DB70" s="145">
        <f t="shared" si="27"/>
        <v>0</v>
      </c>
      <c r="DC70" s="145">
        <f t="shared" si="27"/>
        <v>0</v>
      </c>
      <c r="DD70" s="145">
        <f t="shared" si="27"/>
        <v>0</v>
      </c>
      <c r="DE70" s="145">
        <f t="shared" si="27"/>
        <v>0</v>
      </c>
      <c r="DF70" s="145">
        <f t="shared" si="27"/>
        <v>0</v>
      </c>
      <c r="DG70" s="145">
        <f t="shared" si="27"/>
        <v>0</v>
      </c>
      <c r="DH70" s="145">
        <f t="shared" si="27"/>
        <v>0</v>
      </c>
      <c r="DI70" s="145">
        <f t="shared" si="27"/>
        <v>0</v>
      </c>
      <c r="DJ70" s="145">
        <f t="shared" si="27"/>
        <v>0</v>
      </c>
      <c r="DK70" s="145">
        <f t="shared" si="27"/>
        <v>0</v>
      </c>
      <c r="DL70" s="145">
        <f t="shared" si="27"/>
        <v>0</v>
      </c>
      <c r="DM70" s="145">
        <f t="shared" si="27"/>
        <v>0</v>
      </c>
      <c r="DN70" s="145">
        <f t="shared" si="27"/>
        <v>0</v>
      </c>
      <c r="DO70" s="145">
        <f t="shared" si="27"/>
        <v>0</v>
      </c>
      <c r="DP70" s="145">
        <f t="shared" si="27"/>
        <v>0</v>
      </c>
      <c r="DQ70" s="145">
        <f t="shared" si="27"/>
        <v>0</v>
      </c>
      <c r="DR70" s="145">
        <f t="shared" si="27"/>
        <v>0</v>
      </c>
      <c r="DS70" s="145">
        <f t="shared" si="27"/>
        <v>0</v>
      </c>
      <c r="DT70" s="145">
        <f t="shared" si="27"/>
        <v>0</v>
      </c>
      <c r="DU70" s="145">
        <f t="shared" si="27"/>
        <v>0</v>
      </c>
      <c r="DV70" s="145">
        <f t="shared" si="27"/>
        <v>0</v>
      </c>
      <c r="DW70" s="145">
        <f t="shared" si="27"/>
        <v>0</v>
      </c>
      <c r="DX70" s="145">
        <f t="shared" si="27"/>
        <v>0</v>
      </c>
      <c r="DY70" s="145">
        <f t="shared" si="27"/>
        <v>0</v>
      </c>
      <c r="DZ70" s="145">
        <f t="shared" si="27"/>
        <v>0</v>
      </c>
      <c r="EA70" s="145">
        <f t="shared" si="27"/>
        <v>0</v>
      </c>
      <c r="EB70" s="145">
        <f>EB69-EB59</f>
        <v>0</v>
      </c>
      <c r="EC70" s="145">
        <f>EC69-EC59</f>
        <v>0</v>
      </c>
      <c r="ED70" s="145">
        <f>ED69-ED59</f>
        <v>0</v>
      </c>
      <c r="EE70" s="145">
        <f>EE69-EE59</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B8989-80FE-41C5-A285-CAB5D6C8F85C}">
  <dimension ref="A1:M68"/>
  <sheetViews>
    <sheetView showGridLines="0" zoomScale="70" zoomScaleNormal="70" workbookViewId="0">
      <pane xSplit="2" ySplit="2" topLeftCell="C32" activePane="bottomRight" state="frozen"/>
      <selection pane="topRight" activeCell="C1" sqref="C1"/>
      <selection pane="bottomLeft" activeCell="A4" sqref="A4"/>
      <selection pane="bottomRight" activeCell="D42" sqref="D42"/>
    </sheetView>
  </sheetViews>
  <sheetFormatPr baseColWidth="10" defaultColWidth="8.85546875" defaultRowHeight="13.5" x14ac:dyDescent="0.25"/>
  <cols>
    <col min="1" max="1" width="17.140625" style="1" bestFit="1" customWidth="1"/>
    <col min="2" max="2" width="41" style="1" bestFit="1" customWidth="1"/>
    <col min="3" max="4" width="17.85546875" style="1" bestFit="1" customWidth="1"/>
    <col min="5" max="12" width="17.28515625" style="1" bestFit="1" customWidth="1"/>
    <col min="13" max="13" width="18.5703125" style="1" bestFit="1" customWidth="1"/>
    <col min="14" max="16384" width="8.85546875" style="1"/>
  </cols>
  <sheetData>
    <row r="1" spans="1:13" x14ac:dyDescent="0.25">
      <c r="B1" s="136" t="s">
        <v>36</v>
      </c>
      <c r="C1" s="133">
        <v>0</v>
      </c>
      <c r="D1" s="134">
        <f>C1+1</f>
        <v>1</v>
      </c>
      <c r="E1" s="134">
        <f t="shared" ref="E1:M1" si="0">D1+1</f>
        <v>2</v>
      </c>
      <c r="F1" s="134">
        <f t="shared" si="0"/>
        <v>3</v>
      </c>
      <c r="G1" s="134">
        <f t="shared" si="0"/>
        <v>4</v>
      </c>
      <c r="H1" s="134">
        <f t="shared" si="0"/>
        <v>5</v>
      </c>
      <c r="I1" s="134">
        <f t="shared" si="0"/>
        <v>6</v>
      </c>
      <c r="J1" s="134">
        <f t="shared" si="0"/>
        <v>7</v>
      </c>
      <c r="K1" s="134">
        <f t="shared" si="0"/>
        <v>8</v>
      </c>
      <c r="L1" s="134">
        <f t="shared" si="0"/>
        <v>9</v>
      </c>
      <c r="M1" s="137">
        <f t="shared" si="0"/>
        <v>10</v>
      </c>
    </row>
    <row r="2" spans="1:13" x14ac:dyDescent="0.25">
      <c r="B2" s="130" t="s">
        <v>49</v>
      </c>
      <c r="C2" s="138">
        <f>Resumen!B26</f>
        <v>44227</v>
      </c>
      <c r="D2" s="138">
        <f>EOMONTH(C2,12)</f>
        <v>44592</v>
      </c>
      <c r="E2" s="138">
        <f t="shared" ref="E2:M2" si="1">EOMONTH(D2,12)</f>
        <v>44957</v>
      </c>
      <c r="F2" s="138">
        <f t="shared" si="1"/>
        <v>45322</v>
      </c>
      <c r="G2" s="138">
        <f t="shared" si="1"/>
        <v>45688</v>
      </c>
      <c r="H2" s="138">
        <f t="shared" si="1"/>
        <v>46053</v>
      </c>
      <c r="I2" s="138">
        <f t="shared" si="1"/>
        <v>46418</v>
      </c>
      <c r="J2" s="138">
        <f t="shared" si="1"/>
        <v>46783</v>
      </c>
      <c r="K2" s="138">
        <f t="shared" si="1"/>
        <v>47149</v>
      </c>
      <c r="L2" s="138">
        <f t="shared" si="1"/>
        <v>47514</v>
      </c>
      <c r="M2" s="139">
        <f t="shared" si="1"/>
        <v>47879</v>
      </c>
    </row>
    <row r="3" spans="1:13" x14ac:dyDescent="0.25">
      <c r="B3" s="4"/>
      <c r="C3" s="141"/>
      <c r="D3" s="142"/>
      <c r="E3" s="142"/>
      <c r="F3" s="142"/>
      <c r="G3" s="142"/>
      <c r="H3" s="142"/>
      <c r="I3" s="142"/>
      <c r="J3" s="142"/>
      <c r="K3" s="142"/>
      <c r="L3" s="142"/>
      <c r="M3" s="143"/>
    </row>
    <row r="4" spans="1:13" x14ac:dyDescent="0.25">
      <c r="B4" s="140" t="s">
        <v>167</v>
      </c>
      <c r="C4" s="144"/>
      <c r="D4" s="145"/>
      <c r="E4" s="145"/>
      <c r="F4" s="145"/>
      <c r="G4" s="145"/>
      <c r="H4" s="145"/>
      <c r="I4" s="145"/>
      <c r="J4" s="145"/>
      <c r="K4" s="145"/>
      <c r="L4" s="145"/>
      <c r="M4" s="146"/>
    </row>
    <row r="5" spans="1:13" x14ac:dyDescent="0.25">
      <c r="A5" s="152">
        <f t="shared" ref="A5:A10" si="2">SUM(C5:M5)</f>
        <v>158576661017.3093</v>
      </c>
      <c r="B5" s="5" t="s">
        <v>166</v>
      </c>
      <c r="C5" s="144"/>
      <c r="D5" s="145">
        <f>SUMIFS('Flujo de caja mensual'!6:6,'Flujo de caja mensual'!$2:$2,'Flujo de caja anual'!D$1,'Flujo de caja mensual'!$1:$1,"&lt;="&amp;Resumen!$K$19)</f>
        <v>12277998078.467342</v>
      </c>
      <c r="E5" s="145">
        <f>SUMIFS('Flujo de caja mensual'!6:6,'Flujo de caja mensual'!$2:$2,'Flujo de caja anual'!E$1,'Flujo de caja mensual'!$1:$1,"&lt;="&amp;Resumen!$K$19)</f>
        <v>13826550629.609806</v>
      </c>
      <c r="F5" s="145">
        <f>SUMIFS('Flujo de caja mensual'!6:6,'Flujo de caja mensual'!$2:$2,'Flujo de caja anual'!F$1,'Flujo de caja mensual'!$1:$1,"&lt;="&amp;Resumen!$K$19)</f>
        <v>14635074729.130001</v>
      </c>
      <c r="G5" s="145">
        <f>SUMIFS('Flujo de caja mensual'!6:6,'Flujo de caja mensual'!$2:$2,'Flujo de caja anual'!G$1,'Flujo de caja mensual'!$1:$1,"&lt;="&amp;Resumen!$K$19)</f>
        <v>15147302344.649553</v>
      </c>
      <c r="H5" s="145">
        <f>SUMIFS('Flujo de caja mensual'!6:6,'Flujo de caja mensual'!$2:$2,'Flujo de caja anual'!H$1,'Flujo de caja mensual'!$1:$1,"&lt;="&amp;Resumen!$K$19)</f>
        <v>15677457926.712292</v>
      </c>
      <c r="I5" s="145">
        <f>SUMIFS('Flujo de caja mensual'!6:6,'Flujo de caja mensual'!$2:$2,'Flujo de caja anual'!I$1,'Flujo de caja mensual'!$1:$1,"&lt;="&amp;Resumen!$K$19)</f>
        <v>16226168954.147223</v>
      </c>
      <c r="J5" s="145">
        <f>SUMIFS('Flujo de caja mensual'!6:6,'Flujo de caja mensual'!$2:$2,'Flujo de caja anual'!J$1,'Flujo de caja mensual'!$1:$1,"&lt;="&amp;Resumen!$K$19)</f>
        <v>16794084867.542377</v>
      </c>
      <c r="K5" s="145">
        <f>SUMIFS('Flujo de caja mensual'!6:6,'Flujo de caja mensual'!$2:$2,'Flujo de caja anual'!K$1,'Flujo de caja mensual'!$1:$1,"&lt;="&amp;Resumen!$K$19)</f>
        <v>17381877837.906364</v>
      </c>
      <c r="L5" s="145">
        <f>SUMIFS('Flujo de caja mensual'!6:6,'Flujo de caja mensual'!$2:$2,'Flujo de caja anual'!L$1,'Flujo de caja mensual'!$1:$1,"&lt;="&amp;Resumen!$K$19)</f>
        <v>17990243562.233089</v>
      </c>
      <c r="M5" s="146">
        <f>SUMIFS('Flujo de caja mensual'!6:6,'Flujo de caja mensual'!$2:$2,'Flujo de caja anual'!M$1,'Flujo de caja mensual'!$1:$1,"&lt;="&amp;Resumen!$K$19)</f>
        <v>18619902086.911255</v>
      </c>
    </row>
    <row r="6" spans="1:13" x14ac:dyDescent="0.25">
      <c r="A6" s="152">
        <f t="shared" si="2"/>
        <v>-8611865707.936882</v>
      </c>
      <c r="B6" s="5" t="s">
        <v>62</v>
      </c>
      <c r="C6" s="144"/>
      <c r="D6" s="145">
        <f>SUMIFS('Flujo de caja mensual'!7:7,'Flujo de caja mensual'!$2:$2,'Flujo de caja anual'!D$1,'Flujo de caja mensual'!$1:$1,"&lt;="&amp;Resumen!$K$19)</f>
        <v>-1227799807.8467343</v>
      </c>
      <c r="E6" s="145">
        <f>SUMIFS('Flujo de caja mensual'!7:7,'Flujo de caja mensual'!$2:$2,'Flujo de caja anual'!E$1,'Flujo de caja mensual'!$1:$1,"&lt;="&amp;Resumen!$K$19)</f>
        <v>-760460284.62853932</v>
      </c>
      <c r="F6" s="145">
        <f>SUMIFS('Flujo de caja mensual'!7:7,'Flujo de caja mensual'!$2:$2,'Flujo de caja anual'!F$1,'Flujo de caja mensual'!$1:$1,"&lt;="&amp;Resumen!$K$19)</f>
        <v>-731753736.45649993</v>
      </c>
      <c r="G6" s="145">
        <f>SUMIFS('Flujo de caja mensual'!7:7,'Flujo de caja mensual'!$2:$2,'Flujo de caja anual'!G$1,'Flujo de caja mensual'!$1:$1,"&lt;="&amp;Resumen!$K$19)</f>
        <v>-757365117.23247778</v>
      </c>
      <c r="H6" s="145">
        <f>SUMIFS('Flujo de caja mensual'!7:7,'Flujo de caja mensual'!$2:$2,'Flujo de caja anual'!H$1,'Flujo de caja mensual'!$1:$1,"&lt;="&amp;Resumen!$K$19)</f>
        <v>-783872896.33561456</v>
      </c>
      <c r="I6" s="145">
        <f>SUMIFS('Flujo de caja mensual'!7:7,'Flujo de caja mensual'!$2:$2,'Flujo de caja anual'!I$1,'Flujo de caja mensual'!$1:$1,"&lt;="&amp;Resumen!$K$19)</f>
        <v>-811308447.70736122</v>
      </c>
      <c r="J6" s="145">
        <f>SUMIFS('Flujo de caja mensual'!7:7,'Flujo de caja mensual'!$2:$2,'Flujo de caja anual'!J$1,'Flujo de caja mensual'!$1:$1,"&lt;="&amp;Resumen!$K$19)</f>
        <v>-839704243.37711895</v>
      </c>
      <c r="K6" s="145">
        <f>SUMIFS('Flujo de caja mensual'!7:7,'Flujo de caja mensual'!$2:$2,'Flujo de caja anual'!K$1,'Flujo de caja mensual'!$1:$1,"&lt;="&amp;Resumen!$K$19)</f>
        <v>-869093891.89531839</v>
      </c>
      <c r="L6" s="145">
        <f>SUMIFS('Flujo de caja mensual'!7:7,'Flujo de caja mensual'!$2:$2,'Flujo de caja anual'!L$1,'Flujo de caja mensual'!$1:$1,"&lt;="&amp;Resumen!$K$19)</f>
        <v>-899512178.11165476</v>
      </c>
      <c r="M6" s="146">
        <f>SUMIFS('Flujo de caja mensual'!7:7,'Flujo de caja mensual'!$2:$2,'Flujo de caja anual'!M$1,'Flujo de caja mensual'!$1:$1,"&lt;="&amp;Resumen!$K$19)</f>
        <v>-930995104.3455627</v>
      </c>
    </row>
    <row r="7" spans="1:13" x14ac:dyDescent="0.25">
      <c r="A7" s="152">
        <f t="shared" si="2"/>
        <v>-888839672.05290771</v>
      </c>
      <c r="B7" s="5" t="s">
        <v>63</v>
      </c>
      <c r="C7" s="144"/>
      <c r="D7" s="145">
        <f>SUMIFS('Flujo de caja mensual'!8:8,'Flujo de caja mensual'!$2:$2,'Flujo de caja anual'!D$1,'Flujo de caja mensual'!$1:$1,"&lt;="&amp;Resumen!$K$19)</f>
        <v>-122779980.78467341</v>
      </c>
      <c r="E7" s="145">
        <f>SUMIFS('Flujo de caja mensual'!8:8,'Flujo de caja mensual'!$2:$2,'Flujo de caja anual'!E$1,'Flujo de caja mensual'!$1:$1,"&lt;="&amp;Resumen!$K$19)</f>
        <v>-103699129.72207354</v>
      </c>
      <c r="F7" s="145">
        <f>SUMIFS('Flujo de caja mensual'!8:8,'Flujo de caja mensual'!$2:$2,'Flujo de caja anual'!F$1,'Flujo de caja mensual'!$1:$1,"&lt;="&amp;Resumen!$K$19)</f>
        <v>-73175373.645649999</v>
      </c>
      <c r="G7" s="145">
        <f>SUMIFS('Flujo de caja mensual'!8:8,'Flujo de caja mensual'!$2:$2,'Flujo de caja anual'!G$1,'Flujo de caja mensual'!$1:$1,"&lt;="&amp;Resumen!$K$19)</f>
        <v>-75736511.723247781</v>
      </c>
      <c r="H7" s="145">
        <f>SUMIFS('Flujo de caja mensual'!8:8,'Flujo de caja mensual'!$2:$2,'Flujo de caja anual'!H$1,'Flujo de caja mensual'!$1:$1,"&lt;="&amp;Resumen!$K$19)</f>
        <v>-78387289.633561462</v>
      </c>
      <c r="I7" s="145">
        <f>SUMIFS('Flujo de caja mensual'!8:8,'Flujo de caja mensual'!$2:$2,'Flujo de caja anual'!I$1,'Flujo de caja mensual'!$1:$1,"&lt;="&amp;Resumen!$K$19)</f>
        <v>-81130844.770736128</v>
      </c>
      <c r="J7" s="145">
        <f>SUMIFS('Flujo de caja mensual'!8:8,'Flujo de caja mensual'!$2:$2,'Flujo de caja anual'!J$1,'Flujo de caja mensual'!$1:$1,"&lt;="&amp;Resumen!$K$19)</f>
        <v>-83970424.3377119</v>
      </c>
      <c r="K7" s="145">
        <f>SUMIFS('Flujo de caja mensual'!8:8,'Flujo de caja mensual'!$2:$2,'Flujo de caja anual'!K$1,'Flujo de caja mensual'!$1:$1,"&lt;="&amp;Resumen!$K$19)</f>
        <v>-86909389.189531833</v>
      </c>
      <c r="L7" s="145">
        <f>SUMIFS('Flujo de caja mensual'!8:8,'Flujo de caja mensual'!$2:$2,'Flujo de caja anual'!L$1,'Flujo de caja mensual'!$1:$1,"&lt;="&amp;Resumen!$K$19)</f>
        <v>-89951217.811165467</v>
      </c>
      <c r="M7" s="146">
        <f>SUMIFS('Flujo de caja mensual'!8:8,'Flujo de caja mensual'!$2:$2,'Flujo de caja anual'!M$1,'Flujo de caja mensual'!$1:$1,"&lt;="&amp;Resumen!$K$19)</f>
        <v>-93099510.434556291</v>
      </c>
    </row>
    <row r="8" spans="1:13" x14ac:dyDescent="0.25">
      <c r="A8" s="152">
        <f t="shared" si="2"/>
        <v>-191912733.93272242</v>
      </c>
      <c r="B8" s="5" t="s">
        <v>17</v>
      </c>
      <c r="C8" s="144"/>
      <c r="D8" s="145">
        <f>SUMIFS('Flujo de caja mensual'!9:9,'Flujo de caja mensual'!$2:$2,'Flujo de caja anual'!D$1,'Flujo de caja mensual'!$1:$1,"&lt;="&amp;Resumen!$K$19)</f>
        <v>-122779980.78467341</v>
      </c>
      <c r="E8" s="145">
        <f>SUMIFS('Flujo de caja mensual'!9:9,'Flujo de caja mensual'!$2:$2,'Flujo de caja anual'!E$1,'Flujo de caja mensual'!$1:$1,"&lt;="&amp;Resumen!$K$19)</f>
        <v>-69132753.148049012</v>
      </c>
      <c r="F8" s="145">
        <f>SUMIFS('Flujo de caja mensual'!9:9,'Flujo de caja mensual'!$2:$2,'Flujo de caja anual'!F$1,'Flujo de caja mensual'!$1:$1,"&lt;="&amp;Resumen!$K$19)</f>
        <v>0</v>
      </c>
      <c r="G8" s="145">
        <f>SUMIFS('Flujo de caja mensual'!9:9,'Flujo de caja mensual'!$2:$2,'Flujo de caja anual'!G$1,'Flujo de caja mensual'!$1:$1,"&lt;="&amp;Resumen!$K$19)</f>
        <v>0</v>
      </c>
      <c r="H8" s="145">
        <f>SUMIFS('Flujo de caja mensual'!9:9,'Flujo de caja mensual'!$2:$2,'Flujo de caja anual'!H$1,'Flujo de caja mensual'!$1:$1,"&lt;="&amp;Resumen!$K$19)</f>
        <v>0</v>
      </c>
      <c r="I8" s="145">
        <f>SUMIFS('Flujo de caja mensual'!9:9,'Flujo de caja mensual'!$2:$2,'Flujo de caja anual'!I$1,'Flujo de caja mensual'!$1:$1,"&lt;="&amp;Resumen!$K$19)</f>
        <v>0</v>
      </c>
      <c r="J8" s="145">
        <f>SUMIFS('Flujo de caja mensual'!9:9,'Flujo de caja mensual'!$2:$2,'Flujo de caja anual'!J$1,'Flujo de caja mensual'!$1:$1,"&lt;="&amp;Resumen!$K$19)</f>
        <v>0</v>
      </c>
      <c r="K8" s="145">
        <f>SUMIFS('Flujo de caja mensual'!9:9,'Flujo de caja mensual'!$2:$2,'Flujo de caja anual'!K$1,'Flujo de caja mensual'!$1:$1,"&lt;="&amp;Resumen!$K$19)</f>
        <v>0</v>
      </c>
      <c r="L8" s="145">
        <f>SUMIFS('Flujo de caja mensual'!9:9,'Flujo de caja mensual'!$2:$2,'Flujo de caja anual'!L$1,'Flujo de caja mensual'!$1:$1,"&lt;="&amp;Resumen!$K$19)</f>
        <v>0</v>
      </c>
      <c r="M8" s="146">
        <f>SUMIFS('Flujo de caja mensual'!9:9,'Flujo de caja mensual'!$2:$2,'Flujo de caja anual'!M$1,'Flujo de caja mensual'!$1:$1,"&lt;="&amp;Resumen!$K$19)</f>
        <v>0</v>
      </c>
    </row>
    <row r="9" spans="1:13" x14ac:dyDescent="0.25">
      <c r="A9" s="152">
        <f t="shared" si="2"/>
        <v>-158576661.01730931</v>
      </c>
      <c r="B9" s="5" t="s">
        <v>64</v>
      </c>
      <c r="C9" s="144"/>
      <c r="D9" s="145">
        <f>SUMIFS('Flujo de caja mensual'!10:10,'Flujo de caja mensual'!$2:$2,'Flujo de caja anual'!D$1,'Flujo de caja mensual'!$1:$1,"&lt;="&amp;Resumen!$K$19)</f>
        <v>-12277998.078467343</v>
      </c>
      <c r="E9" s="145">
        <f>SUMIFS('Flujo de caja mensual'!10:10,'Flujo de caja mensual'!$2:$2,'Flujo de caja anual'!E$1,'Flujo de caja mensual'!$1:$1,"&lt;="&amp;Resumen!$K$19)</f>
        <v>-13826550.629609803</v>
      </c>
      <c r="F9" s="145">
        <f>SUMIFS('Flujo de caja mensual'!10:10,'Flujo de caja mensual'!$2:$2,'Flujo de caja anual'!F$1,'Flujo de caja mensual'!$1:$1,"&lt;="&amp;Resumen!$K$19)</f>
        <v>-14635074.72913</v>
      </c>
      <c r="G9" s="145">
        <f>SUMIFS('Flujo de caja mensual'!10:10,'Flujo de caja mensual'!$2:$2,'Flujo de caja anual'!G$1,'Flujo de caja mensual'!$1:$1,"&lt;="&amp;Resumen!$K$19)</f>
        <v>-15147302.344649553</v>
      </c>
      <c r="H9" s="145">
        <f>SUMIFS('Flujo de caja mensual'!10:10,'Flujo de caja mensual'!$2:$2,'Flujo de caja anual'!H$1,'Flujo de caja mensual'!$1:$1,"&lt;="&amp;Resumen!$K$19)</f>
        <v>-15677457.926712289</v>
      </c>
      <c r="I9" s="145">
        <f>SUMIFS('Flujo de caja mensual'!10:10,'Flujo de caja mensual'!$2:$2,'Flujo de caja anual'!I$1,'Flujo de caja mensual'!$1:$1,"&lt;="&amp;Resumen!$K$19)</f>
        <v>-16226168.954147223</v>
      </c>
      <c r="J9" s="145">
        <f>SUMIFS('Flujo de caja mensual'!10:10,'Flujo de caja mensual'!$2:$2,'Flujo de caja anual'!J$1,'Flujo de caja mensual'!$1:$1,"&lt;="&amp;Resumen!$K$19)</f>
        <v>-16794084.867542379</v>
      </c>
      <c r="K9" s="145">
        <f>SUMIFS('Flujo de caja mensual'!10:10,'Flujo de caja mensual'!$2:$2,'Flujo de caja anual'!K$1,'Flujo de caja mensual'!$1:$1,"&lt;="&amp;Resumen!$K$19)</f>
        <v>-17381877.837906364</v>
      </c>
      <c r="L9" s="145">
        <f>SUMIFS('Flujo de caja mensual'!10:10,'Flujo de caja mensual'!$2:$2,'Flujo de caja anual'!L$1,'Flujo de caja mensual'!$1:$1,"&lt;="&amp;Resumen!$K$19)</f>
        <v>-17990243.56223309</v>
      </c>
      <c r="M9" s="146">
        <f>SUMIFS('Flujo de caja mensual'!10:10,'Flujo de caja mensual'!$2:$2,'Flujo de caja anual'!M$1,'Flujo de caja mensual'!$1:$1,"&lt;="&amp;Resumen!$K$19)</f>
        <v>-18619902.086911254</v>
      </c>
    </row>
    <row r="10" spans="1:13" x14ac:dyDescent="0.25">
      <c r="A10" s="152">
        <f t="shared" si="2"/>
        <v>148725466242.36948</v>
      </c>
      <c r="B10" s="14" t="s">
        <v>37</v>
      </c>
      <c r="C10" s="147"/>
      <c r="D10" s="148">
        <f>SUMIFS('Flujo de caja mensual'!11:11,'Flujo de caja mensual'!$2:$2,'Flujo de caja anual'!D$1,'Flujo de caja mensual'!$1:$1,"&lt;="&amp;Resumen!$K$19)</f>
        <v>10792360310.972792</v>
      </c>
      <c r="E10" s="148">
        <f>SUMIFS('Flujo de caja mensual'!11:11,'Flujo de caja mensual'!$2:$2,'Flujo de caja anual'!E$1,'Flujo de caja mensual'!$1:$1,"&lt;="&amp;Resumen!$K$19)</f>
        <v>12879431911.481533</v>
      </c>
      <c r="F10" s="148">
        <f>SUMIFS('Flujo de caja mensual'!11:11,'Flujo de caja mensual'!$2:$2,'Flujo de caja anual'!F$1,'Flujo de caja mensual'!$1:$1,"&lt;="&amp;Resumen!$K$19)</f>
        <v>13815510544.298721</v>
      </c>
      <c r="G10" s="148">
        <f>SUMIFS('Flujo de caja mensual'!11:11,'Flujo de caja mensual'!$2:$2,'Flujo de caja anual'!G$1,'Flujo de caja mensual'!$1:$1,"&lt;="&amp;Resumen!$K$19)</f>
        <v>14299053413.349178</v>
      </c>
      <c r="H10" s="148">
        <f>SUMIFS('Flujo de caja mensual'!11:11,'Flujo de caja mensual'!$2:$2,'Flujo de caja anual'!H$1,'Flujo de caja mensual'!$1:$1,"&lt;="&amp;Resumen!$K$19)</f>
        <v>14799520282.816402</v>
      </c>
      <c r="I10" s="148">
        <f>SUMIFS('Flujo de caja mensual'!11:11,'Flujo de caja mensual'!$2:$2,'Flujo de caja anual'!I$1,'Flujo de caja mensual'!$1:$1,"&lt;="&amp;Resumen!$K$19)</f>
        <v>15317503492.714977</v>
      </c>
      <c r="J10" s="148">
        <f>SUMIFS('Flujo de caja mensual'!11:11,'Flujo de caja mensual'!$2:$2,'Flujo de caja anual'!J$1,'Flujo de caja mensual'!$1:$1,"&lt;="&amp;Resumen!$K$19)</f>
        <v>15853616114.960007</v>
      </c>
      <c r="K10" s="148">
        <f>SUMIFS('Flujo de caja mensual'!11:11,'Flujo de caja mensual'!$2:$2,'Flujo de caja anual'!K$1,'Flujo de caja mensual'!$1:$1,"&lt;="&amp;Resumen!$K$19)</f>
        <v>16408492678.983608</v>
      </c>
      <c r="L10" s="148">
        <f>SUMIFS('Flujo de caja mensual'!11:11,'Flujo de caja mensual'!$2:$2,'Flujo de caja anual'!L$1,'Flujo de caja mensual'!$1:$1,"&lt;="&amp;Resumen!$K$19)</f>
        <v>16982789922.748035</v>
      </c>
      <c r="M10" s="149">
        <f>SUMIFS('Flujo de caja mensual'!11:11,'Flujo de caja mensual'!$2:$2,'Flujo de caja anual'!M$1,'Flujo de caja mensual'!$1:$1,"&lt;="&amp;Resumen!$K$19)</f>
        <v>17577187570.044224</v>
      </c>
    </row>
    <row r="11" spans="1:13" x14ac:dyDescent="0.25">
      <c r="B11" s="5"/>
      <c r="C11" s="144"/>
      <c r="D11" s="145"/>
      <c r="E11" s="145"/>
      <c r="F11" s="145"/>
      <c r="G11" s="145"/>
      <c r="H11" s="145"/>
      <c r="I11" s="145"/>
      <c r="J11" s="145"/>
      <c r="K11" s="145"/>
      <c r="L11" s="145"/>
      <c r="M11" s="146"/>
    </row>
    <row r="12" spans="1:13" x14ac:dyDescent="0.25">
      <c r="B12" s="140" t="s">
        <v>85</v>
      </c>
      <c r="C12" s="144"/>
      <c r="D12" s="145"/>
      <c r="E12" s="145"/>
      <c r="F12" s="145"/>
      <c r="G12" s="145"/>
      <c r="H12" s="145"/>
      <c r="I12" s="145"/>
      <c r="J12" s="145"/>
      <c r="K12" s="145"/>
      <c r="L12" s="145"/>
      <c r="M12" s="146"/>
    </row>
    <row r="13" spans="1:13" x14ac:dyDescent="0.25">
      <c r="A13" s="152">
        <f t="shared" ref="A13:A23" si="3">SUM(C13:M13)</f>
        <v>937090538.57227898</v>
      </c>
      <c r="B13" s="5" t="str">
        <f>Ingresos!O2</f>
        <v>Ingresos de lavandería</v>
      </c>
      <c r="C13" s="144"/>
      <c r="D13" s="145">
        <f>SUMIFS('Flujo de caja mensual'!14:14,'Flujo de caja mensual'!$2:$2,'Flujo de caja anual'!D$1,'Flujo de caja mensual'!$1:$1,"&lt;="&amp;Resumen!$K$19)</f>
        <v>81742882.414561331</v>
      </c>
      <c r="E13" s="145">
        <f>SUMIFS('Flujo de caja mensual'!14:14,'Flujo de caja mensual'!$2:$2,'Flujo de caja anual'!E$1,'Flujo de caja mensual'!$1:$1,"&lt;="&amp;Resumen!$K$19)</f>
        <v>84195168.886998251</v>
      </c>
      <c r="F13" s="145">
        <f>SUMIFS('Flujo de caja mensual'!14:14,'Flujo de caja mensual'!$2:$2,'Flujo de caja anual'!F$1,'Flujo de caja mensual'!$1:$1,"&lt;="&amp;Resumen!$K$19)</f>
        <v>86721023.953608304</v>
      </c>
      <c r="G13" s="145">
        <f>SUMIFS('Flujo de caja mensual'!14:14,'Flujo de caja mensual'!$2:$2,'Flujo de caja anual'!G$1,'Flujo de caja mensual'!$1:$1,"&lt;="&amp;Resumen!$K$19)</f>
        <v>89322654.672216639</v>
      </c>
      <c r="H13" s="145">
        <f>SUMIFS('Flujo de caja mensual'!14:14,'Flujo de caja mensual'!$2:$2,'Flujo de caja anual'!H$1,'Flujo de caja mensual'!$1:$1,"&lt;="&amp;Resumen!$K$19)</f>
        <v>92002334.312383249</v>
      </c>
      <c r="I13" s="145">
        <f>SUMIFS('Flujo de caja mensual'!14:14,'Flujo de caja mensual'!$2:$2,'Flujo de caja anual'!I$1,'Flujo de caja mensual'!$1:$1,"&lt;="&amp;Resumen!$K$19)</f>
        <v>94762404.341754824</v>
      </c>
      <c r="J13" s="145">
        <f>SUMIFS('Flujo de caja mensual'!14:14,'Flujo de caja mensual'!$2:$2,'Flujo de caja anual'!J$1,'Flujo de caja mensual'!$1:$1,"&lt;="&amp;Resumen!$K$19)</f>
        <v>97605276.472007617</v>
      </c>
      <c r="K13" s="145">
        <f>SUMIFS('Flujo de caja mensual'!14:14,'Flujo de caja mensual'!$2:$2,'Flujo de caja anual'!K$1,'Flujo de caja mensual'!$1:$1,"&lt;="&amp;Resumen!$K$19)</f>
        <v>100533434.76616794</v>
      </c>
      <c r="L13" s="145">
        <f>SUMIFS('Flujo de caja mensual'!14:14,'Flujo de caja mensual'!$2:$2,'Flujo de caja anual'!L$1,'Flujo de caja mensual'!$1:$1,"&lt;="&amp;Resumen!$K$19)</f>
        <v>103549437.80915309</v>
      </c>
      <c r="M13" s="146">
        <f>SUMIFS('Flujo de caja mensual'!14:14,'Flujo de caja mensual'!$2:$2,'Flujo de caja anual'!M$1,'Flujo de caja mensual'!$1:$1,"&lt;="&amp;Resumen!$K$19)</f>
        <v>106655920.94342777</v>
      </c>
    </row>
    <row r="14" spans="1:13" x14ac:dyDescent="0.25">
      <c r="A14" s="152">
        <f t="shared" si="3"/>
        <v>2066050364.9172311</v>
      </c>
      <c r="B14" s="5" t="str">
        <f>Ingresos!O3</f>
        <v>Intereses de mora</v>
      </c>
      <c r="C14" s="144"/>
      <c r="D14" s="145">
        <f>SUMIFS('Flujo de caja mensual'!15:15,'Flujo de caja mensual'!$2:$2,'Flujo de caja anual'!D$1,'Flujo de caja mensual'!$1:$1,"&lt;="&amp;Resumen!$K$19)</f>
        <v>180222620.00350404</v>
      </c>
      <c r="E14" s="145">
        <f>SUMIFS('Flujo de caja mensual'!15:15,'Flujo de caja mensual'!$2:$2,'Flujo de caja anual'!E$1,'Flujo de caja mensual'!$1:$1,"&lt;="&amp;Resumen!$K$19)</f>
        <v>185629298.60360938</v>
      </c>
      <c r="F14" s="145">
        <f>SUMIFS('Flujo de caja mensual'!15:15,'Flujo de caja mensual'!$2:$2,'Flujo de caja anual'!F$1,'Flujo de caja mensual'!$1:$1,"&lt;="&amp;Resumen!$K$19)</f>
        <v>191198177.56171781</v>
      </c>
      <c r="G14" s="145">
        <f>SUMIFS('Flujo de caja mensual'!15:15,'Flujo de caja mensual'!$2:$2,'Flujo de caja anual'!G$1,'Flujo de caja mensual'!$1:$1,"&lt;="&amp;Resumen!$K$19)</f>
        <v>196934122.88856953</v>
      </c>
      <c r="H14" s="145">
        <f>SUMIFS('Flujo de caja mensual'!15:15,'Flujo de caja mensual'!$2:$2,'Flujo de caja anual'!H$1,'Flujo de caja mensual'!$1:$1,"&lt;="&amp;Resumen!$K$19)</f>
        <v>202842146.57522684</v>
      </c>
      <c r="I14" s="145">
        <f>SUMIFS('Flujo de caja mensual'!15:15,'Flujo de caja mensual'!$2:$2,'Flujo de caja anual'!I$1,'Flujo de caja mensual'!$1:$1,"&lt;="&amp;Resumen!$K$19)</f>
        <v>208927410.9724839</v>
      </c>
      <c r="J14" s="145">
        <f>SUMIFS('Flujo de caja mensual'!15:15,'Flujo de caja mensual'!$2:$2,'Flujo de caja anual'!J$1,'Flujo de caja mensual'!$1:$1,"&lt;="&amp;Resumen!$K$19)</f>
        <v>215195233.30165866</v>
      </c>
      <c r="K14" s="145">
        <f>SUMIFS('Flujo de caja mensual'!15:15,'Flujo de caja mensual'!$2:$2,'Flujo de caja anual'!K$1,'Flujo de caja mensual'!$1:$1,"&lt;="&amp;Resumen!$K$19)</f>
        <v>221651090.30070859</v>
      </c>
      <c r="L14" s="145">
        <f>SUMIFS('Flujo de caja mensual'!15:15,'Flujo de caja mensual'!$2:$2,'Flujo de caja anual'!L$1,'Flujo de caja mensual'!$1:$1,"&lt;="&amp;Resumen!$K$19)</f>
        <v>228300623.00973016</v>
      </c>
      <c r="M14" s="146">
        <f>SUMIFS('Flujo de caja mensual'!15:15,'Flujo de caja mensual'!$2:$2,'Flujo de caja anual'!M$1,'Flujo de caja mensual'!$1:$1,"&lt;="&amp;Resumen!$K$19)</f>
        <v>235149641.70002234</v>
      </c>
    </row>
    <row r="15" spans="1:13" x14ac:dyDescent="0.25">
      <c r="A15" s="152">
        <f t="shared" si="3"/>
        <v>0</v>
      </c>
      <c r="B15" s="5">
        <f>Ingresos!O4</f>
        <v>0</v>
      </c>
      <c r="C15" s="144"/>
      <c r="D15" s="145">
        <f>SUMIFS('Flujo de caja mensual'!16:16,'Flujo de caja mensual'!$2:$2,'Flujo de caja anual'!D$1,'Flujo de caja mensual'!$1:$1,"&lt;="&amp;Resumen!$K$19)</f>
        <v>0</v>
      </c>
      <c r="E15" s="145">
        <f>SUMIFS('Flujo de caja mensual'!16:16,'Flujo de caja mensual'!$2:$2,'Flujo de caja anual'!E$1,'Flujo de caja mensual'!$1:$1,"&lt;="&amp;Resumen!$K$19)</f>
        <v>0</v>
      </c>
      <c r="F15" s="145">
        <f>SUMIFS('Flujo de caja mensual'!16:16,'Flujo de caja mensual'!$2:$2,'Flujo de caja anual'!F$1,'Flujo de caja mensual'!$1:$1,"&lt;="&amp;Resumen!$K$19)</f>
        <v>0</v>
      </c>
      <c r="G15" s="145">
        <f>SUMIFS('Flujo de caja mensual'!16:16,'Flujo de caja mensual'!$2:$2,'Flujo de caja anual'!G$1,'Flujo de caja mensual'!$1:$1,"&lt;="&amp;Resumen!$K$19)</f>
        <v>0</v>
      </c>
      <c r="H15" s="145">
        <f>SUMIFS('Flujo de caja mensual'!16:16,'Flujo de caja mensual'!$2:$2,'Flujo de caja anual'!H$1,'Flujo de caja mensual'!$1:$1,"&lt;="&amp;Resumen!$K$19)</f>
        <v>0</v>
      </c>
      <c r="I15" s="145">
        <f>SUMIFS('Flujo de caja mensual'!16:16,'Flujo de caja mensual'!$2:$2,'Flujo de caja anual'!I$1,'Flujo de caja mensual'!$1:$1,"&lt;="&amp;Resumen!$K$19)</f>
        <v>0</v>
      </c>
      <c r="J15" s="145">
        <f>SUMIFS('Flujo de caja mensual'!16:16,'Flujo de caja mensual'!$2:$2,'Flujo de caja anual'!J$1,'Flujo de caja mensual'!$1:$1,"&lt;="&amp;Resumen!$K$19)</f>
        <v>0</v>
      </c>
      <c r="K15" s="145">
        <f>SUMIFS('Flujo de caja mensual'!16:16,'Flujo de caja mensual'!$2:$2,'Flujo de caja anual'!K$1,'Flujo de caja mensual'!$1:$1,"&lt;="&amp;Resumen!$K$19)</f>
        <v>0</v>
      </c>
      <c r="L15" s="145">
        <f>SUMIFS('Flujo de caja mensual'!16:16,'Flujo de caja mensual'!$2:$2,'Flujo de caja anual'!L$1,'Flujo de caja mensual'!$1:$1,"&lt;="&amp;Resumen!$K$19)</f>
        <v>0</v>
      </c>
      <c r="M15" s="146">
        <f>SUMIFS('Flujo de caja mensual'!16:16,'Flujo de caja mensual'!$2:$2,'Flujo de caja anual'!M$1,'Flujo de caja mensual'!$1:$1,"&lt;="&amp;Resumen!$K$19)</f>
        <v>0</v>
      </c>
    </row>
    <row r="16" spans="1:13" x14ac:dyDescent="0.25">
      <c r="A16" s="152">
        <f t="shared" si="3"/>
        <v>0</v>
      </c>
      <c r="B16" s="5">
        <f>Ingresos!O5</f>
        <v>0</v>
      </c>
      <c r="C16" s="144"/>
      <c r="D16" s="145">
        <f>SUMIFS('Flujo de caja mensual'!17:17,'Flujo de caja mensual'!$2:$2,'Flujo de caja anual'!D$1,'Flujo de caja mensual'!$1:$1,"&lt;="&amp;Resumen!$K$19)</f>
        <v>0</v>
      </c>
      <c r="E16" s="145">
        <f>SUMIFS('Flujo de caja mensual'!17:17,'Flujo de caja mensual'!$2:$2,'Flujo de caja anual'!E$1,'Flujo de caja mensual'!$1:$1,"&lt;="&amp;Resumen!$K$19)</f>
        <v>0</v>
      </c>
      <c r="F16" s="145">
        <f>SUMIFS('Flujo de caja mensual'!17:17,'Flujo de caja mensual'!$2:$2,'Flujo de caja anual'!F$1,'Flujo de caja mensual'!$1:$1,"&lt;="&amp;Resumen!$K$19)</f>
        <v>0</v>
      </c>
      <c r="G16" s="145">
        <f>SUMIFS('Flujo de caja mensual'!17:17,'Flujo de caja mensual'!$2:$2,'Flujo de caja anual'!G$1,'Flujo de caja mensual'!$1:$1,"&lt;="&amp;Resumen!$K$19)</f>
        <v>0</v>
      </c>
      <c r="H16" s="145">
        <f>SUMIFS('Flujo de caja mensual'!17:17,'Flujo de caja mensual'!$2:$2,'Flujo de caja anual'!H$1,'Flujo de caja mensual'!$1:$1,"&lt;="&amp;Resumen!$K$19)</f>
        <v>0</v>
      </c>
      <c r="I16" s="145">
        <f>SUMIFS('Flujo de caja mensual'!17:17,'Flujo de caja mensual'!$2:$2,'Flujo de caja anual'!I$1,'Flujo de caja mensual'!$1:$1,"&lt;="&amp;Resumen!$K$19)</f>
        <v>0</v>
      </c>
      <c r="J16" s="145">
        <f>SUMIFS('Flujo de caja mensual'!17:17,'Flujo de caja mensual'!$2:$2,'Flujo de caja anual'!J$1,'Flujo de caja mensual'!$1:$1,"&lt;="&amp;Resumen!$K$19)</f>
        <v>0</v>
      </c>
      <c r="K16" s="145">
        <f>SUMIFS('Flujo de caja mensual'!17:17,'Flujo de caja mensual'!$2:$2,'Flujo de caja anual'!K$1,'Flujo de caja mensual'!$1:$1,"&lt;="&amp;Resumen!$K$19)</f>
        <v>0</v>
      </c>
      <c r="L16" s="145">
        <f>SUMIFS('Flujo de caja mensual'!17:17,'Flujo de caja mensual'!$2:$2,'Flujo de caja anual'!L$1,'Flujo de caja mensual'!$1:$1,"&lt;="&amp;Resumen!$K$19)</f>
        <v>0</v>
      </c>
      <c r="M16" s="146">
        <f>SUMIFS('Flujo de caja mensual'!17:17,'Flujo de caja mensual'!$2:$2,'Flujo de caja anual'!M$1,'Flujo de caja mensual'!$1:$1,"&lt;="&amp;Resumen!$K$19)</f>
        <v>0</v>
      </c>
    </row>
    <row r="17" spans="1:13" x14ac:dyDescent="0.25">
      <c r="A17" s="152">
        <f t="shared" si="3"/>
        <v>6588917849.3363333</v>
      </c>
      <c r="B17" s="5" t="str">
        <f>Ingresos!O6</f>
        <v>Ingresos por parqueaderos</v>
      </c>
      <c r="C17" s="144"/>
      <c r="D17" s="145">
        <f>SUMIFS('Flujo de caja mensual'!18:18,'Flujo de caja mensual'!$2:$2,'Flujo de caja anual'!D$1,'Flujo de caja mensual'!$1:$1,"&lt;="&amp;Resumen!$K$19)</f>
        <v>574754641.97738421</v>
      </c>
      <c r="E17" s="145">
        <f>SUMIFS('Flujo de caja mensual'!18:18,'Flujo de caja mensual'!$2:$2,'Flujo de caja anual'!E$1,'Flujo de caja mensual'!$1:$1,"&lt;="&amp;Resumen!$K$19)</f>
        <v>591997281.23670638</v>
      </c>
      <c r="F17" s="145">
        <f>SUMIFS('Flujo de caja mensual'!18:18,'Flujo de caja mensual'!$2:$2,'Flujo de caja anual'!F$1,'Flujo de caja mensual'!$1:$1,"&lt;="&amp;Resumen!$K$19)</f>
        <v>609757199.6738081</v>
      </c>
      <c r="G17" s="145">
        <f>SUMIFS('Flujo de caja mensual'!18:18,'Flujo de caja mensual'!$2:$2,'Flujo de caja anual'!G$1,'Flujo de caja mensual'!$1:$1,"&lt;="&amp;Resumen!$K$19)</f>
        <v>628049915.66402292</v>
      </c>
      <c r="H17" s="145">
        <f>SUMIFS('Flujo de caja mensual'!18:18,'Flujo de caja mensual'!$2:$2,'Flujo de caja anual'!H$1,'Flujo de caja mensual'!$1:$1,"&lt;="&amp;Resumen!$K$19)</f>
        <v>646891413.13394427</v>
      </c>
      <c r="I17" s="145">
        <f>SUMIFS('Flujo de caja mensual'!18:18,'Flujo de caja mensual'!$2:$2,'Flujo de caja anual'!I$1,'Flujo de caja mensual'!$1:$1,"&lt;="&amp;Resumen!$K$19)</f>
        <v>666298155.52796328</v>
      </c>
      <c r="J17" s="145">
        <f>SUMIFS('Flujo de caja mensual'!18:18,'Flujo de caja mensual'!$2:$2,'Flujo de caja anual'!J$1,'Flujo de caja mensual'!$1:$1,"&lt;="&amp;Resumen!$K$19)</f>
        <v>686287100.19380283</v>
      </c>
      <c r="K17" s="145">
        <f>SUMIFS('Flujo de caja mensual'!18:18,'Flujo de caja mensual'!$2:$2,'Flujo de caja anual'!K$1,'Flujo de caja mensual'!$1:$1,"&lt;="&amp;Resumen!$K$19)</f>
        <v>706875713.19961774</v>
      </c>
      <c r="L17" s="145">
        <f>SUMIFS('Flujo de caja mensual'!18:18,'Flujo de caja mensual'!$2:$2,'Flujo de caja anual'!L$1,'Flujo de caja mensual'!$1:$1,"&lt;="&amp;Resumen!$K$19)</f>
        <v>728081984.59560716</v>
      </c>
      <c r="M17" s="146">
        <f>SUMIFS('Flujo de caja mensual'!18:18,'Flujo de caja mensual'!$2:$2,'Flujo de caja anual'!M$1,'Flujo de caja mensual'!$1:$1,"&lt;="&amp;Resumen!$K$19)</f>
        <v>749924444.13347626</v>
      </c>
    </row>
    <row r="18" spans="1:13" x14ac:dyDescent="0.25">
      <c r="A18" s="152">
        <f t="shared" si="3"/>
        <v>12299313318.761154</v>
      </c>
      <c r="B18" s="5" t="str">
        <f>Ingresos!O7</f>
        <v>Ingresos por cuarto util</v>
      </c>
      <c r="C18" s="144"/>
      <c r="D18" s="145">
        <f>SUMIFS('Flujo de caja mensual'!19:19,'Flujo de caja mensual'!$2:$2,'Flujo de caja anual'!D$1,'Flujo de caja mensual'!$1:$1,"&lt;="&amp;Resumen!$K$19)</f>
        <v>1072875331.6911172</v>
      </c>
      <c r="E18" s="145">
        <f>SUMIFS('Flujo de caja mensual'!19:19,'Flujo de caja mensual'!$2:$2,'Flujo de caja anual'!E$1,'Flujo de caja mensual'!$1:$1,"&lt;="&amp;Resumen!$K$19)</f>
        <v>1105061591.6418517</v>
      </c>
      <c r="F18" s="145">
        <f>SUMIFS('Flujo de caja mensual'!19:19,'Flujo de caja mensual'!$2:$2,'Flujo de caja anual'!F$1,'Flujo de caja mensual'!$1:$1,"&lt;="&amp;Resumen!$K$19)</f>
        <v>1138213439.3911088</v>
      </c>
      <c r="G18" s="145">
        <f>SUMIFS('Flujo de caja mensual'!19:19,'Flujo de caja mensual'!$2:$2,'Flujo de caja anual'!G$1,'Flujo de caja mensual'!$1:$1,"&lt;="&amp;Resumen!$K$19)</f>
        <v>1172359842.5728431</v>
      </c>
      <c r="H18" s="145">
        <f>SUMIFS('Flujo de caja mensual'!19:19,'Flujo de caja mensual'!$2:$2,'Flujo de caja anual'!H$1,'Flujo de caja mensual'!$1:$1,"&lt;="&amp;Resumen!$K$19)</f>
        <v>1207530637.8500297</v>
      </c>
      <c r="I18" s="145">
        <f>SUMIFS('Flujo de caja mensual'!19:19,'Flujo de caja mensual'!$2:$2,'Flujo de caja anual'!I$1,'Flujo de caja mensual'!$1:$1,"&lt;="&amp;Resumen!$K$19)</f>
        <v>1243756556.985532</v>
      </c>
      <c r="J18" s="145">
        <f>SUMIFS('Flujo de caja mensual'!19:19,'Flujo de caja mensual'!$2:$2,'Flujo de caja anual'!J$1,'Flujo de caja mensual'!$1:$1,"&lt;="&amp;Resumen!$K$19)</f>
        <v>1281069253.6950986</v>
      </c>
      <c r="K18" s="145">
        <f>SUMIFS('Flujo de caja mensual'!19:19,'Flujo de caja mensual'!$2:$2,'Flujo de caja anual'!K$1,'Flujo de caja mensual'!$1:$1,"&lt;="&amp;Resumen!$K$19)</f>
        <v>1319501331.305953</v>
      </c>
      <c r="L18" s="145">
        <f>SUMIFS('Flujo de caja mensual'!19:19,'Flujo de caja mensual'!$2:$2,'Flujo de caja anual'!L$1,'Flujo de caja mensual'!$1:$1,"&lt;="&amp;Resumen!$K$19)</f>
        <v>1359086371.2451329</v>
      </c>
      <c r="M18" s="146">
        <f>SUMIFS('Flujo de caja mensual'!19:19,'Flujo de caja mensual'!$2:$2,'Flujo de caja anual'!M$1,'Flujo de caja mensual'!$1:$1,"&lt;="&amp;Resumen!$K$19)</f>
        <v>1399858962.3824885</v>
      </c>
    </row>
    <row r="19" spans="1:13" x14ac:dyDescent="0.25">
      <c r="A19" s="152">
        <f t="shared" si="3"/>
        <v>0</v>
      </c>
      <c r="B19" s="5">
        <f>Ingresos!O8</f>
        <v>0</v>
      </c>
      <c r="C19" s="144"/>
      <c r="D19" s="145">
        <f>SUMIFS('Flujo de caja mensual'!20:20,'Flujo de caja mensual'!$2:$2,'Flujo de caja anual'!D$1,'Flujo de caja mensual'!$1:$1,"&lt;="&amp;Resumen!$K$19)</f>
        <v>0</v>
      </c>
      <c r="E19" s="145">
        <f>SUMIFS('Flujo de caja mensual'!20:20,'Flujo de caja mensual'!$2:$2,'Flujo de caja anual'!E$1,'Flujo de caja mensual'!$1:$1,"&lt;="&amp;Resumen!$K$19)</f>
        <v>0</v>
      </c>
      <c r="F19" s="145">
        <f>SUMIFS('Flujo de caja mensual'!20:20,'Flujo de caja mensual'!$2:$2,'Flujo de caja anual'!F$1,'Flujo de caja mensual'!$1:$1,"&lt;="&amp;Resumen!$K$19)</f>
        <v>0</v>
      </c>
      <c r="G19" s="145">
        <f>SUMIFS('Flujo de caja mensual'!20:20,'Flujo de caja mensual'!$2:$2,'Flujo de caja anual'!G$1,'Flujo de caja mensual'!$1:$1,"&lt;="&amp;Resumen!$K$19)</f>
        <v>0</v>
      </c>
      <c r="H19" s="145">
        <f>SUMIFS('Flujo de caja mensual'!20:20,'Flujo de caja mensual'!$2:$2,'Flujo de caja anual'!H$1,'Flujo de caja mensual'!$1:$1,"&lt;="&amp;Resumen!$K$19)</f>
        <v>0</v>
      </c>
      <c r="I19" s="145">
        <f>SUMIFS('Flujo de caja mensual'!20:20,'Flujo de caja mensual'!$2:$2,'Flujo de caja anual'!I$1,'Flujo de caja mensual'!$1:$1,"&lt;="&amp;Resumen!$K$19)</f>
        <v>0</v>
      </c>
      <c r="J19" s="145">
        <f>SUMIFS('Flujo de caja mensual'!20:20,'Flujo de caja mensual'!$2:$2,'Flujo de caja anual'!J$1,'Flujo de caja mensual'!$1:$1,"&lt;="&amp;Resumen!$K$19)</f>
        <v>0</v>
      </c>
      <c r="K19" s="145">
        <f>SUMIFS('Flujo de caja mensual'!20:20,'Flujo de caja mensual'!$2:$2,'Flujo de caja anual'!K$1,'Flujo de caja mensual'!$1:$1,"&lt;="&amp;Resumen!$K$19)</f>
        <v>0</v>
      </c>
      <c r="L19" s="145">
        <f>SUMIFS('Flujo de caja mensual'!20:20,'Flujo de caja mensual'!$2:$2,'Flujo de caja anual'!L$1,'Flujo de caja mensual'!$1:$1,"&lt;="&amp;Resumen!$K$19)</f>
        <v>0</v>
      </c>
      <c r="M19" s="146">
        <f>SUMIFS('Flujo de caja mensual'!20:20,'Flujo de caja mensual'!$2:$2,'Flujo de caja anual'!M$1,'Flujo de caja mensual'!$1:$1,"&lt;="&amp;Resumen!$K$19)</f>
        <v>0</v>
      </c>
    </row>
    <row r="20" spans="1:13" x14ac:dyDescent="0.25">
      <c r="A20" s="152">
        <f t="shared" si="3"/>
        <v>3056492173.1415677</v>
      </c>
      <c r="B20" s="5" t="str">
        <f>Ingresos!O9</f>
        <v>Multas y sanciones</v>
      </c>
      <c r="C20" s="144"/>
      <c r="D20" s="145">
        <f>SUMIFS('Flujo de caja mensual'!21:21,'Flujo de caja mensual'!$2:$2,'Flujo de caja anual'!D$1,'Flujo de caja mensual'!$1:$1,"&lt;="&amp;Resumen!$K$19)</f>
        <v>266619360.69784287</v>
      </c>
      <c r="E20" s="145">
        <f>SUMIFS('Flujo de caja mensual'!21:21,'Flujo de caja mensual'!$2:$2,'Flujo de caja anual'!E$1,'Flujo de caja mensual'!$1:$1,"&lt;="&amp;Resumen!$K$19)</f>
        <v>274617941.5187785</v>
      </c>
      <c r="F20" s="145">
        <f>SUMIFS('Flujo de caja mensual'!21:21,'Flujo de caja mensual'!$2:$2,'Flujo de caja anual'!F$1,'Flujo de caja mensual'!$1:$1,"&lt;="&amp;Resumen!$K$19)</f>
        <v>282856479.76434213</v>
      </c>
      <c r="G20" s="145">
        <f>SUMIFS('Flujo de caja mensual'!21:21,'Flujo de caja mensual'!$2:$2,'Flujo de caja anual'!G$1,'Flujo de caja mensual'!$1:$1,"&lt;="&amp;Resumen!$K$19)</f>
        <v>291342174.1572727</v>
      </c>
      <c r="H20" s="145">
        <f>SUMIFS('Flujo de caja mensual'!21:21,'Flujo de caja mensual'!$2:$2,'Flujo de caja anual'!H$1,'Flujo de caja mensual'!$1:$1,"&lt;="&amp;Resumen!$K$19)</f>
        <v>300082439.38199115</v>
      </c>
      <c r="I20" s="145">
        <f>SUMIFS('Flujo de caja mensual'!21:21,'Flujo de caja mensual'!$2:$2,'Flujo de caja anual'!I$1,'Flujo de caja mensual'!$1:$1,"&lt;="&amp;Resumen!$K$19)</f>
        <v>309084912.56345111</v>
      </c>
      <c r="J20" s="145">
        <f>SUMIFS('Flujo de caja mensual'!21:21,'Flujo de caja mensual'!$2:$2,'Flujo de caja anual'!J$1,'Flujo de caja mensual'!$1:$1,"&lt;="&amp;Resumen!$K$19)</f>
        <v>318357459.94035494</v>
      </c>
      <c r="K20" s="145">
        <f>SUMIFS('Flujo de caja mensual'!21:21,'Flujo de caja mensual'!$2:$2,'Flujo de caja anual'!K$1,'Flujo de caja mensual'!$1:$1,"&lt;="&amp;Resumen!$K$19)</f>
        <v>327908183.73856598</v>
      </c>
      <c r="L20" s="145">
        <f>SUMIFS('Flujo de caja mensual'!21:21,'Flujo de caja mensual'!$2:$2,'Flujo de caja anual'!L$1,'Flujo de caja mensual'!$1:$1,"&lt;="&amp;Resumen!$K$19)</f>
        <v>337745429.2507233</v>
      </c>
      <c r="M20" s="146">
        <f>SUMIFS('Flujo de caja mensual'!21:21,'Flujo de caja mensual'!$2:$2,'Flujo de caja anual'!M$1,'Flujo de caja mensual'!$1:$1,"&lt;="&amp;Resumen!$K$19)</f>
        <v>347877792.12824553</v>
      </c>
    </row>
    <row r="21" spans="1:13" x14ac:dyDescent="0.25">
      <c r="A21" s="152">
        <f t="shared" si="3"/>
        <v>6968057604.2568407</v>
      </c>
      <c r="B21" s="5" t="str">
        <f>Ingresos!O10</f>
        <v>Otros ingresos</v>
      </c>
      <c r="C21" s="144"/>
      <c r="D21" s="145">
        <f>SUMIFS('Flujo de caja mensual'!22:22,'Flujo de caja mensual'!$2:$2,'Flujo de caja anual'!D$1,'Flujo de caja mensual'!$1:$1,"&lt;="&amp;Resumen!$K$19)</f>
        <v>607827194.87325585</v>
      </c>
      <c r="E21" s="145">
        <f>SUMIFS('Flujo de caja mensual'!22:22,'Flujo de caja mensual'!$2:$2,'Flujo de caja anual'!E$1,'Flujo de caja mensual'!$1:$1,"&lt;="&amp;Resumen!$K$19)</f>
        <v>626062010.71945417</v>
      </c>
      <c r="F21" s="145">
        <f>SUMIFS('Flujo de caja mensual'!22:22,'Flujo de caja mensual'!$2:$2,'Flujo de caja anual'!F$1,'Flujo de caja mensual'!$1:$1,"&lt;="&amp;Resumen!$K$19)</f>
        <v>644843871.04103851</v>
      </c>
      <c r="G21" s="145">
        <f>SUMIFS('Flujo de caja mensual'!22:22,'Flujo de caja mensual'!$2:$2,'Flujo de caja anual'!G$1,'Flujo de caja mensual'!$1:$1,"&lt;="&amp;Resumen!$K$19)</f>
        <v>664189187.1722703</v>
      </c>
      <c r="H21" s="145">
        <f>SUMIFS('Flujo de caja mensual'!22:22,'Flujo de caja mensual'!$2:$2,'Flujo de caja anual'!H$1,'Flujo de caja mensual'!$1:$1,"&lt;="&amp;Resumen!$K$19)</f>
        <v>684114862.78743911</v>
      </c>
      <c r="I21" s="145">
        <f>SUMIFS('Flujo de caja mensual'!22:22,'Flujo de caja mensual'!$2:$2,'Flujo de caja anual'!I$1,'Flujo de caja mensual'!$1:$1,"&lt;="&amp;Resumen!$K$19)</f>
        <v>704638308.67106283</v>
      </c>
      <c r="J21" s="145">
        <f>SUMIFS('Flujo de caja mensual'!22:22,'Flujo de caja mensual'!$2:$2,'Flujo de caja anual'!J$1,'Flujo de caja mensual'!$1:$1,"&lt;="&amp;Resumen!$K$19)</f>
        <v>725777457.93119562</v>
      </c>
      <c r="K21" s="145">
        <f>SUMIFS('Flujo de caja mensual'!22:22,'Flujo de caja mensual'!$2:$2,'Flujo de caja anual'!K$1,'Flujo de caja mensual'!$1:$1,"&lt;="&amp;Resumen!$K$19)</f>
        <v>747550781.66913247</v>
      </c>
      <c r="L21" s="145">
        <f>SUMIFS('Flujo de caja mensual'!22:22,'Flujo de caja mensual'!$2:$2,'Flujo de caja anual'!L$1,'Flujo de caja mensual'!$1:$1,"&lt;="&amp;Resumen!$K$19)</f>
        <v>769977305.11920738</v>
      </c>
      <c r="M21" s="146">
        <f>SUMIFS('Flujo de caja mensual'!22:22,'Flujo de caja mensual'!$2:$2,'Flujo de caja anual'!M$1,'Flujo de caja mensual'!$1:$1,"&lt;="&amp;Resumen!$K$19)</f>
        <v>793076624.27278447</v>
      </c>
    </row>
    <row r="22" spans="1:13" x14ac:dyDescent="0.25">
      <c r="A22" s="152">
        <f t="shared" si="3"/>
        <v>0</v>
      </c>
      <c r="B22" s="5">
        <f>Ingresos!O11</f>
        <v>0</v>
      </c>
      <c r="C22" s="144"/>
      <c r="D22" s="145">
        <f>SUMIFS('Flujo de caja mensual'!23:23,'Flujo de caja mensual'!$2:$2,'Flujo de caja anual'!D$1,'Flujo de caja mensual'!$1:$1,"&lt;="&amp;Resumen!$K$19)</f>
        <v>0</v>
      </c>
      <c r="E22" s="145">
        <f>SUMIFS('Flujo de caja mensual'!23:23,'Flujo de caja mensual'!$2:$2,'Flujo de caja anual'!E$1,'Flujo de caja mensual'!$1:$1,"&lt;="&amp;Resumen!$K$19)</f>
        <v>0</v>
      </c>
      <c r="F22" s="145">
        <f>SUMIFS('Flujo de caja mensual'!23:23,'Flujo de caja mensual'!$2:$2,'Flujo de caja anual'!F$1,'Flujo de caja mensual'!$1:$1,"&lt;="&amp;Resumen!$K$19)</f>
        <v>0</v>
      </c>
      <c r="G22" s="145">
        <f>SUMIFS('Flujo de caja mensual'!23:23,'Flujo de caja mensual'!$2:$2,'Flujo de caja anual'!G$1,'Flujo de caja mensual'!$1:$1,"&lt;="&amp;Resumen!$K$19)</f>
        <v>0</v>
      </c>
      <c r="H22" s="145">
        <f>SUMIFS('Flujo de caja mensual'!23:23,'Flujo de caja mensual'!$2:$2,'Flujo de caja anual'!H$1,'Flujo de caja mensual'!$1:$1,"&lt;="&amp;Resumen!$K$19)</f>
        <v>0</v>
      </c>
      <c r="I22" s="145">
        <f>SUMIFS('Flujo de caja mensual'!23:23,'Flujo de caja mensual'!$2:$2,'Flujo de caja anual'!I$1,'Flujo de caja mensual'!$1:$1,"&lt;="&amp;Resumen!$K$19)</f>
        <v>0</v>
      </c>
      <c r="J22" s="145">
        <f>SUMIFS('Flujo de caja mensual'!23:23,'Flujo de caja mensual'!$2:$2,'Flujo de caja anual'!J$1,'Flujo de caja mensual'!$1:$1,"&lt;="&amp;Resumen!$K$19)</f>
        <v>0</v>
      </c>
      <c r="K22" s="145">
        <f>SUMIFS('Flujo de caja mensual'!23:23,'Flujo de caja mensual'!$2:$2,'Flujo de caja anual'!K$1,'Flujo de caja mensual'!$1:$1,"&lt;="&amp;Resumen!$K$19)</f>
        <v>0</v>
      </c>
      <c r="L22" s="145">
        <f>SUMIFS('Flujo de caja mensual'!23:23,'Flujo de caja mensual'!$2:$2,'Flujo de caja anual'!L$1,'Flujo de caja mensual'!$1:$1,"&lt;="&amp;Resumen!$K$19)</f>
        <v>0</v>
      </c>
      <c r="M22" s="146">
        <f>SUMIFS('Flujo de caja mensual'!23:23,'Flujo de caja mensual'!$2:$2,'Flujo de caja anual'!M$1,'Flujo de caja mensual'!$1:$1,"&lt;="&amp;Resumen!$K$19)</f>
        <v>0</v>
      </c>
    </row>
    <row r="23" spans="1:13" x14ac:dyDescent="0.25">
      <c r="A23" s="152">
        <f t="shared" si="3"/>
        <v>31915921848.985409</v>
      </c>
      <c r="B23" s="14" t="s">
        <v>38</v>
      </c>
      <c r="C23" s="150"/>
      <c r="D23" s="148">
        <f>SUMIFS('Flujo de caja mensual'!24:24,'Flujo de caja mensual'!$2:$2,'Flujo de caja anual'!D$1,'Flujo de caja mensual'!$1:$1,"&lt;="&amp;Resumen!$K$19)</f>
        <v>2784042031.6576653</v>
      </c>
      <c r="E23" s="148">
        <f>SUMIFS('Flujo de caja mensual'!24:24,'Flujo de caja mensual'!$2:$2,'Flujo de caja anual'!E$1,'Flujo de caja mensual'!$1:$1,"&lt;="&amp;Resumen!$K$19)</f>
        <v>2867563292.607399</v>
      </c>
      <c r="F23" s="148">
        <f>SUMIFS('Flujo de caja mensual'!24:24,'Flujo de caja mensual'!$2:$2,'Flujo de caja anual'!F$1,'Flujo de caja mensual'!$1:$1,"&lt;="&amp;Resumen!$K$19)</f>
        <v>2953590191.3856244</v>
      </c>
      <c r="G23" s="148">
        <f>SUMIFS('Flujo de caja mensual'!24:24,'Flujo de caja mensual'!$2:$2,'Flujo de caja anual'!G$1,'Flujo de caja mensual'!$1:$1,"&lt;="&amp;Resumen!$K$19)</f>
        <v>3042197897.1271954</v>
      </c>
      <c r="H23" s="148">
        <f>SUMIFS('Flujo de caja mensual'!24:24,'Flujo de caja mensual'!$2:$2,'Flujo de caja anual'!H$1,'Flujo de caja mensual'!$1:$1,"&lt;="&amp;Resumen!$K$19)</f>
        <v>3133463834.0410142</v>
      </c>
      <c r="I23" s="148">
        <f>SUMIFS('Flujo de caja mensual'!24:24,'Flujo de caja mensual'!$2:$2,'Flujo de caja anual'!I$1,'Flujo de caja mensual'!$1:$1,"&lt;="&amp;Resumen!$K$19)</f>
        <v>3227467749.0622482</v>
      </c>
      <c r="J23" s="148">
        <f>SUMIFS('Flujo de caja mensual'!24:24,'Flujo de caja mensual'!$2:$2,'Flujo de caja anual'!J$1,'Flujo de caja mensual'!$1:$1,"&lt;="&amp;Resumen!$K$19)</f>
        <v>3324291781.5341187</v>
      </c>
      <c r="K23" s="148">
        <f>SUMIFS('Flujo de caja mensual'!24:24,'Flujo de caja mensual'!$2:$2,'Flujo de caja anual'!K$1,'Flujo de caja mensual'!$1:$1,"&lt;="&amp;Resumen!$K$19)</f>
        <v>3424020534.9801455</v>
      </c>
      <c r="L23" s="148">
        <f>SUMIFS('Flujo de caja mensual'!24:24,'Flujo de caja mensual'!$2:$2,'Flujo de caja anual'!L$1,'Flujo de caja mensual'!$1:$1,"&lt;="&amp;Resumen!$K$19)</f>
        <v>3526741151.0295544</v>
      </c>
      <c r="M23" s="149">
        <f>SUMIFS('Flujo de caja mensual'!24:24,'Flujo de caja mensual'!$2:$2,'Flujo de caja anual'!M$1,'Flujo de caja mensual'!$1:$1,"&lt;="&amp;Resumen!$K$19)</f>
        <v>3632543385.5604444</v>
      </c>
    </row>
    <row r="24" spans="1:13" x14ac:dyDescent="0.25">
      <c r="B24" s="5"/>
      <c r="C24" s="144"/>
      <c r="D24" s="145"/>
      <c r="E24" s="145"/>
      <c r="F24" s="145"/>
      <c r="G24" s="145"/>
      <c r="H24" s="145"/>
      <c r="I24" s="145"/>
      <c r="J24" s="145"/>
      <c r="K24" s="145"/>
      <c r="L24" s="145"/>
      <c r="M24" s="146"/>
    </row>
    <row r="25" spans="1:13" x14ac:dyDescent="0.25">
      <c r="A25" s="152">
        <f>SUM(C25:M25)</f>
        <v>180641388091.35489</v>
      </c>
      <c r="B25" s="14" t="s">
        <v>39</v>
      </c>
      <c r="C25" s="150"/>
      <c r="D25" s="148">
        <f>SUMIFS('Flujo de caja mensual'!26:26,'Flujo de caja mensual'!$2:$2,'Flujo de caja anual'!D$1,'Flujo de caja mensual'!$1:$1,"&lt;="&amp;Resumen!$K$19)</f>
        <v>13576402342.630459</v>
      </c>
      <c r="E25" s="148">
        <f>SUMIFS('Flujo de caja mensual'!26:26,'Flujo de caja mensual'!$2:$2,'Flujo de caja anual'!E$1,'Flujo de caja mensual'!$1:$1,"&lt;="&amp;Resumen!$K$19)</f>
        <v>15746995204.088932</v>
      </c>
      <c r="F25" s="148">
        <f>SUMIFS('Flujo de caja mensual'!26:26,'Flujo de caja mensual'!$2:$2,'Flujo de caja anual'!F$1,'Flujo de caja mensual'!$1:$1,"&lt;="&amp;Resumen!$K$19)</f>
        <v>16769100735.684343</v>
      </c>
      <c r="G25" s="148">
        <f>SUMIFS('Flujo de caja mensual'!26:26,'Flujo de caja mensual'!$2:$2,'Flujo de caja anual'!G$1,'Flujo de caja mensual'!$1:$1,"&lt;="&amp;Resumen!$K$19)</f>
        <v>17341251310.476372</v>
      </c>
      <c r="H25" s="148">
        <f>SUMIFS('Flujo de caja mensual'!26:26,'Flujo de caja mensual'!$2:$2,'Flujo de caja anual'!H$1,'Flujo de caja mensual'!$1:$1,"&lt;="&amp;Resumen!$K$19)</f>
        <v>17932984116.857418</v>
      </c>
      <c r="I25" s="148">
        <f>SUMIFS('Flujo de caja mensual'!26:26,'Flujo de caja mensual'!$2:$2,'Flujo de caja anual'!I$1,'Flujo de caja mensual'!$1:$1,"&lt;="&amp;Resumen!$K$19)</f>
        <v>18544971241.777229</v>
      </c>
      <c r="J25" s="148">
        <f>SUMIFS('Flujo de caja mensual'!26:26,'Flujo de caja mensual'!$2:$2,'Flujo de caja anual'!J$1,'Flujo de caja mensual'!$1:$1,"&lt;="&amp;Resumen!$K$19)</f>
        <v>19177907896.494125</v>
      </c>
      <c r="K25" s="148">
        <f>SUMIFS('Flujo de caja mensual'!26:26,'Flujo de caja mensual'!$2:$2,'Flujo de caja anual'!K$1,'Flujo de caja mensual'!$1:$1,"&lt;="&amp;Resumen!$K$19)</f>
        <v>19832513213.963757</v>
      </c>
      <c r="L25" s="148">
        <f>SUMIFS('Flujo de caja mensual'!26:26,'Flujo de caja mensual'!$2:$2,'Flujo de caja anual'!L$1,'Flujo de caja mensual'!$1:$1,"&lt;="&amp;Resumen!$K$19)</f>
        <v>20509531073.777592</v>
      </c>
      <c r="M25" s="149">
        <f>SUMIFS('Flujo de caja mensual'!26:26,'Flujo de caja mensual'!$2:$2,'Flujo de caja anual'!M$1,'Flujo de caja mensual'!$1:$1,"&lt;="&amp;Resumen!$K$19)</f>
        <v>21209730955.604668</v>
      </c>
    </row>
    <row r="26" spans="1:13" x14ac:dyDescent="0.25">
      <c r="B26" s="5"/>
      <c r="C26" s="144"/>
      <c r="D26" s="145"/>
      <c r="E26" s="145"/>
      <c r="F26" s="145"/>
      <c r="G26" s="145"/>
      <c r="H26" s="145"/>
      <c r="I26" s="145"/>
      <c r="J26" s="145"/>
      <c r="K26" s="145"/>
      <c r="L26" s="145"/>
      <c r="M26" s="146"/>
    </row>
    <row r="27" spans="1:13" x14ac:dyDescent="0.25">
      <c r="B27" s="140" t="s">
        <v>40</v>
      </c>
      <c r="C27" s="144"/>
      <c r="D27" s="145"/>
      <c r="E27" s="145"/>
      <c r="F27" s="145"/>
      <c r="G27" s="145"/>
      <c r="H27" s="145"/>
      <c r="I27" s="145"/>
      <c r="J27" s="145"/>
      <c r="K27" s="145"/>
      <c r="L27" s="145"/>
      <c r="M27" s="146"/>
    </row>
    <row r="28" spans="1:13" x14ac:dyDescent="0.25">
      <c r="A28" s="152">
        <f t="shared" ref="A28:A40" si="4">SUM(C28:M28)</f>
        <v>-1201953424.9594941</v>
      </c>
      <c r="B28" s="5" t="str">
        <f>Gastos!E3</f>
        <v>Salarios</v>
      </c>
      <c r="C28" s="144"/>
      <c r="D28" s="145">
        <f>SUMIFS('Flujo de caja mensual'!29:29,'Flujo de caja mensual'!$2:$2,'Flujo de caja anual'!D$1,'Flujo de caja mensual'!$1:$1,"&lt;="&amp;Resumen!$K$19)</f>
        <v>-95560796.179679513</v>
      </c>
      <c r="E28" s="145">
        <f>SUMIFS('Flujo de caja mensual'!29:29,'Flujo de caja mensual'!$2:$2,'Flujo de caja anual'!E$1,'Flujo de caja mensual'!$1:$1,"&lt;="&amp;Resumen!$K$19)</f>
        <v>-100338835.98866349</v>
      </c>
      <c r="F28" s="145">
        <f>SUMIFS('Flujo de caja mensual'!29:29,'Flujo de caja mensual'!$2:$2,'Flujo de caja anual'!F$1,'Flujo de caja mensual'!$1:$1,"&lt;="&amp;Resumen!$K$19)</f>
        <v>-105355777.78809668</v>
      </c>
      <c r="G28" s="145">
        <f>SUMIFS('Flujo de caja mensual'!29:29,'Flujo de caja mensual'!$2:$2,'Flujo de caja anual'!G$1,'Flujo de caja mensual'!$1:$1,"&lt;="&amp;Resumen!$K$19)</f>
        <v>-110623566.6775015</v>
      </c>
      <c r="H28" s="145">
        <f>SUMIFS('Flujo de caja mensual'!29:29,'Flujo de caja mensual'!$2:$2,'Flujo de caja anual'!H$1,'Flujo de caja mensual'!$1:$1,"&lt;="&amp;Resumen!$K$19)</f>
        <v>-116154745.01137659</v>
      </c>
      <c r="I28" s="145">
        <f>SUMIFS('Flujo de caja mensual'!29:29,'Flujo de caja mensual'!$2:$2,'Flujo de caja anual'!I$1,'Flujo de caja mensual'!$1:$1,"&lt;="&amp;Resumen!$K$19)</f>
        <v>-121962482.26194543</v>
      </c>
      <c r="J28" s="145">
        <f>SUMIFS('Flujo de caja mensual'!29:29,'Flujo de caja mensual'!$2:$2,'Flujo de caja anual'!J$1,'Flujo de caja mensual'!$1:$1,"&lt;="&amp;Resumen!$K$19)</f>
        <v>-128060606.37504269</v>
      </c>
      <c r="K28" s="145">
        <f>SUMIFS('Flujo de caja mensual'!29:29,'Flujo de caja mensual'!$2:$2,'Flujo de caja anual'!K$1,'Flujo de caja mensual'!$1:$1,"&lt;="&amp;Resumen!$K$19)</f>
        <v>-134463636.69379485</v>
      </c>
      <c r="L28" s="145">
        <f>SUMIFS('Flujo de caja mensual'!29:29,'Flujo de caja mensual'!$2:$2,'Flujo de caja anual'!L$1,'Flujo de caja mensual'!$1:$1,"&lt;="&amp;Resumen!$K$19)</f>
        <v>-141186818.52848458</v>
      </c>
      <c r="M28" s="146">
        <f>SUMIFS('Flujo de caja mensual'!29:29,'Flujo de caja mensual'!$2:$2,'Flujo de caja anual'!M$1,'Flujo de caja mensual'!$1:$1,"&lt;="&amp;Resumen!$K$19)</f>
        <v>-148246159.45490879</v>
      </c>
    </row>
    <row r="29" spans="1:13" x14ac:dyDescent="0.25">
      <c r="A29" s="152">
        <f t="shared" si="4"/>
        <v>-4665052589.5122995</v>
      </c>
      <c r="B29" s="5" t="str">
        <f>Gastos!E4</f>
        <v>Gastos Generales y admin</v>
      </c>
      <c r="C29" s="144"/>
      <c r="D29" s="145">
        <f>SUMIFS('Flujo de caja mensual'!30:30,'Flujo de caja mensual'!$2:$2,'Flujo de caja anual'!D$1,'Flujo de caja mensual'!$1:$1,"&lt;="&amp;Resumen!$K$19)</f>
        <v>-370893023.32067835</v>
      </c>
      <c r="E29" s="145">
        <f>SUMIFS('Flujo de caja mensual'!30:30,'Flujo de caja mensual'!$2:$2,'Flujo de caja anual'!E$1,'Flujo de caja mensual'!$1:$1,"&lt;="&amp;Resumen!$K$19)</f>
        <v>-389437674.4867124</v>
      </c>
      <c r="F29" s="145">
        <f>SUMIFS('Flujo de caja mensual'!30:30,'Flujo de caja mensual'!$2:$2,'Flujo de caja anual'!F$1,'Flujo de caja mensual'!$1:$1,"&lt;="&amp;Resumen!$K$19)</f>
        <v>-408909558.21104801</v>
      </c>
      <c r="G29" s="145">
        <f>SUMIFS('Flujo de caja mensual'!30:30,'Flujo de caja mensual'!$2:$2,'Flujo de caja anual'!G$1,'Flujo de caja mensual'!$1:$1,"&lt;="&amp;Resumen!$K$19)</f>
        <v>-429355036.12160033</v>
      </c>
      <c r="H29" s="145">
        <f>SUMIFS('Flujo de caja mensual'!30:30,'Flujo de caja mensual'!$2:$2,'Flujo de caja anual'!H$1,'Flujo de caja mensual'!$1:$1,"&lt;="&amp;Resumen!$K$19)</f>
        <v>-450822787.92768043</v>
      </c>
      <c r="I29" s="145">
        <f>SUMIFS('Flujo de caja mensual'!30:30,'Flujo de caja mensual'!$2:$2,'Flujo de caja anual'!I$1,'Flujo de caja mensual'!$1:$1,"&lt;="&amp;Resumen!$K$19)</f>
        <v>-473363927.32406449</v>
      </c>
      <c r="J29" s="145">
        <f>SUMIFS('Flujo de caja mensual'!30:30,'Flujo de caja mensual'!$2:$2,'Flujo de caja anual'!J$1,'Flujo de caja mensual'!$1:$1,"&lt;="&amp;Resumen!$K$19)</f>
        <v>-497032123.69026774</v>
      </c>
      <c r="K29" s="145">
        <f>SUMIFS('Flujo de caja mensual'!30:30,'Flujo de caja mensual'!$2:$2,'Flujo de caja anual'!K$1,'Flujo de caja mensual'!$1:$1,"&lt;="&amp;Resumen!$K$19)</f>
        <v>-521883729.87478113</v>
      </c>
      <c r="L29" s="145">
        <f>SUMIFS('Flujo de caja mensual'!30:30,'Flujo de caja mensual'!$2:$2,'Flujo de caja anual'!L$1,'Flujo de caja mensual'!$1:$1,"&lt;="&amp;Resumen!$K$19)</f>
        <v>-547977916.36852026</v>
      </c>
      <c r="M29" s="146">
        <f>SUMIFS('Flujo de caja mensual'!30:30,'Flujo de caja mensual'!$2:$2,'Flujo de caja anual'!M$1,'Flujo de caja mensual'!$1:$1,"&lt;="&amp;Resumen!$K$19)</f>
        <v>-575376812.18694615</v>
      </c>
    </row>
    <row r="30" spans="1:13" x14ac:dyDescent="0.25">
      <c r="A30" s="152">
        <f t="shared" si="4"/>
        <v>-1306637041.7999556</v>
      </c>
      <c r="B30" s="5" t="str">
        <f>Gastos!E5</f>
        <v>Marketing</v>
      </c>
      <c r="C30" s="144"/>
      <c r="D30" s="145">
        <f>SUMIFS('Flujo de caja mensual'!31:31,'Flujo de caja mensual'!$2:$2,'Flujo de caja anual'!D$1,'Flujo de caja mensual'!$1:$1,"&lt;="&amp;Resumen!$K$19)</f>
        <v>-103883622.64242713</v>
      </c>
      <c r="E30" s="145">
        <f>SUMIFS('Flujo de caja mensual'!31:31,'Flujo de caja mensual'!$2:$2,'Flujo de caja anual'!E$1,'Flujo de caja mensual'!$1:$1,"&lt;="&amp;Resumen!$K$19)</f>
        <v>-109077803.7745485</v>
      </c>
      <c r="F30" s="145">
        <f>SUMIFS('Flujo de caja mensual'!31:31,'Flujo de caja mensual'!$2:$2,'Flujo de caja anual'!F$1,'Flujo de caja mensual'!$1:$1,"&lt;="&amp;Resumen!$K$19)</f>
        <v>-114531693.96327591</v>
      </c>
      <c r="G30" s="145">
        <f>SUMIFS('Flujo de caja mensual'!31:31,'Flujo de caja mensual'!$2:$2,'Flujo de caja anual'!G$1,'Flujo de caja mensual'!$1:$1,"&lt;="&amp;Resumen!$K$19)</f>
        <v>-120258278.6614397</v>
      </c>
      <c r="H30" s="145">
        <f>SUMIFS('Flujo de caja mensual'!31:31,'Flujo de caja mensual'!$2:$2,'Flujo de caja anual'!H$1,'Flujo de caja mensual'!$1:$1,"&lt;="&amp;Resumen!$K$19)</f>
        <v>-126271192.5945117</v>
      </c>
      <c r="I30" s="145">
        <f>SUMIFS('Flujo de caja mensual'!31:31,'Flujo de caja mensual'!$2:$2,'Flujo de caja anual'!I$1,'Flujo de caja mensual'!$1:$1,"&lt;="&amp;Resumen!$K$19)</f>
        <v>-132584752.22423729</v>
      </c>
      <c r="J30" s="145">
        <f>SUMIFS('Flujo de caja mensual'!31:31,'Flujo de caja mensual'!$2:$2,'Flujo de caja anual'!J$1,'Flujo de caja mensual'!$1:$1,"&lt;="&amp;Resumen!$K$19)</f>
        <v>-139213989.83544916</v>
      </c>
      <c r="K30" s="145">
        <f>SUMIFS('Flujo de caja mensual'!31:31,'Flujo de caja mensual'!$2:$2,'Flujo de caja anual'!K$1,'Flujo de caja mensual'!$1:$1,"&lt;="&amp;Resumen!$K$19)</f>
        <v>-146174689.32722163</v>
      </c>
      <c r="L30" s="145">
        <f>SUMIFS('Flujo de caja mensual'!31:31,'Flujo de caja mensual'!$2:$2,'Flujo de caja anual'!L$1,'Flujo de caja mensual'!$1:$1,"&lt;="&amp;Resumen!$K$19)</f>
        <v>-153483423.79358274</v>
      </c>
      <c r="M30" s="146">
        <f>SUMIFS('Flujo de caja mensual'!31:31,'Flujo de caja mensual'!$2:$2,'Flujo de caja anual'!M$1,'Flujo de caja mensual'!$1:$1,"&lt;="&amp;Resumen!$K$19)</f>
        <v>-161157594.98326188</v>
      </c>
    </row>
    <row r="31" spans="1:13" x14ac:dyDescent="0.25">
      <c r="A31" s="152">
        <f t="shared" si="4"/>
        <v>-1941088196.1810937</v>
      </c>
      <c r="B31" s="5" t="str">
        <f>Gastos!E6</f>
        <v>Reparaciones y mantenimiento</v>
      </c>
      <c r="C31" s="144"/>
      <c r="D31" s="145">
        <f>SUMIFS('Flujo de caja mensual'!32:32,'Flujo de caja mensual'!$2:$2,'Flujo de caja anual'!D$1,'Flujo de caja mensual'!$1:$1,"&lt;="&amp;Resumen!$K$19)</f>
        <v>-154325392.00784287</v>
      </c>
      <c r="E31" s="145">
        <f>SUMIFS('Flujo de caja mensual'!32:32,'Flujo de caja mensual'!$2:$2,'Flujo de caja anual'!E$1,'Flujo de caja mensual'!$1:$1,"&lt;="&amp;Resumen!$K$19)</f>
        <v>-162041661.608235</v>
      </c>
      <c r="F31" s="145">
        <f>SUMIFS('Flujo de caja mensual'!32:32,'Flujo de caja mensual'!$2:$2,'Flujo de caja anual'!F$1,'Flujo de caja mensual'!$1:$1,"&lt;="&amp;Resumen!$K$19)</f>
        <v>-170143744.68864673</v>
      </c>
      <c r="G31" s="145">
        <f>SUMIFS('Flujo de caja mensual'!32:32,'Flujo de caja mensual'!$2:$2,'Flujo de caja anual'!G$1,'Flujo de caja mensual'!$1:$1,"&lt;="&amp;Resumen!$K$19)</f>
        <v>-178650931.92307907</v>
      </c>
      <c r="H31" s="145">
        <f>SUMIFS('Flujo de caja mensual'!32:32,'Flujo de caja mensual'!$2:$2,'Flujo de caja anual'!H$1,'Flujo de caja mensual'!$1:$1,"&lt;="&amp;Resumen!$K$19)</f>
        <v>-187583478.51923302</v>
      </c>
      <c r="I31" s="145">
        <f>SUMIFS('Flujo de caja mensual'!32:32,'Flujo de caja mensual'!$2:$2,'Flujo de caja anual'!I$1,'Flujo de caja mensual'!$1:$1,"&lt;="&amp;Resumen!$K$19)</f>
        <v>-196962652.44519472</v>
      </c>
      <c r="J31" s="145">
        <f>SUMIFS('Flujo de caja mensual'!32:32,'Flujo de caja mensual'!$2:$2,'Flujo de caja anual'!J$1,'Flujo de caja mensual'!$1:$1,"&lt;="&amp;Resumen!$K$19)</f>
        <v>-206810785.06745443</v>
      </c>
      <c r="K31" s="145">
        <f>SUMIFS('Flujo de caja mensual'!32:32,'Flujo de caja mensual'!$2:$2,'Flujo de caja anual'!K$1,'Flujo de caja mensual'!$1:$1,"&lt;="&amp;Resumen!$K$19)</f>
        <v>-217151324.32082716</v>
      </c>
      <c r="L31" s="145">
        <f>SUMIFS('Flujo de caja mensual'!32:32,'Flujo de caja mensual'!$2:$2,'Flujo de caja anual'!L$1,'Flujo de caja mensual'!$1:$1,"&lt;="&amp;Resumen!$K$19)</f>
        <v>-228008890.53686857</v>
      </c>
      <c r="M31" s="146">
        <f>SUMIFS('Flujo de caja mensual'!32:32,'Flujo de caja mensual'!$2:$2,'Flujo de caja anual'!M$1,'Flujo de caja mensual'!$1:$1,"&lt;="&amp;Resumen!$K$19)</f>
        <v>-239409335.063712</v>
      </c>
    </row>
    <row r="32" spans="1:13" x14ac:dyDescent="0.25">
      <c r="A32" s="152">
        <f t="shared" si="4"/>
        <v>0</v>
      </c>
      <c r="B32" s="5" t="str">
        <f>Gastos!E7</f>
        <v>Costo de rotacion inquilinos</v>
      </c>
      <c r="C32" s="144"/>
      <c r="D32" s="145">
        <f>SUMIFS('Flujo de caja mensual'!33:33,'Flujo de caja mensual'!$2:$2,'Flujo de caja anual'!D$1,'Flujo de caja mensual'!$1:$1,"&lt;="&amp;Resumen!$K$19)</f>
        <v>0</v>
      </c>
      <c r="E32" s="145">
        <f>SUMIFS('Flujo de caja mensual'!33:33,'Flujo de caja mensual'!$2:$2,'Flujo de caja anual'!E$1,'Flujo de caja mensual'!$1:$1,"&lt;="&amp;Resumen!$K$19)</f>
        <v>0</v>
      </c>
      <c r="F32" s="145">
        <f>SUMIFS('Flujo de caja mensual'!33:33,'Flujo de caja mensual'!$2:$2,'Flujo de caja anual'!F$1,'Flujo de caja mensual'!$1:$1,"&lt;="&amp;Resumen!$K$19)</f>
        <v>0</v>
      </c>
      <c r="G32" s="145">
        <f>SUMIFS('Flujo de caja mensual'!33:33,'Flujo de caja mensual'!$2:$2,'Flujo de caja anual'!G$1,'Flujo de caja mensual'!$1:$1,"&lt;="&amp;Resumen!$K$19)</f>
        <v>0</v>
      </c>
      <c r="H32" s="145">
        <f>SUMIFS('Flujo de caja mensual'!33:33,'Flujo de caja mensual'!$2:$2,'Flujo de caja anual'!H$1,'Flujo de caja mensual'!$1:$1,"&lt;="&amp;Resumen!$K$19)</f>
        <v>0</v>
      </c>
      <c r="I32" s="145">
        <f>SUMIFS('Flujo de caja mensual'!33:33,'Flujo de caja mensual'!$2:$2,'Flujo de caja anual'!I$1,'Flujo de caja mensual'!$1:$1,"&lt;="&amp;Resumen!$K$19)</f>
        <v>0</v>
      </c>
      <c r="J32" s="145">
        <f>SUMIFS('Flujo de caja mensual'!33:33,'Flujo de caja mensual'!$2:$2,'Flujo de caja anual'!J$1,'Flujo de caja mensual'!$1:$1,"&lt;="&amp;Resumen!$K$19)</f>
        <v>0</v>
      </c>
      <c r="K32" s="145">
        <f>SUMIFS('Flujo de caja mensual'!33:33,'Flujo de caja mensual'!$2:$2,'Flujo de caja anual'!K$1,'Flujo de caja mensual'!$1:$1,"&lt;="&amp;Resumen!$K$19)</f>
        <v>0</v>
      </c>
      <c r="L32" s="145">
        <f>SUMIFS('Flujo de caja mensual'!33:33,'Flujo de caja mensual'!$2:$2,'Flujo de caja anual'!L$1,'Flujo de caja mensual'!$1:$1,"&lt;="&amp;Resumen!$K$19)</f>
        <v>0</v>
      </c>
      <c r="M32" s="146">
        <f>SUMIFS('Flujo de caja mensual'!33:33,'Flujo de caja mensual'!$2:$2,'Flujo de caja anual'!M$1,'Flujo de caja mensual'!$1:$1,"&lt;="&amp;Resumen!$K$19)</f>
        <v>0</v>
      </c>
    </row>
    <row r="33" spans="1:13" x14ac:dyDescent="0.25">
      <c r="A33" s="152">
        <f t="shared" si="4"/>
        <v>-600976712.47974706</v>
      </c>
      <c r="B33" s="5" t="str">
        <f>Gastos!E8</f>
        <v>Contract Services</v>
      </c>
      <c r="C33" s="144"/>
      <c r="D33" s="145">
        <f>SUMIFS('Flujo de caja mensual'!34:34,'Flujo de caja mensual'!$2:$2,'Flujo de caja anual'!D$1,'Flujo de caja mensual'!$1:$1,"&lt;="&amp;Resumen!$K$19)</f>
        <v>-47780398.089839756</v>
      </c>
      <c r="E33" s="145">
        <f>SUMIFS('Flujo de caja mensual'!34:34,'Flujo de caja mensual'!$2:$2,'Flujo de caja anual'!E$1,'Flujo de caja mensual'!$1:$1,"&lt;="&amp;Resumen!$K$19)</f>
        <v>-50169417.994331747</v>
      </c>
      <c r="F33" s="145">
        <f>SUMIFS('Flujo de caja mensual'!34:34,'Flujo de caja mensual'!$2:$2,'Flujo de caja anual'!F$1,'Flujo de caja mensual'!$1:$1,"&lt;="&amp;Resumen!$K$19)</f>
        <v>-52677888.894048341</v>
      </c>
      <c r="G33" s="145">
        <f>SUMIFS('Flujo de caja mensual'!34:34,'Flujo de caja mensual'!$2:$2,'Flujo de caja anual'!G$1,'Flujo de caja mensual'!$1:$1,"&lt;="&amp;Resumen!$K$19)</f>
        <v>-55311783.33875075</v>
      </c>
      <c r="H33" s="145">
        <f>SUMIFS('Flujo de caja mensual'!34:34,'Flujo de caja mensual'!$2:$2,'Flujo de caja anual'!H$1,'Flujo de caja mensual'!$1:$1,"&lt;="&amp;Resumen!$K$19)</f>
        <v>-58077372.505688295</v>
      </c>
      <c r="I33" s="145">
        <f>SUMIFS('Flujo de caja mensual'!34:34,'Flujo de caja mensual'!$2:$2,'Flujo de caja anual'!I$1,'Flujo de caja mensual'!$1:$1,"&lt;="&amp;Resumen!$K$19)</f>
        <v>-60981241.130972713</v>
      </c>
      <c r="J33" s="145">
        <f>SUMIFS('Flujo de caja mensual'!34:34,'Flujo de caja mensual'!$2:$2,'Flujo de caja anual'!J$1,'Flujo de caja mensual'!$1:$1,"&lt;="&amp;Resumen!$K$19)</f>
        <v>-64030303.187521346</v>
      </c>
      <c r="K33" s="145">
        <f>SUMIFS('Flujo de caja mensual'!34:34,'Flujo de caja mensual'!$2:$2,'Flujo de caja anual'!K$1,'Flujo de caja mensual'!$1:$1,"&lt;="&amp;Resumen!$K$19)</f>
        <v>-67231818.346897423</v>
      </c>
      <c r="L33" s="145">
        <f>SUMIFS('Flujo de caja mensual'!34:34,'Flujo de caja mensual'!$2:$2,'Flujo de caja anual'!L$1,'Flujo de caja mensual'!$1:$1,"&lt;="&amp;Resumen!$K$19)</f>
        <v>-70593409.264242291</v>
      </c>
      <c r="M33" s="146">
        <f>SUMIFS('Flujo de caja mensual'!34:34,'Flujo de caja mensual'!$2:$2,'Flujo de caja anual'!M$1,'Flujo de caja mensual'!$1:$1,"&lt;="&amp;Resumen!$K$19)</f>
        <v>-74123079.727454394</v>
      </c>
    </row>
    <row r="34" spans="1:13" x14ac:dyDescent="0.25">
      <c r="A34" s="152">
        <f t="shared" si="4"/>
        <v>0</v>
      </c>
      <c r="B34" s="5">
        <f>Gastos!E9</f>
        <v>0</v>
      </c>
      <c r="C34" s="144"/>
      <c r="D34" s="145">
        <f>SUMIFS('Flujo de caja mensual'!35:35,'Flujo de caja mensual'!$2:$2,'Flujo de caja anual'!D$1,'Flujo de caja mensual'!$1:$1,"&lt;="&amp;Resumen!$K$19)</f>
        <v>0</v>
      </c>
      <c r="E34" s="145">
        <f>SUMIFS('Flujo de caja mensual'!35:35,'Flujo de caja mensual'!$2:$2,'Flujo de caja anual'!E$1,'Flujo de caja mensual'!$1:$1,"&lt;="&amp;Resumen!$K$19)</f>
        <v>0</v>
      </c>
      <c r="F34" s="145">
        <f>SUMIFS('Flujo de caja mensual'!35:35,'Flujo de caja mensual'!$2:$2,'Flujo de caja anual'!F$1,'Flujo de caja mensual'!$1:$1,"&lt;="&amp;Resumen!$K$19)</f>
        <v>0</v>
      </c>
      <c r="G34" s="145">
        <f>SUMIFS('Flujo de caja mensual'!35:35,'Flujo de caja mensual'!$2:$2,'Flujo de caja anual'!G$1,'Flujo de caja mensual'!$1:$1,"&lt;="&amp;Resumen!$K$19)</f>
        <v>0</v>
      </c>
      <c r="H34" s="145">
        <f>SUMIFS('Flujo de caja mensual'!35:35,'Flujo de caja mensual'!$2:$2,'Flujo de caja anual'!H$1,'Flujo de caja mensual'!$1:$1,"&lt;="&amp;Resumen!$K$19)</f>
        <v>0</v>
      </c>
      <c r="I34" s="145">
        <f>SUMIFS('Flujo de caja mensual'!35:35,'Flujo de caja mensual'!$2:$2,'Flujo de caja anual'!I$1,'Flujo de caja mensual'!$1:$1,"&lt;="&amp;Resumen!$K$19)</f>
        <v>0</v>
      </c>
      <c r="J34" s="145">
        <f>SUMIFS('Flujo de caja mensual'!35:35,'Flujo de caja mensual'!$2:$2,'Flujo de caja anual'!J$1,'Flujo de caja mensual'!$1:$1,"&lt;="&amp;Resumen!$K$19)</f>
        <v>0</v>
      </c>
      <c r="K34" s="145">
        <f>SUMIFS('Flujo de caja mensual'!35:35,'Flujo de caja mensual'!$2:$2,'Flujo de caja anual'!K$1,'Flujo de caja mensual'!$1:$1,"&lt;="&amp;Resumen!$K$19)</f>
        <v>0</v>
      </c>
      <c r="L34" s="145">
        <f>SUMIFS('Flujo de caja mensual'!35:35,'Flujo de caja mensual'!$2:$2,'Flujo de caja anual'!L$1,'Flujo de caja mensual'!$1:$1,"&lt;="&amp;Resumen!$K$19)</f>
        <v>0</v>
      </c>
      <c r="M34" s="146">
        <f>SUMIFS('Flujo de caja mensual'!35:35,'Flujo de caja mensual'!$2:$2,'Flujo de caja anual'!M$1,'Flujo de caja mensual'!$1:$1,"&lt;="&amp;Resumen!$K$19)</f>
        <v>0</v>
      </c>
    </row>
    <row r="35" spans="1:13" x14ac:dyDescent="0.25">
      <c r="A35" s="152">
        <f t="shared" si="4"/>
        <v>-2855762464.7144947</v>
      </c>
      <c r="B35" s="5" t="str">
        <f>Gastos!E10</f>
        <v>Servicios Publicos</v>
      </c>
      <c r="C35" s="144"/>
      <c r="D35" s="145">
        <f>SUMIFS('Flujo de caja mensual'!36:36,'Flujo de caja mensual'!$2:$2,'Flujo de caja anual'!D$1,'Flujo de caja mensual'!$1:$1,"&lt;="&amp;Resumen!$K$19)</f>
        <v>-227046180.95943087</v>
      </c>
      <c r="E35" s="145">
        <f>SUMIFS('Flujo de caja mensual'!36:36,'Flujo de caja mensual'!$2:$2,'Flujo de caja anual'!E$1,'Flujo de caja mensual'!$1:$1,"&lt;="&amp;Resumen!$K$19)</f>
        <v>-238398490.00740239</v>
      </c>
      <c r="F35" s="145">
        <f>SUMIFS('Flujo de caja mensual'!36:36,'Flujo de caja mensual'!$2:$2,'Flujo de caja anual'!F$1,'Flujo de caja mensual'!$1:$1,"&lt;="&amp;Resumen!$K$19)</f>
        <v>-250318414.50777254</v>
      </c>
      <c r="G35" s="145">
        <f>SUMIFS('Flujo de caja mensual'!36:36,'Flujo de caja mensual'!$2:$2,'Flujo de caja anual'!G$1,'Flujo de caja mensual'!$1:$1,"&lt;="&amp;Resumen!$K$19)</f>
        <v>-262834335.23316115</v>
      </c>
      <c r="H35" s="145">
        <f>SUMIFS('Flujo de caja mensual'!36:36,'Flujo de caja mensual'!$2:$2,'Flujo de caja anual'!H$1,'Flujo de caja mensual'!$1:$1,"&lt;="&amp;Resumen!$K$19)</f>
        <v>-275976051.99481922</v>
      </c>
      <c r="I35" s="145">
        <f>SUMIFS('Flujo de caja mensual'!36:36,'Flujo de caja mensual'!$2:$2,'Flujo de caja anual'!I$1,'Flujo de caja mensual'!$1:$1,"&lt;="&amp;Resumen!$K$19)</f>
        <v>-289774854.59456021</v>
      </c>
      <c r="J35" s="145">
        <f>SUMIFS('Flujo de caja mensual'!36:36,'Flujo de caja mensual'!$2:$2,'Flujo de caja anual'!J$1,'Flujo de caja mensual'!$1:$1,"&lt;="&amp;Resumen!$K$19)</f>
        <v>-304263597.32428819</v>
      </c>
      <c r="K35" s="145">
        <f>SUMIFS('Flujo de caja mensual'!36:36,'Flujo de caja mensual'!$2:$2,'Flujo de caja anual'!K$1,'Flujo de caja mensual'!$1:$1,"&lt;="&amp;Resumen!$K$19)</f>
        <v>-319476777.19050264</v>
      </c>
      <c r="L35" s="145">
        <f>SUMIFS('Flujo de caja mensual'!36:36,'Flujo de caja mensual'!$2:$2,'Flujo de caja anual'!L$1,'Flujo de caja mensual'!$1:$1,"&lt;="&amp;Resumen!$K$19)</f>
        <v>-335450616.05002779</v>
      </c>
      <c r="M35" s="146">
        <f>SUMIFS('Flujo de caja mensual'!36:36,'Flujo de caja mensual'!$2:$2,'Flujo de caja anual'!M$1,'Flujo de caja mensual'!$1:$1,"&lt;="&amp;Resumen!$K$19)</f>
        <v>-352223146.85252929</v>
      </c>
    </row>
    <row r="36" spans="1:13" x14ac:dyDescent="0.25">
      <c r="A36" s="152">
        <f t="shared" si="4"/>
        <v>-7225655523.6541948</v>
      </c>
      <c r="B36" s="5" t="str">
        <f>Gastos!E11</f>
        <v>Utilidad en servicios administrativos</v>
      </c>
      <c r="C36" s="144"/>
      <c r="D36" s="145">
        <f>SUMIFS('Flujo de caja mensual'!37:37,'Flujo de caja mensual'!$2:$2,'Flujo de caja anual'!D$1,'Flujo de caja mensual'!$1:$1,"&lt;="&amp;Resumen!$K$19)</f>
        <v>-543056093.70521832</v>
      </c>
      <c r="E36" s="145">
        <f>SUMIFS('Flujo de caja mensual'!37:37,'Flujo de caja mensual'!$2:$2,'Flujo de caja anual'!E$1,'Flujo de caja mensual'!$1:$1,"&lt;="&amp;Resumen!$K$19)</f>
        <v>-629879808.16355729</v>
      </c>
      <c r="F36" s="145">
        <f>SUMIFS('Flujo de caja mensual'!37:37,'Flujo de caja mensual'!$2:$2,'Flujo de caja anual'!F$1,'Flujo de caja mensual'!$1:$1,"&lt;="&amp;Resumen!$K$19)</f>
        <v>-670764029.42737377</v>
      </c>
      <c r="G36" s="145">
        <f>SUMIFS('Flujo de caja mensual'!37:37,'Flujo de caja mensual'!$2:$2,'Flujo de caja anual'!G$1,'Flujo de caja mensual'!$1:$1,"&lt;="&amp;Resumen!$K$19)</f>
        <v>-693650052.41905499</v>
      </c>
      <c r="H36" s="145">
        <f>SUMIFS('Flujo de caja mensual'!37:37,'Flujo de caja mensual'!$2:$2,'Flujo de caja anual'!H$1,'Flujo de caja mensual'!$1:$1,"&lt;="&amp;Resumen!$K$19)</f>
        <v>-717319364.67429662</v>
      </c>
      <c r="I36" s="145">
        <f>SUMIFS('Flujo de caja mensual'!37:37,'Flujo de caja mensual'!$2:$2,'Flujo de caja anual'!I$1,'Flujo de caja mensual'!$1:$1,"&lt;="&amp;Resumen!$K$19)</f>
        <v>-741798849.67108917</v>
      </c>
      <c r="J36" s="145">
        <f>SUMIFS('Flujo de caja mensual'!37:37,'Flujo de caja mensual'!$2:$2,'Flujo de caja anual'!J$1,'Flujo de caja mensual'!$1:$1,"&lt;="&amp;Resumen!$K$19)</f>
        <v>-767116315.85976505</v>
      </c>
      <c r="K36" s="145">
        <f>SUMIFS('Flujo de caja mensual'!37:37,'Flujo de caja mensual'!$2:$2,'Flujo de caja anual'!K$1,'Flujo de caja mensual'!$1:$1,"&lt;="&amp;Resumen!$K$19)</f>
        <v>-793300528.55855012</v>
      </c>
      <c r="L36" s="145">
        <f>SUMIFS('Flujo de caja mensual'!37:37,'Flujo de caja mensual'!$2:$2,'Flujo de caja anual'!L$1,'Flujo de caja mensual'!$1:$1,"&lt;="&amp;Resumen!$K$19)</f>
        <v>-820381242.95110357</v>
      </c>
      <c r="M36" s="146">
        <f>SUMIFS('Flujo de caja mensual'!37:37,'Flujo de caja mensual'!$2:$2,'Flujo de caja anual'!M$1,'Flujo de caja mensual'!$1:$1,"&lt;="&amp;Resumen!$K$19)</f>
        <v>-848389238.22418666</v>
      </c>
    </row>
    <row r="37" spans="1:13" x14ac:dyDescent="0.25">
      <c r="A37" s="152">
        <f t="shared" si="4"/>
        <v>-19485504484.004395</v>
      </c>
      <c r="B37" s="5" t="str">
        <f>Gastos!E12</f>
        <v>Impuestos</v>
      </c>
      <c r="C37" s="144"/>
      <c r="D37" s="145">
        <f>SUMIFS('Flujo de caja mensual'!38:38,'Flujo de caja mensual'!$2:$2,'Flujo de caja anual'!D$1,'Flujo de caja mensual'!$1:$1,"&lt;="&amp;Resumen!$K$19)</f>
        <v>-1684800000</v>
      </c>
      <c r="E37" s="145">
        <f>SUMIFS('Flujo de caja mensual'!38:38,'Flujo de caja mensual'!$2:$2,'Flujo de caja anual'!E$1,'Flujo de caja mensual'!$1:$1,"&lt;="&amp;Resumen!$K$19)</f>
        <v>-1752192000</v>
      </c>
      <c r="F37" s="145">
        <f>SUMIFS('Flujo de caja mensual'!38:38,'Flujo de caja mensual'!$2:$2,'Flujo de caja anual'!F$1,'Flujo de caja mensual'!$1:$1,"&lt;="&amp;Resumen!$K$19)</f>
        <v>-1804757760</v>
      </c>
      <c r="G37" s="145">
        <f>SUMIFS('Flujo de caja mensual'!38:38,'Flujo de caja mensual'!$2:$2,'Flujo de caja anual'!G$1,'Flujo de caja mensual'!$1:$1,"&lt;="&amp;Resumen!$K$19)</f>
        <v>-1858900492.8000004</v>
      </c>
      <c r="H37" s="145">
        <f>SUMIFS('Flujo de caja mensual'!38:38,'Flujo de caja mensual'!$2:$2,'Flujo de caja anual'!H$1,'Flujo de caja mensual'!$1:$1,"&lt;="&amp;Resumen!$K$19)</f>
        <v>-1914667507.5839999</v>
      </c>
      <c r="I37" s="145">
        <f>SUMIFS('Flujo de caja mensual'!38:38,'Flujo de caja mensual'!$2:$2,'Flujo de caja anual'!I$1,'Flujo de caja mensual'!$1:$1,"&lt;="&amp;Resumen!$K$19)</f>
        <v>-1972107532.8115199</v>
      </c>
      <c r="J37" s="145">
        <f>SUMIFS('Flujo de caja mensual'!38:38,'Flujo de caja mensual'!$2:$2,'Flujo de caja anual'!J$1,'Flujo de caja mensual'!$1:$1,"&lt;="&amp;Resumen!$K$19)</f>
        <v>-2031270758.7958658</v>
      </c>
      <c r="K37" s="145">
        <f>SUMIFS('Flujo de caja mensual'!38:38,'Flujo de caja mensual'!$2:$2,'Flujo de caja anual'!K$1,'Flujo de caja mensual'!$1:$1,"&lt;="&amp;Resumen!$K$19)</f>
        <v>-2092208881.5597413</v>
      </c>
      <c r="L37" s="145">
        <f>SUMIFS('Flujo de caja mensual'!38:38,'Flujo de caja mensual'!$2:$2,'Flujo de caja anual'!L$1,'Flujo de caja mensual'!$1:$1,"&lt;="&amp;Resumen!$K$19)</f>
        <v>-2154975148.0065336</v>
      </c>
      <c r="M37" s="146">
        <f>SUMIFS('Flujo de caja mensual'!38:38,'Flujo de caja mensual'!$2:$2,'Flujo de caja anual'!M$1,'Flujo de caja mensual'!$1:$1,"&lt;="&amp;Resumen!$K$19)</f>
        <v>-2219624402.4467297</v>
      </c>
    </row>
    <row r="38" spans="1:13" x14ac:dyDescent="0.25">
      <c r="A38" s="152">
        <f t="shared" si="4"/>
        <v>-1099181606.0644231</v>
      </c>
      <c r="B38" s="5" t="str">
        <f>Gastos!E13</f>
        <v>Seguros</v>
      </c>
      <c r="C38" s="144"/>
      <c r="D38" s="145">
        <f>SUMIFS('Flujo de caja mensual'!39:39,'Flujo de caja mensual'!$2:$2,'Flujo de caja anual'!D$1,'Flujo de caja mensual'!$1:$1,"&lt;="&amp;Resumen!$K$19)</f>
        <v>-87389966.400000021</v>
      </c>
      <c r="E38" s="145">
        <f>SUMIFS('Flujo de caja mensual'!39:39,'Flujo de caja mensual'!$2:$2,'Flujo de caja anual'!E$1,'Flujo de caja mensual'!$1:$1,"&lt;="&amp;Resumen!$K$19)</f>
        <v>-91759464.720000014</v>
      </c>
      <c r="F38" s="145">
        <f>SUMIFS('Flujo de caja mensual'!39:39,'Flujo de caja mensual'!$2:$2,'Flujo de caja anual'!F$1,'Flujo de caja mensual'!$1:$1,"&lt;="&amp;Resumen!$K$19)</f>
        <v>-96347437.956000015</v>
      </c>
      <c r="G38" s="145">
        <f>SUMIFS('Flujo de caja mensual'!39:39,'Flujo de caja mensual'!$2:$2,'Flujo de caja anual'!G$1,'Flujo de caja mensual'!$1:$1,"&lt;="&amp;Resumen!$K$19)</f>
        <v>-101164809.85380004</v>
      </c>
      <c r="H38" s="145">
        <f>SUMIFS('Flujo de caja mensual'!39:39,'Flujo de caja mensual'!$2:$2,'Flujo de caja anual'!H$1,'Flujo de caja mensual'!$1:$1,"&lt;="&amp;Resumen!$K$19)</f>
        <v>-106223050.34649001</v>
      </c>
      <c r="I38" s="145">
        <f>SUMIFS('Flujo de caja mensual'!39:39,'Flujo de caja mensual'!$2:$2,'Flujo de caja anual'!I$1,'Flujo de caja mensual'!$1:$1,"&lt;="&amp;Resumen!$K$19)</f>
        <v>-111534202.86381449</v>
      </c>
      <c r="J38" s="145">
        <f>SUMIFS('Flujo de caja mensual'!39:39,'Flujo de caja mensual'!$2:$2,'Flujo de caja anual'!J$1,'Flujo de caja mensual'!$1:$1,"&lt;="&amp;Resumen!$K$19)</f>
        <v>-117110913.00700521</v>
      </c>
      <c r="K38" s="145">
        <f>SUMIFS('Flujo de caja mensual'!39:39,'Flujo de caja mensual'!$2:$2,'Flujo de caja anual'!K$1,'Flujo de caja mensual'!$1:$1,"&lt;="&amp;Resumen!$K$19)</f>
        <v>-122966458.65735553</v>
      </c>
      <c r="L38" s="145">
        <f>SUMIFS('Flujo de caja mensual'!39:39,'Flujo de caja mensual'!$2:$2,'Flujo de caja anual'!L$1,'Flujo de caja mensual'!$1:$1,"&lt;="&amp;Resumen!$K$19)</f>
        <v>-129114781.59022327</v>
      </c>
      <c r="M38" s="146">
        <f>SUMIFS('Flujo de caja mensual'!39:39,'Flujo de caja mensual'!$2:$2,'Flujo de caja anual'!M$1,'Flujo de caja mensual'!$1:$1,"&lt;="&amp;Resumen!$K$19)</f>
        <v>-135570520.66973445</v>
      </c>
    </row>
    <row r="39" spans="1:13" x14ac:dyDescent="0.25">
      <c r="A39" s="152">
        <f t="shared" si="4"/>
        <v>0</v>
      </c>
      <c r="B39" s="5" t="s">
        <v>41</v>
      </c>
      <c r="C39" s="144"/>
      <c r="D39" s="145">
        <f>SUMIFS('Flujo de caja mensual'!40:40,'Flujo de caja mensual'!$2:$2,'Flujo de caja anual'!D$1,'Flujo de caja mensual'!$1:$1,"&lt;="&amp;Resumen!$K$19)</f>
        <v>0</v>
      </c>
      <c r="E39" s="145">
        <f>SUMIFS('Flujo de caja mensual'!40:40,'Flujo de caja mensual'!$2:$2,'Flujo de caja anual'!E$1,'Flujo de caja mensual'!$1:$1,"&lt;="&amp;Resumen!$K$19)</f>
        <v>0</v>
      </c>
      <c r="F39" s="145">
        <f>SUMIFS('Flujo de caja mensual'!40:40,'Flujo de caja mensual'!$2:$2,'Flujo de caja anual'!F$1,'Flujo de caja mensual'!$1:$1,"&lt;="&amp;Resumen!$K$19)</f>
        <v>0</v>
      </c>
      <c r="G39" s="145">
        <f>SUMIFS('Flujo de caja mensual'!40:40,'Flujo de caja mensual'!$2:$2,'Flujo de caja anual'!G$1,'Flujo de caja mensual'!$1:$1,"&lt;="&amp;Resumen!$K$19)</f>
        <v>0</v>
      </c>
      <c r="H39" s="145">
        <f>SUMIFS('Flujo de caja mensual'!40:40,'Flujo de caja mensual'!$2:$2,'Flujo de caja anual'!H$1,'Flujo de caja mensual'!$1:$1,"&lt;="&amp;Resumen!$K$19)</f>
        <v>0</v>
      </c>
      <c r="I39" s="145">
        <f>SUMIFS('Flujo de caja mensual'!40:40,'Flujo de caja mensual'!$2:$2,'Flujo de caja anual'!I$1,'Flujo de caja mensual'!$1:$1,"&lt;="&amp;Resumen!$K$19)</f>
        <v>0</v>
      </c>
      <c r="J39" s="145">
        <f>SUMIFS('Flujo de caja mensual'!40:40,'Flujo de caja mensual'!$2:$2,'Flujo de caja anual'!J$1,'Flujo de caja mensual'!$1:$1,"&lt;="&amp;Resumen!$K$19)</f>
        <v>0</v>
      </c>
      <c r="K39" s="145">
        <f>SUMIFS('Flujo de caja mensual'!40:40,'Flujo de caja mensual'!$2:$2,'Flujo de caja anual'!K$1,'Flujo de caja mensual'!$1:$1,"&lt;="&amp;Resumen!$K$19)</f>
        <v>0</v>
      </c>
      <c r="L39" s="145">
        <f>SUMIFS('Flujo de caja mensual'!40:40,'Flujo de caja mensual'!$2:$2,'Flujo de caja anual'!L$1,'Flujo de caja mensual'!$1:$1,"&lt;="&amp;Resumen!$K$19)</f>
        <v>0</v>
      </c>
      <c r="M39" s="146">
        <f>SUMIFS('Flujo de caja mensual'!40:40,'Flujo de caja mensual'!$2:$2,'Flujo de caja anual'!M$1,'Flujo de caja mensual'!$1:$1,"&lt;="&amp;Resumen!$K$19)</f>
        <v>0</v>
      </c>
    </row>
    <row r="40" spans="1:13" x14ac:dyDescent="0.25">
      <c r="A40" s="152">
        <f t="shared" si="4"/>
        <v>-40381812043.370094</v>
      </c>
      <c r="B40" s="14" t="s">
        <v>42</v>
      </c>
      <c r="C40" s="150"/>
      <c r="D40" s="148">
        <f>SUMIFS('Flujo de caja mensual'!41:41,'Flujo de caja mensual'!$2:$2,'Flujo de caja anual'!D$1,'Flujo de caja mensual'!$1:$1,"&lt;="&amp;Resumen!$K$19)</f>
        <v>-3314735473.3051167</v>
      </c>
      <c r="E40" s="148">
        <f>SUMIFS('Flujo de caja mensual'!41:41,'Flujo de caja mensual'!$2:$2,'Flujo de caja anual'!E$1,'Flujo de caja mensual'!$1:$1,"&lt;="&amp;Resumen!$K$19)</f>
        <v>-3523295156.7434502</v>
      </c>
      <c r="F40" s="148">
        <f>SUMIFS('Flujo de caja mensual'!41:41,'Flujo de caja mensual'!$2:$2,'Flujo de caja anual'!F$1,'Flujo de caja mensual'!$1:$1,"&lt;="&amp;Resumen!$K$19)</f>
        <v>-3673806305.4362612</v>
      </c>
      <c r="G40" s="148">
        <f>SUMIFS('Flujo de caja mensual'!41:41,'Flujo de caja mensual'!$2:$2,'Flujo de caja anual'!G$1,'Flujo de caja mensual'!$1:$1,"&lt;="&amp;Resumen!$K$19)</f>
        <v>-3810749287.0283875</v>
      </c>
      <c r="H40" s="148">
        <f>SUMIFS('Flujo de caja mensual'!41:41,'Flujo de caja mensual'!$2:$2,'Flujo de caja anual'!H$1,'Flujo de caja mensual'!$1:$1,"&lt;="&amp;Resumen!$K$19)</f>
        <v>-3953095551.1580958</v>
      </c>
      <c r="I40" s="148">
        <f>SUMIFS('Flujo de caja mensual'!41:41,'Flujo de caja mensual'!$2:$2,'Flujo de caja anual'!I$1,'Flujo de caja mensual'!$1:$1,"&lt;="&amp;Resumen!$K$19)</f>
        <v>-4101070495.3273988</v>
      </c>
      <c r="J40" s="148">
        <f>SUMIFS('Flujo de caja mensual'!41:41,'Flujo de caja mensual'!$2:$2,'Flujo de caja anual'!J$1,'Flujo de caja mensual'!$1:$1,"&lt;="&amp;Resumen!$K$19)</f>
        <v>-4254909393.1426597</v>
      </c>
      <c r="K40" s="148">
        <f>SUMIFS('Flujo de caja mensual'!41:41,'Flujo de caja mensual'!$2:$2,'Flujo de caja anual'!K$1,'Flujo de caja mensual'!$1:$1,"&lt;="&amp;Resumen!$K$19)</f>
        <v>-4414857844.5296717</v>
      </c>
      <c r="L40" s="148">
        <f>SUMIFS('Flujo de caja mensual'!41:41,'Flujo de caja mensual'!$2:$2,'Flujo de caja anual'!L$1,'Flujo de caja mensual'!$1:$1,"&lt;="&amp;Resumen!$K$19)</f>
        <v>-4581172247.0895863</v>
      </c>
      <c r="M40" s="149">
        <f>SUMIFS('Flujo de caja mensual'!41:41,'Flujo de caja mensual'!$2:$2,'Flujo de caja anual'!M$1,'Flujo de caja mensual'!$1:$1,"&lt;="&amp;Resumen!$K$19)</f>
        <v>-4754120289.6094646</v>
      </c>
    </row>
    <row r="41" spans="1:13" x14ac:dyDescent="0.25">
      <c r="B41" s="5"/>
      <c r="C41" s="144"/>
      <c r="D41" s="145"/>
      <c r="E41" s="145"/>
      <c r="F41" s="145"/>
      <c r="G41" s="145"/>
      <c r="H41" s="145"/>
      <c r="I41" s="145"/>
      <c r="J41" s="145"/>
      <c r="K41" s="145"/>
      <c r="L41" s="145"/>
      <c r="M41" s="146"/>
    </row>
    <row r="42" spans="1:13" x14ac:dyDescent="0.25">
      <c r="A42" s="152">
        <f>SUM(C42:M42)</f>
        <v>140259576047.9848</v>
      </c>
      <c r="B42" s="14" t="s">
        <v>43</v>
      </c>
      <c r="C42" s="150"/>
      <c r="D42" s="148">
        <f>SUMIFS('Flujo de caja mensual'!43:43,'Flujo de caja mensual'!$2:$2,'Flujo de caja anual'!D$1,'Flujo de caja mensual'!$1:$1,"&lt;="&amp;Resumen!$K$19)</f>
        <v>10261666869.325342</v>
      </c>
      <c r="E42" s="148">
        <f>SUMIFS('Flujo de caja mensual'!43:43,'Flujo de caja mensual'!$2:$2,'Flujo de caja anual'!E$1,'Flujo de caja mensual'!$1:$1,"&lt;="&amp;Resumen!$K$19)</f>
        <v>12223700047.34548</v>
      </c>
      <c r="F42" s="148">
        <f>SUMIFS('Flujo de caja mensual'!43:43,'Flujo de caja mensual'!$2:$2,'Flujo de caja anual'!F$1,'Flujo de caja mensual'!$1:$1,"&lt;="&amp;Resumen!$K$19)</f>
        <v>13095294430.248081</v>
      </c>
      <c r="G42" s="148">
        <f>SUMIFS('Flujo de caja mensual'!43:43,'Flujo de caja mensual'!$2:$2,'Flujo de caja anual'!G$1,'Flujo de caja mensual'!$1:$1,"&lt;="&amp;Resumen!$K$19)</f>
        <v>13530502023.447989</v>
      </c>
      <c r="H42" s="148">
        <f>SUMIFS('Flujo de caja mensual'!43:43,'Flujo de caja mensual'!$2:$2,'Flujo de caja anual'!H$1,'Flujo de caja mensual'!$1:$1,"&lt;="&amp;Resumen!$K$19)</f>
        <v>13979888565.699322</v>
      </c>
      <c r="I42" s="148">
        <f>SUMIFS('Flujo de caja mensual'!43:43,'Flujo de caja mensual'!$2:$2,'Flujo de caja anual'!I$1,'Flujo de caja mensual'!$1:$1,"&lt;="&amp;Resumen!$K$19)</f>
        <v>14443900746.449827</v>
      </c>
      <c r="J42" s="148">
        <f>SUMIFS('Flujo de caja mensual'!43:43,'Flujo de caja mensual'!$2:$2,'Flujo de caja anual'!J$1,'Flujo de caja mensual'!$1:$1,"&lt;="&amp;Resumen!$K$19)</f>
        <v>14922998503.351465</v>
      </c>
      <c r="K42" s="148">
        <f>SUMIFS('Flujo de caja mensual'!43:43,'Flujo de caja mensual'!$2:$2,'Flujo de caja anual'!K$1,'Flujo de caja mensual'!$1:$1,"&lt;="&amp;Resumen!$K$19)</f>
        <v>15417655369.434086</v>
      </c>
      <c r="L42" s="148">
        <f>SUMIFS('Flujo de caja mensual'!43:43,'Flujo de caja mensual'!$2:$2,'Flujo de caja anual'!L$1,'Flujo de caja mensual'!$1:$1,"&lt;="&amp;Resumen!$K$19)</f>
        <v>15928358826.688004</v>
      </c>
      <c r="M42" s="149">
        <f>SUMIFS('Flujo de caja mensual'!43:43,'Flujo de caja mensual'!$2:$2,'Flujo de caja anual'!M$1,'Flujo de caja mensual'!$1:$1,"&lt;="&amp;Resumen!$K$19)</f>
        <v>16455610665.995205</v>
      </c>
    </row>
    <row r="43" spans="1:13" x14ac:dyDescent="0.25">
      <c r="B43" s="5"/>
      <c r="C43" s="144"/>
      <c r="D43" s="145"/>
      <c r="E43" s="145"/>
      <c r="F43" s="145"/>
      <c r="G43" s="145"/>
      <c r="H43" s="145"/>
      <c r="I43" s="145"/>
      <c r="J43" s="145"/>
      <c r="K43" s="145"/>
      <c r="L43" s="145"/>
      <c r="M43" s="146"/>
    </row>
    <row r="44" spans="1:13" x14ac:dyDescent="0.25">
      <c r="A44" s="152">
        <f>SUM(C44:M44)</f>
        <v>-7013675000.0000019</v>
      </c>
      <c r="B44" s="5" t="s">
        <v>185</v>
      </c>
      <c r="C44" s="144"/>
      <c r="D44" s="145">
        <f>SUMIFS('Flujo de caja mensual'!45:45,'Flujo de caja mensual'!$2:$2,'Flujo de caja anual'!D$1,'Flujo de caja mensual'!$1:$1,"&lt;="&amp;Resumen!$K$19)</f>
        <v>-7013675000.0000019</v>
      </c>
      <c r="E44" s="145">
        <f>SUMIFS('Flujo de caja mensual'!45:45,'Flujo de caja mensual'!$2:$2,'Flujo de caja anual'!E$1,'Flujo de caja mensual'!$1:$1,"&lt;="&amp;Resumen!$K$19)</f>
        <v>0</v>
      </c>
      <c r="F44" s="145">
        <f>SUMIFS('Flujo de caja mensual'!45:45,'Flujo de caja mensual'!$2:$2,'Flujo de caja anual'!F$1,'Flujo de caja mensual'!$1:$1,"&lt;="&amp;Resumen!$K$19)</f>
        <v>0</v>
      </c>
      <c r="G44" s="145">
        <f>SUMIFS('Flujo de caja mensual'!45:45,'Flujo de caja mensual'!$2:$2,'Flujo de caja anual'!G$1,'Flujo de caja mensual'!$1:$1,"&lt;="&amp;Resumen!$K$19)</f>
        <v>0</v>
      </c>
      <c r="H44" s="145">
        <f>SUMIFS('Flujo de caja mensual'!45:45,'Flujo de caja mensual'!$2:$2,'Flujo de caja anual'!H$1,'Flujo de caja mensual'!$1:$1,"&lt;="&amp;Resumen!$K$19)</f>
        <v>0</v>
      </c>
      <c r="I44" s="145">
        <f>SUMIFS('Flujo de caja mensual'!45:45,'Flujo de caja mensual'!$2:$2,'Flujo de caja anual'!I$1,'Flujo de caja mensual'!$1:$1,"&lt;="&amp;Resumen!$K$19)</f>
        <v>0</v>
      </c>
      <c r="J44" s="145">
        <f>SUMIFS('Flujo de caja mensual'!45:45,'Flujo de caja mensual'!$2:$2,'Flujo de caja anual'!J$1,'Flujo de caja mensual'!$1:$1,"&lt;="&amp;Resumen!$K$19)</f>
        <v>0</v>
      </c>
      <c r="K44" s="145">
        <f>SUMIFS('Flujo de caja mensual'!45:45,'Flujo de caja mensual'!$2:$2,'Flujo de caja anual'!K$1,'Flujo de caja mensual'!$1:$1,"&lt;="&amp;Resumen!$K$19)</f>
        <v>0</v>
      </c>
      <c r="L44" s="145">
        <f>SUMIFS('Flujo de caja mensual'!45:45,'Flujo de caja mensual'!$2:$2,'Flujo de caja anual'!L$1,'Flujo de caja mensual'!$1:$1,"&lt;="&amp;Resumen!$K$19)</f>
        <v>0</v>
      </c>
      <c r="M44" s="146">
        <f>SUMIFS('Flujo de caja mensual'!45:45,'Flujo de caja mensual'!$2:$2,'Flujo de caja anual'!M$1,'Flujo de caja mensual'!$1:$1,"&lt;="&amp;Resumen!$K$19)</f>
        <v>0</v>
      </c>
    </row>
    <row r="45" spans="1:13" x14ac:dyDescent="0.25">
      <c r="B45" s="5"/>
      <c r="C45" s="144"/>
      <c r="D45" s="145"/>
      <c r="E45" s="145"/>
      <c r="F45" s="145"/>
      <c r="G45" s="145"/>
      <c r="H45" s="145"/>
      <c r="I45" s="145"/>
      <c r="J45" s="145"/>
      <c r="K45" s="145"/>
      <c r="L45" s="145"/>
      <c r="M45" s="146"/>
    </row>
    <row r="46" spans="1:13" x14ac:dyDescent="0.25">
      <c r="A46" s="152">
        <f>SUM(C46:M46)</f>
        <v>133245901047.9848</v>
      </c>
      <c r="B46" s="14" t="s">
        <v>44</v>
      </c>
      <c r="C46" s="147"/>
      <c r="D46" s="148">
        <f>SUMIFS('Flujo de caja mensual'!47:47,'Flujo de caja mensual'!$2:$2,'Flujo de caja anual'!D$1,'Flujo de caja mensual'!$1:$1,"&lt;="&amp;Resumen!$K$19)</f>
        <v>3247991869.3253407</v>
      </c>
      <c r="E46" s="148">
        <f>SUMIFS('Flujo de caja mensual'!47:47,'Flujo de caja mensual'!$2:$2,'Flujo de caja anual'!E$1,'Flujo de caja mensual'!$1:$1,"&lt;="&amp;Resumen!$K$19)</f>
        <v>12223700047.34548</v>
      </c>
      <c r="F46" s="148">
        <f>SUMIFS('Flujo de caja mensual'!47:47,'Flujo de caja mensual'!$2:$2,'Flujo de caja anual'!F$1,'Flujo de caja mensual'!$1:$1,"&lt;="&amp;Resumen!$K$19)</f>
        <v>13095294430.248081</v>
      </c>
      <c r="G46" s="148">
        <f>SUMIFS('Flujo de caja mensual'!47:47,'Flujo de caja mensual'!$2:$2,'Flujo de caja anual'!G$1,'Flujo de caja mensual'!$1:$1,"&lt;="&amp;Resumen!$K$19)</f>
        <v>13530502023.447989</v>
      </c>
      <c r="H46" s="148">
        <f>SUMIFS('Flujo de caja mensual'!47:47,'Flujo de caja mensual'!$2:$2,'Flujo de caja anual'!H$1,'Flujo de caja mensual'!$1:$1,"&lt;="&amp;Resumen!$K$19)</f>
        <v>13979888565.699322</v>
      </c>
      <c r="I46" s="148">
        <f>SUMIFS('Flujo de caja mensual'!47:47,'Flujo de caja mensual'!$2:$2,'Flujo de caja anual'!I$1,'Flujo de caja mensual'!$1:$1,"&lt;="&amp;Resumen!$K$19)</f>
        <v>14443900746.449827</v>
      </c>
      <c r="J46" s="148">
        <f>SUMIFS('Flujo de caja mensual'!47:47,'Flujo de caja mensual'!$2:$2,'Flujo de caja anual'!J$1,'Flujo de caja mensual'!$1:$1,"&lt;="&amp;Resumen!$K$19)</f>
        <v>14922998503.351465</v>
      </c>
      <c r="K46" s="148">
        <f>SUMIFS('Flujo de caja mensual'!47:47,'Flujo de caja mensual'!$2:$2,'Flujo de caja anual'!K$1,'Flujo de caja mensual'!$1:$1,"&lt;="&amp;Resumen!$K$19)</f>
        <v>15417655369.434086</v>
      </c>
      <c r="L46" s="148">
        <f>SUMIFS('Flujo de caja mensual'!47:47,'Flujo de caja mensual'!$2:$2,'Flujo de caja anual'!L$1,'Flujo de caja mensual'!$1:$1,"&lt;="&amp;Resumen!$K$19)</f>
        <v>15928358826.688004</v>
      </c>
      <c r="M46" s="149">
        <f>SUMIFS('Flujo de caja mensual'!47:47,'Flujo de caja mensual'!$2:$2,'Flujo de caja anual'!M$1,'Flujo de caja mensual'!$1:$1,"&lt;="&amp;Resumen!$K$19)</f>
        <v>16455610665.995205</v>
      </c>
    </row>
    <row r="47" spans="1:13" x14ac:dyDescent="0.25">
      <c r="B47" s="5"/>
      <c r="C47" s="144"/>
      <c r="D47" s="145"/>
      <c r="E47" s="145"/>
      <c r="F47" s="145"/>
      <c r="G47" s="145"/>
      <c r="H47" s="145"/>
      <c r="I47" s="145"/>
      <c r="J47" s="145"/>
      <c r="K47" s="145"/>
      <c r="L47" s="145"/>
      <c r="M47" s="146"/>
    </row>
    <row r="48" spans="1:13" x14ac:dyDescent="0.25">
      <c r="B48" s="140" t="s">
        <v>190</v>
      </c>
      <c r="C48" s="144"/>
      <c r="D48" s="145"/>
      <c r="E48" s="145"/>
      <c r="F48" s="145"/>
      <c r="G48" s="145"/>
      <c r="H48" s="145"/>
      <c r="I48" s="145"/>
      <c r="J48" s="145"/>
      <c r="K48" s="145"/>
      <c r="L48" s="145"/>
      <c r="M48" s="146"/>
    </row>
    <row r="49" spans="1:13" x14ac:dyDescent="0.25">
      <c r="A49" s="152">
        <f>SUM(C49:M49)</f>
        <v>187737791579.24863</v>
      </c>
      <c r="B49" s="5" t="s">
        <v>186</v>
      </c>
      <c r="C49" s="144">
        <f>Resumen!E2</f>
        <v>74250000000</v>
      </c>
      <c r="D49" s="145">
        <f>SUMIFS('Flujo de caja mensual'!50:50,'Flujo de caja mensual'!$2:$2,'Flujo de caja anual'!D$1,'Flujo de caja mensual'!$1:$1,"&lt;="&amp;Resumen!$K$19)</f>
        <v>0</v>
      </c>
      <c r="E49" s="145">
        <f>SUMIFS('Flujo de caja mensual'!50:50,'Flujo de caja mensual'!$2:$2,'Flujo de caja anual'!E$1,'Flujo de caja mensual'!$1:$1,"&lt;="&amp;Resumen!$K$19)</f>
        <v>0</v>
      </c>
      <c r="F49" s="145">
        <f>SUMIFS('Flujo de caja mensual'!50:50,'Flujo de caja mensual'!$2:$2,'Flujo de caja anual'!F$1,'Flujo de caja mensual'!$1:$1,"&lt;="&amp;Resumen!$K$19)</f>
        <v>0</v>
      </c>
      <c r="G49" s="145">
        <f>SUMIFS('Flujo de caja mensual'!50:50,'Flujo de caja mensual'!$2:$2,'Flujo de caja anual'!G$1,'Flujo de caja mensual'!$1:$1,"&lt;="&amp;Resumen!$K$19)</f>
        <v>0</v>
      </c>
      <c r="H49" s="145">
        <f>SUMIFS('Flujo de caja mensual'!50:50,'Flujo de caja mensual'!$2:$2,'Flujo de caja anual'!H$1,'Flujo de caja mensual'!$1:$1,"&lt;="&amp;Resumen!$K$19)</f>
        <v>113487791579.24863</v>
      </c>
      <c r="I49" s="145">
        <f>SUMIFS('Flujo de caja mensual'!50:50,'Flujo de caja mensual'!$2:$2,'Flujo de caja anual'!I$1,'Flujo de caja mensual'!$1:$1,"&lt;="&amp;Resumen!$K$19)</f>
        <v>0</v>
      </c>
      <c r="J49" s="145">
        <f>SUMIFS('Flujo de caja mensual'!50:50,'Flujo de caja mensual'!$2:$2,'Flujo de caja anual'!J$1,'Flujo de caja mensual'!$1:$1,"&lt;="&amp;Resumen!$K$19)</f>
        <v>0</v>
      </c>
      <c r="K49" s="145">
        <f>SUMIFS('Flujo de caja mensual'!50:50,'Flujo de caja mensual'!$2:$2,'Flujo de caja anual'!K$1,'Flujo de caja mensual'!$1:$1,"&lt;="&amp;Resumen!$K$19)</f>
        <v>0</v>
      </c>
      <c r="L49" s="145">
        <f>SUMIFS('Flujo de caja mensual'!50:50,'Flujo de caja mensual'!$2:$2,'Flujo de caja anual'!L$1,'Flujo de caja mensual'!$1:$1,"&lt;="&amp;Resumen!$K$19)</f>
        <v>0</v>
      </c>
      <c r="M49" s="146">
        <f>SUMIFS('Flujo de caja mensual'!50:50,'Flujo de caja mensual'!$2:$2,'Flujo de caja anual'!M$1,'Flujo de caja mensual'!$1:$1,"&lt;="&amp;Resumen!$K$19)</f>
        <v>0</v>
      </c>
    </row>
    <row r="50" spans="1:13" x14ac:dyDescent="0.25">
      <c r="A50" s="152">
        <f>SUM(C50:M50)</f>
        <v>-101705650756.72238</v>
      </c>
      <c r="B50" s="5" t="s">
        <v>187</v>
      </c>
      <c r="C50" s="144"/>
      <c r="D50" s="145">
        <f>SUMIFS('Flujo de caja mensual'!51:51,'Flujo de caja mensual'!$2:$2,'Flujo de caja anual'!D$1,'Flujo de caja mensual'!$1:$1,"&lt;="&amp;Resumen!$K$19)</f>
        <v>-8167500000</v>
      </c>
      <c r="E50" s="145">
        <f>SUMIFS('Flujo de caja mensual'!51:51,'Flujo de caja mensual'!$2:$2,'Flujo de caja anual'!E$1,'Flujo de caja mensual'!$1:$1,"&lt;="&amp;Resumen!$K$19)</f>
        <v>-8326350727.3507748</v>
      </c>
      <c r="F50" s="145">
        <f>SUMIFS('Flujo de caja mensual'!51:51,'Flujo de caja mensual'!$2:$2,'Flujo de caja anual'!F$1,'Flujo de caja mensual'!$1:$1,"&lt;="&amp;Resumen!$K$19)</f>
        <v>-8485201454.7015505</v>
      </c>
      <c r="G50" s="145">
        <f>SUMIFS('Flujo de caja mensual'!51:51,'Flujo de caja mensual'!$2:$2,'Flujo de caja anual'!G$1,'Flujo de caja mensual'!$1:$1,"&lt;="&amp;Resumen!$K$19)</f>
        <v>-8485201454.7015505</v>
      </c>
      <c r="H50" s="145">
        <f>SUMIFS('Flujo de caja mensual'!51:51,'Flujo de caja mensual'!$2:$2,'Flujo de caja anual'!H$1,'Flujo de caja mensual'!$1:$1,"&lt;="&amp;Resumen!$K$19)</f>
        <v>-8485201454.7015505</v>
      </c>
      <c r="I50" s="145">
        <f>SUMIFS('Flujo de caja mensual'!51:51,'Flujo de caja mensual'!$2:$2,'Flujo de caja anual'!I$1,'Flujo de caja mensual'!$1:$1,"&lt;="&amp;Resumen!$K$19)</f>
        <v>-11951239133.053389</v>
      </c>
      <c r="J50" s="145">
        <f>SUMIFS('Flujo de caja mensual'!51:51,'Flujo de caja mensual'!$2:$2,'Flujo de caja anual'!J$1,'Flujo de caja mensual'!$1:$1,"&lt;="&amp;Resumen!$K$19)</f>
        <v>-11951239133.053389</v>
      </c>
      <c r="K50" s="145">
        <f>SUMIFS('Flujo de caja mensual'!51:51,'Flujo de caja mensual'!$2:$2,'Flujo de caja anual'!K$1,'Flujo de caja mensual'!$1:$1,"&lt;="&amp;Resumen!$K$19)</f>
        <v>-11951239133.053389</v>
      </c>
      <c r="L50" s="145">
        <f>SUMIFS('Flujo de caja mensual'!51:51,'Flujo de caja mensual'!$2:$2,'Flujo de caja anual'!L$1,'Flujo de caja mensual'!$1:$1,"&lt;="&amp;Resumen!$K$19)</f>
        <v>-11951239133.053389</v>
      </c>
      <c r="M50" s="146">
        <f>SUMIFS('Flujo de caja mensual'!51:51,'Flujo de caja mensual'!$2:$2,'Flujo de caja anual'!M$1,'Flujo de caja mensual'!$1:$1,"&lt;="&amp;Resumen!$K$19)</f>
        <v>-11951239133.053389</v>
      </c>
    </row>
    <row r="51" spans="1:13" x14ac:dyDescent="0.25">
      <c r="A51" s="152">
        <f>SUM(C51:M51)</f>
        <v>-182501163624.68903</v>
      </c>
      <c r="B51" s="5" t="s">
        <v>188</v>
      </c>
      <c r="C51" s="144"/>
      <c r="D51" s="145">
        <f>SUMIFS('Flujo de caja mensual'!52:52,'Flujo de caja mensual'!$2:$2,'Flujo de caja anual'!D$1,'Flujo de caja mensual'!$1:$1,"&lt;="&amp;Resumen!$K$19)</f>
        <v>0</v>
      </c>
      <c r="E51" s="145">
        <f>SUMIFS('Flujo de caja mensual'!52:52,'Flujo de caja mensual'!$2:$2,'Flujo de caja anual'!E$1,'Flujo de caja mensual'!$1:$1,"&lt;="&amp;Resumen!$K$19)</f>
        <v>0</v>
      </c>
      <c r="F51" s="145">
        <f>SUMIFS('Flujo de caja mensual'!52:52,'Flujo de caja mensual'!$2:$2,'Flujo de caja anual'!F$1,'Flujo de caja mensual'!$1:$1,"&lt;="&amp;Resumen!$K$19)</f>
        <v>0</v>
      </c>
      <c r="G51" s="145">
        <f>SUMIFS('Flujo de caja mensual'!52:52,'Flujo de caja mensual'!$2:$2,'Flujo de caja anual'!G$1,'Flujo de caja mensual'!$1:$1,"&lt;="&amp;Resumen!$K$19)</f>
        <v>0</v>
      </c>
      <c r="H51" s="145">
        <f>SUMIFS('Flujo de caja mensual'!52:52,'Flujo de caja mensual'!$2:$2,'Flujo de caja anual'!H$1,'Flujo de caja mensual'!$1:$1,"&lt;="&amp;Resumen!$K$19)</f>
        <v>-72901100093.409729</v>
      </c>
      <c r="I51" s="145">
        <f>SUMIFS('Flujo de caja mensual'!52:52,'Flujo de caja mensual'!$2:$2,'Flujo de caja anual'!I$1,'Flujo de caja mensual'!$1:$1,"&lt;="&amp;Resumen!$K$19)</f>
        <v>0</v>
      </c>
      <c r="J51" s="145">
        <f>SUMIFS('Flujo de caja mensual'!52:52,'Flujo de caja mensual'!$2:$2,'Flujo de caja anual'!J$1,'Flujo de caja mensual'!$1:$1,"&lt;="&amp;Resumen!$K$19)</f>
        <v>0</v>
      </c>
      <c r="K51" s="145">
        <f>SUMIFS('Flujo de caja mensual'!52:52,'Flujo de caja mensual'!$2:$2,'Flujo de caja anual'!K$1,'Flujo de caja mensual'!$1:$1,"&lt;="&amp;Resumen!$K$19)</f>
        <v>0</v>
      </c>
      <c r="L51" s="145">
        <f>SUMIFS('Flujo de caja mensual'!52:52,'Flujo de caja mensual'!$2:$2,'Flujo de caja anual'!L$1,'Flujo de caja mensual'!$1:$1,"&lt;="&amp;Resumen!$K$19)</f>
        <v>0</v>
      </c>
      <c r="M51" s="146">
        <f>SUMIFS('Flujo de caja mensual'!52:52,'Flujo de caja mensual'!$2:$2,'Flujo de caja anual'!M$1,'Flujo de caja mensual'!$1:$1,"&lt;="&amp;Resumen!$K$19)</f>
        <v>-109600063531.2793</v>
      </c>
    </row>
    <row r="52" spans="1:13" x14ac:dyDescent="0.25">
      <c r="A52" s="152">
        <f>SUM(C52:M52)</f>
        <v>-969475583.15849721</v>
      </c>
      <c r="B52" s="5" t="s">
        <v>189</v>
      </c>
      <c r="C52" s="144">
        <f>C49*-Resumen!E8</f>
        <v>-742500000</v>
      </c>
      <c r="D52" s="145">
        <f>SUMIFS('Flujo de caja mensual'!53:53,'Flujo de caja mensual'!$2:$2,'Flujo de caja anual'!D$1,'Flujo de caja mensual'!$1:$1,"&lt;="&amp;Resumen!$K$19)</f>
        <v>0</v>
      </c>
      <c r="E52" s="145">
        <f>SUMIFS('Flujo de caja mensual'!53:53,'Flujo de caja mensual'!$2:$2,'Flujo de caja anual'!E$1,'Flujo de caja mensual'!$1:$1,"&lt;="&amp;Resumen!$K$19)</f>
        <v>0</v>
      </c>
      <c r="F52" s="145">
        <f>SUMIFS('Flujo de caja mensual'!53:53,'Flujo de caja mensual'!$2:$2,'Flujo de caja anual'!F$1,'Flujo de caja mensual'!$1:$1,"&lt;="&amp;Resumen!$K$19)</f>
        <v>0</v>
      </c>
      <c r="G52" s="145">
        <f>SUMIFS('Flujo de caja mensual'!53:53,'Flujo de caja mensual'!$2:$2,'Flujo de caja anual'!G$1,'Flujo de caja mensual'!$1:$1,"&lt;="&amp;Resumen!$K$19)</f>
        <v>0</v>
      </c>
      <c r="H52" s="145">
        <f>SUMIFS('Flujo de caja mensual'!53:53,'Flujo de caja mensual'!$2:$2,'Flujo de caja anual'!H$1,'Flujo de caja mensual'!$1:$1,"&lt;="&amp;Resumen!$K$19)</f>
        <v>-226975583.15849724</v>
      </c>
      <c r="I52" s="145">
        <f>SUMIFS('Flujo de caja mensual'!53:53,'Flujo de caja mensual'!$2:$2,'Flujo de caja anual'!I$1,'Flujo de caja mensual'!$1:$1,"&lt;="&amp;Resumen!$K$19)</f>
        <v>0</v>
      </c>
      <c r="J52" s="145">
        <f>SUMIFS('Flujo de caja mensual'!53:53,'Flujo de caja mensual'!$2:$2,'Flujo de caja anual'!J$1,'Flujo de caja mensual'!$1:$1,"&lt;="&amp;Resumen!$K$19)</f>
        <v>0</v>
      </c>
      <c r="K52" s="145">
        <f>SUMIFS('Flujo de caja mensual'!53:53,'Flujo de caja mensual'!$2:$2,'Flujo de caja anual'!K$1,'Flujo de caja mensual'!$1:$1,"&lt;="&amp;Resumen!$K$19)</f>
        <v>0</v>
      </c>
      <c r="L52" s="145">
        <f>SUMIFS('Flujo de caja mensual'!53:53,'Flujo de caja mensual'!$2:$2,'Flujo de caja anual'!L$1,'Flujo de caja mensual'!$1:$1,"&lt;="&amp;Resumen!$K$19)</f>
        <v>0</v>
      </c>
      <c r="M52" s="146">
        <f>SUMIFS('Flujo de caja mensual'!53:53,'Flujo de caja mensual'!$2:$2,'Flujo de caja anual'!M$1,'Flujo de caja mensual'!$1:$1,"&lt;="&amp;Resumen!$K$19)</f>
        <v>0</v>
      </c>
    </row>
    <row r="53" spans="1:13" x14ac:dyDescent="0.25">
      <c r="B53" s="5"/>
      <c r="C53" s="144"/>
      <c r="D53" s="145"/>
      <c r="E53" s="145"/>
      <c r="F53" s="145"/>
      <c r="G53" s="145"/>
      <c r="H53" s="145"/>
      <c r="I53" s="145"/>
      <c r="J53" s="145"/>
      <c r="K53" s="145"/>
      <c r="L53" s="145"/>
      <c r="M53" s="146"/>
    </row>
    <row r="54" spans="1:13" x14ac:dyDescent="0.25">
      <c r="A54" s="152">
        <f>SUM(C54:M54)</f>
        <v>31540250291.262413</v>
      </c>
      <c r="B54" s="14" t="s">
        <v>191</v>
      </c>
      <c r="C54" s="147"/>
      <c r="D54" s="148">
        <f>SUMIFS('Flujo de caja mensual'!55:55,'Flujo de caja mensual'!$2:$2,'Flujo de caja anual'!D$1,'Flujo de caja mensual'!$1:$1,"&lt;="&amp;Resumen!$K$19)</f>
        <v>-4919508130.6746578</v>
      </c>
      <c r="E54" s="148">
        <f>SUMIFS('Flujo de caja mensual'!55:55,'Flujo de caja mensual'!$2:$2,'Flujo de caja anual'!E$1,'Flujo de caja mensual'!$1:$1,"&lt;="&amp;Resumen!$K$19)</f>
        <v>3897349319.9947047</v>
      </c>
      <c r="F54" s="148">
        <f>SUMIFS('Flujo de caja mensual'!55:55,'Flujo de caja mensual'!$2:$2,'Flujo de caja anual'!F$1,'Flujo de caja mensual'!$1:$1,"&lt;="&amp;Resumen!$K$19)</f>
        <v>4610092975.5465298</v>
      </c>
      <c r="G54" s="148">
        <f>SUMIFS('Flujo de caja mensual'!55:55,'Flujo de caja mensual'!$2:$2,'Flujo de caja anual'!G$1,'Flujo de caja mensual'!$1:$1,"&lt;="&amp;Resumen!$K$19)</f>
        <v>5045300568.7464342</v>
      </c>
      <c r="H54" s="148">
        <f>SUMIFS('Flujo de caja mensual'!55:55,'Flujo de caja mensual'!$2:$2,'Flujo de caja anual'!H$1,'Flujo de caja mensual'!$1:$1,"&lt;="&amp;Resumen!$K$19)</f>
        <v>5494687110.9977684</v>
      </c>
      <c r="I54" s="148">
        <f>SUMIFS('Flujo de caja mensual'!55:55,'Flujo de caja mensual'!$2:$2,'Flujo de caja anual'!I$1,'Flujo de caja mensual'!$1:$1,"&lt;="&amp;Resumen!$K$19)</f>
        <v>2492661613.3964381</v>
      </c>
      <c r="J54" s="148">
        <f>SUMIFS('Flujo de caja mensual'!55:55,'Flujo de caja mensual'!$2:$2,'Flujo de caja anual'!J$1,'Flujo de caja mensual'!$1:$1,"&lt;="&amp;Resumen!$K$19)</f>
        <v>2971759370.2980742</v>
      </c>
      <c r="K54" s="148">
        <f>SUMIFS('Flujo de caja mensual'!55:55,'Flujo de caja mensual'!$2:$2,'Flujo de caja anual'!K$1,'Flujo de caja mensual'!$1:$1,"&lt;="&amp;Resumen!$K$19)</f>
        <v>3466416236.380693</v>
      </c>
      <c r="L54" s="148">
        <f>SUMIFS('Flujo de caja mensual'!55:55,'Flujo de caja mensual'!$2:$2,'Flujo de caja anual'!L$1,'Flujo de caja mensual'!$1:$1,"&lt;="&amp;Resumen!$K$19)</f>
        <v>3977119693.6346159</v>
      </c>
      <c r="M54" s="149">
        <f>SUMIFS('Flujo de caja mensual'!55:55,'Flujo de caja mensual'!$2:$2,'Flujo de caja anual'!M$1,'Flujo de caja mensual'!$1:$1,"&lt;="&amp;Resumen!$K$19)</f>
        <v>4504371532.9418154</v>
      </c>
    </row>
    <row r="55" spans="1:13" x14ac:dyDescent="0.25">
      <c r="B55" s="5"/>
      <c r="C55" s="144"/>
      <c r="D55" s="145"/>
      <c r="E55" s="145"/>
      <c r="F55" s="145"/>
      <c r="G55" s="145"/>
      <c r="H55" s="145"/>
      <c r="I55" s="145"/>
      <c r="J55" s="145"/>
      <c r="K55" s="145"/>
      <c r="L55" s="145"/>
      <c r="M55" s="146"/>
    </row>
    <row r="56" spans="1:13" x14ac:dyDescent="0.25">
      <c r="B56" s="140" t="s">
        <v>192</v>
      </c>
      <c r="C56" s="144"/>
      <c r="D56" s="145"/>
      <c r="E56" s="145"/>
      <c r="F56" s="145"/>
      <c r="G56" s="145"/>
      <c r="H56" s="145"/>
      <c r="I56" s="145"/>
      <c r="J56" s="145"/>
      <c r="K56" s="145"/>
      <c r="L56" s="145"/>
      <c r="M56" s="146"/>
    </row>
    <row r="57" spans="1:13" x14ac:dyDescent="0.25">
      <c r="A57" s="152">
        <f>SUM(C57:M57)</f>
        <v>0</v>
      </c>
      <c r="B57" s="5" t="s">
        <v>193</v>
      </c>
      <c r="C57" s="144"/>
      <c r="D57" s="145"/>
      <c r="E57" s="145"/>
      <c r="F57" s="145"/>
      <c r="G57" s="145"/>
      <c r="H57" s="145"/>
      <c r="I57" s="145"/>
      <c r="J57" s="145"/>
      <c r="K57" s="145"/>
      <c r="L57" s="145"/>
      <c r="M57" s="146"/>
    </row>
    <row r="58" spans="1:13" x14ac:dyDescent="0.25">
      <c r="A58" s="152">
        <f>SUM(C58:M58)</f>
        <v>0</v>
      </c>
      <c r="B58" s="5" t="s">
        <v>194</v>
      </c>
      <c r="C58" s="144"/>
      <c r="D58" s="145">
        <f>SUMIFS('Flujo de caja mensual'!59:59,'Flujo de caja mensual'!$2:$2,'Flujo de caja anual'!D$1,'Flujo de caja mensual'!$1:$1,"&lt;="&amp;Resumen!$K$19)</f>
        <v>0</v>
      </c>
      <c r="E58" s="145">
        <f>SUMIFS('Flujo de caja mensual'!59:59,'Flujo de caja mensual'!$2:$2,'Flujo de caja anual'!E$1,'Flujo de caja mensual'!$1:$1,"&lt;="&amp;Resumen!$K$19)</f>
        <v>0</v>
      </c>
      <c r="F58" s="145">
        <f>SUMIFS('Flujo de caja mensual'!59:59,'Flujo de caja mensual'!$2:$2,'Flujo de caja anual'!F$1,'Flujo de caja mensual'!$1:$1,"&lt;="&amp;Resumen!$K$19)</f>
        <v>0</v>
      </c>
      <c r="G58" s="145">
        <f>SUMIFS('Flujo de caja mensual'!59:59,'Flujo de caja mensual'!$2:$2,'Flujo de caja anual'!G$1,'Flujo de caja mensual'!$1:$1,"&lt;="&amp;Resumen!$K$19)</f>
        <v>0</v>
      </c>
      <c r="H58" s="145">
        <f>SUMIFS('Flujo de caja mensual'!59:59,'Flujo de caja mensual'!$2:$2,'Flujo de caja anual'!H$1,'Flujo de caja mensual'!$1:$1,"&lt;="&amp;Resumen!$K$19)</f>
        <v>0</v>
      </c>
      <c r="I58" s="145">
        <f>SUMIFS('Flujo de caja mensual'!59:59,'Flujo de caja mensual'!$2:$2,'Flujo de caja anual'!I$1,'Flujo de caja mensual'!$1:$1,"&lt;="&amp;Resumen!$K$19)</f>
        <v>0</v>
      </c>
      <c r="J58" s="145">
        <f>SUMIFS('Flujo de caja mensual'!59:59,'Flujo de caja mensual'!$2:$2,'Flujo de caja anual'!J$1,'Flujo de caja mensual'!$1:$1,"&lt;="&amp;Resumen!$K$19)</f>
        <v>0</v>
      </c>
      <c r="K58" s="145">
        <f>SUMIFS('Flujo de caja mensual'!59:59,'Flujo de caja mensual'!$2:$2,'Flujo de caja anual'!K$1,'Flujo de caja mensual'!$1:$1,"&lt;="&amp;Resumen!$K$19)</f>
        <v>0</v>
      </c>
      <c r="L58" s="145">
        <f>SUMIFS('Flujo de caja mensual'!59:59,'Flujo de caja mensual'!$2:$2,'Flujo de caja anual'!L$1,'Flujo de caja mensual'!$1:$1,"&lt;="&amp;Resumen!$K$19)</f>
        <v>0</v>
      </c>
      <c r="M58" s="146">
        <f>SUMIFS('Flujo de caja mensual'!59:59,'Flujo de caja mensual'!$2:$2,'Flujo de caja anual'!M$1,'Flujo de caja mensual'!$1:$1,"&lt;="&amp;Resumen!$K$19)</f>
        <v>0</v>
      </c>
    </row>
    <row r="59" spans="1:13" x14ac:dyDescent="0.25">
      <c r="B59" s="5"/>
      <c r="C59" s="144"/>
      <c r="D59" s="145"/>
      <c r="E59" s="145"/>
      <c r="F59" s="145"/>
      <c r="G59" s="145"/>
      <c r="H59" s="145"/>
      <c r="I59" s="145"/>
      <c r="J59" s="145"/>
      <c r="K59" s="145"/>
      <c r="L59" s="145"/>
      <c r="M59" s="146"/>
    </row>
    <row r="60" spans="1:13" x14ac:dyDescent="0.25">
      <c r="B60" s="140" t="s">
        <v>47</v>
      </c>
      <c r="C60" s="144"/>
      <c r="D60" s="145"/>
      <c r="E60" s="145"/>
      <c r="F60" s="145"/>
      <c r="G60" s="145"/>
      <c r="H60" s="145"/>
      <c r="I60" s="145"/>
      <c r="J60" s="145"/>
      <c r="K60" s="145"/>
      <c r="L60" s="145"/>
      <c r="M60" s="146"/>
    </row>
    <row r="61" spans="1:13" x14ac:dyDescent="0.25">
      <c r="A61" s="152">
        <f>SUM(C61:M61)</f>
        <v>-135000000000</v>
      </c>
      <c r="B61" s="5" t="s">
        <v>198</v>
      </c>
      <c r="C61" s="144">
        <f>-Resumen!B21</f>
        <v>-135000000000</v>
      </c>
      <c r="D61" s="145"/>
      <c r="E61" s="145"/>
      <c r="F61" s="145"/>
      <c r="G61" s="145"/>
      <c r="H61" s="145"/>
      <c r="I61" s="145"/>
      <c r="J61" s="145"/>
      <c r="K61" s="145"/>
      <c r="L61" s="145"/>
      <c r="M61" s="146"/>
    </row>
    <row r="62" spans="1:13" x14ac:dyDescent="0.25">
      <c r="A62" s="152">
        <f>SUM(C62:M62)</f>
        <v>-12000000</v>
      </c>
      <c r="B62" s="5" t="s">
        <v>197</v>
      </c>
      <c r="C62" s="144">
        <f>-Resumen!B23</f>
        <v>-12000000</v>
      </c>
      <c r="D62" s="145"/>
      <c r="E62" s="145"/>
      <c r="F62" s="145"/>
      <c r="G62" s="145"/>
      <c r="H62" s="145"/>
      <c r="I62" s="145"/>
      <c r="J62" s="145"/>
      <c r="K62" s="145"/>
      <c r="L62" s="145"/>
      <c r="M62" s="146"/>
    </row>
    <row r="63" spans="1:13" x14ac:dyDescent="0.25">
      <c r="A63" s="152">
        <f>SUM(C63:M63)</f>
        <v>242856105047.60718</v>
      </c>
      <c r="B63" s="5" t="s">
        <v>196</v>
      </c>
      <c r="C63" s="144"/>
      <c r="D63" s="145">
        <f>SUMIFS('Flujo de caja mensual'!64:64,'Flujo de caja mensual'!$2:$2,'Flujo de caja anual'!D$1,'Flujo de caja mensual'!$1:$1,"&lt;="&amp;Resumen!$K$19)</f>
        <v>0</v>
      </c>
      <c r="E63" s="145">
        <f>SUMIFS('Flujo de caja mensual'!64:64,'Flujo de caja mensual'!$2:$2,'Flujo de caja anual'!E$1,'Flujo de caja mensual'!$1:$1,"&lt;="&amp;Resumen!$K$19)</f>
        <v>0</v>
      </c>
      <c r="F63" s="145">
        <f>SUMIFS('Flujo de caja mensual'!64:64,'Flujo de caja mensual'!$2:$2,'Flujo de caja anual'!F$1,'Flujo de caja mensual'!$1:$1,"&lt;="&amp;Resumen!$K$19)</f>
        <v>0</v>
      </c>
      <c r="G63" s="145">
        <f>SUMIFS('Flujo de caja mensual'!64:64,'Flujo de caja mensual'!$2:$2,'Flujo de caja anual'!G$1,'Flujo de caja mensual'!$1:$1,"&lt;="&amp;Resumen!$K$19)</f>
        <v>0</v>
      </c>
      <c r="H63" s="145">
        <f>SUMIFS('Flujo de caja mensual'!64:64,'Flujo de caja mensual'!$2:$2,'Flujo de caja anual'!H$1,'Flujo de caja mensual'!$1:$1,"&lt;="&amp;Resumen!$K$19)</f>
        <v>0</v>
      </c>
      <c r="I63" s="145">
        <f>SUMIFS('Flujo de caja mensual'!64:64,'Flujo de caja mensual'!$2:$2,'Flujo de caja anual'!I$1,'Flujo de caja mensual'!$1:$1,"&lt;="&amp;Resumen!$K$19)</f>
        <v>0</v>
      </c>
      <c r="J63" s="145">
        <f>SUMIFS('Flujo de caja mensual'!64:64,'Flujo de caja mensual'!$2:$2,'Flujo de caja anual'!J$1,'Flujo de caja mensual'!$1:$1,"&lt;="&amp;Resumen!$K$19)</f>
        <v>0</v>
      </c>
      <c r="K63" s="145">
        <f>SUMIFS('Flujo de caja mensual'!64:64,'Flujo de caja mensual'!$2:$2,'Flujo de caja anual'!K$1,'Flujo de caja mensual'!$1:$1,"&lt;="&amp;Resumen!$K$19)</f>
        <v>0</v>
      </c>
      <c r="L63" s="145">
        <f>SUMIFS('Flujo de caja mensual'!64:64,'Flujo de caja mensual'!$2:$2,'Flujo de caja anual'!L$1,'Flujo de caja mensual'!$1:$1,"&lt;="&amp;Resumen!$K$19)</f>
        <v>0</v>
      </c>
      <c r="M63" s="146">
        <f>SUMIFS('Flujo de caja mensual'!64:64,'Flujo de caja mensual'!$2:$2,'Flujo de caja anual'!M$1,'Flujo de caja mensual'!$1:$1,"&lt;="&amp;Resumen!$K$19)</f>
        <v>242856105047.60718</v>
      </c>
    </row>
    <row r="64" spans="1:13" x14ac:dyDescent="0.25">
      <c r="A64" s="152">
        <f>SUM(C64:M64)</f>
        <v>-2428561050.4760718</v>
      </c>
      <c r="B64" s="5" t="s">
        <v>195</v>
      </c>
      <c r="C64" s="144"/>
      <c r="D64" s="145">
        <f>SUMIFS('Flujo de caja mensual'!65:65,'Flujo de caja mensual'!$2:$2,'Flujo de caja anual'!D$1,'Flujo de caja mensual'!$1:$1,"&lt;="&amp;Resumen!$K$19)</f>
        <v>0</v>
      </c>
      <c r="E64" s="145">
        <f>SUMIFS('Flujo de caja mensual'!65:65,'Flujo de caja mensual'!$2:$2,'Flujo de caja anual'!E$1,'Flujo de caja mensual'!$1:$1,"&lt;="&amp;Resumen!$K$19)</f>
        <v>0</v>
      </c>
      <c r="F64" s="145">
        <f>SUMIFS('Flujo de caja mensual'!65:65,'Flujo de caja mensual'!$2:$2,'Flujo de caja anual'!F$1,'Flujo de caja mensual'!$1:$1,"&lt;="&amp;Resumen!$K$19)</f>
        <v>0</v>
      </c>
      <c r="G64" s="145">
        <f>SUMIFS('Flujo de caja mensual'!65:65,'Flujo de caja mensual'!$2:$2,'Flujo de caja anual'!G$1,'Flujo de caja mensual'!$1:$1,"&lt;="&amp;Resumen!$K$19)</f>
        <v>0</v>
      </c>
      <c r="H64" s="145">
        <f>SUMIFS('Flujo de caja mensual'!65:65,'Flujo de caja mensual'!$2:$2,'Flujo de caja anual'!H$1,'Flujo de caja mensual'!$1:$1,"&lt;="&amp;Resumen!$K$19)</f>
        <v>0</v>
      </c>
      <c r="I64" s="145">
        <f>SUMIFS('Flujo de caja mensual'!65:65,'Flujo de caja mensual'!$2:$2,'Flujo de caja anual'!I$1,'Flujo de caja mensual'!$1:$1,"&lt;="&amp;Resumen!$K$19)</f>
        <v>0</v>
      </c>
      <c r="J64" s="145">
        <f>SUMIFS('Flujo de caja mensual'!65:65,'Flujo de caja mensual'!$2:$2,'Flujo de caja anual'!J$1,'Flujo de caja mensual'!$1:$1,"&lt;="&amp;Resumen!$K$19)</f>
        <v>0</v>
      </c>
      <c r="K64" s="145">
        <f>SUMIFS('Flujo de caja mensual'!65:65,'Flujo de caja mensual'!$2:$2,'Flujo de caja anual'!K$1,'Flujo de caja mensual'!$1:$1,"&lt;="&amp;Resumen!$K$19)</f>
        <v>0</v>
      </c>
      <c r="L64" s="145">
        <f>SUMIFS('Flujo de caja mensual'!65:65,'Flujo de caja mensual'!$2:$2,'Flujo de caja anual'!L$1,'Flujo de caja mensual'!$1:$1,"&lt;="&amp;Resumen!$K$19)</f>
        <v>0</v>
      </c>
      <c r="M64" s="146">
        <f>SUMIFS('Flujo de caja mensual'!65:65,'Flujo de caja mensual'!$2:$2,'Flujo de caja anual'!M$1,'Flujo de caja mensual'!$1:$1,"&lt;="&amp;Resumen!$K$19)</f>
        <v>-2428561050.4760718</v>
      </c>
    </row>
    <row r="65" spans="1:13" x14ac:dyDescent="0.25">
      <c r="B65" s="5"/>
      <c r="C65" s="144"/>
      <c r="D65" s="145"/>
      <c r="E65" s="145"/>
      <c r="F65" s="145"/>
      <c r="G65" s="145"/>
      <c r="H65" s="145"/>
      <c r="I65" s="145"/>
      <c r="J65" s="145"/>
      <c r="K65" s="145"/>
      <c r="L65" s="145"/>
      <c r="M65" s="146"/>
    </row>
    <row r="66" spans="1:13" x14ac:dyDescent="0.25">
      <c r="A66" s="152">
        <f>SUM(C66:M66)</f>
        <v>141222946659.79462</v>
      </c>
      <c r="B66" s="14" t="s">
        <v>48</v>
      </c>
      <c r="C66" s="150">
        <f>SUM(C46,C49:C52,C57:C58,C61:C64)</f>
        <v>-61504500000</v>
      </c>
      <c r="D66" s="148">
        <f>SUMIFS('Flujo de caja mensual'!67:67,'Flujo de caja mensual'!$2:$2,'Flujo de caja anual'!D$1,'Flujo de caja mensual'!$1:$1,"&lt;="&amp;Resumen!$K$19)</f>
        <v>-4919508130.6746578</v>
      </c>
      <c r="E66" s="148">
        <f>SUMIFS('Flujo de caja mensual'!67:67,'Flujo de caja mensual'!$2:$2,'Flujo de caja anual'!E$1,'Flujo de caja mensual'!$1:$1,"&lt;="&amp;Resumen!$K$19)</f>
        <v>3897349319.9947047</v>
      </c>
      <c r="F66" s="148">
        <f>SUMIFS('Flujo de caja mensual'!67:67,'Flujo de caja mensual'!$2:$2,'Flujo de caja anual'!F$1,'Flujo de caja mensual'!$1:$1,"&lt;="&amp;Resumen!$K$19)</f>
        <v>4610092975.5465298</v>
      </c>
      <c r="G66" s="148">
        <f>SUMIFS('Flujo de caja mensual'!67:67,'Flujo de caja mensual'!$2:$2,'Flujo de caja anual'!G$1,'Flujo de caja mensual'!$1:$1,"&lt;="&amp;Resumen!$K$19)</f>
        <v>5045300568.7464342</v>
      </c>
      <c r="H66" s="148">
        <f>SUMIFS('Flujo de caja mensual'!67:67,'Flujo de caja mensual'!$2:$2,'Flujo de caja anual'!H$1,'Flujo de caja mensual'!$1:$1,"&lt;="&amp;Resumen!$K$19)</f>
        <v>45854403013.678162</v>
      </c>
      <c r="I66" s="148">
        <f>SUMIFS('Flujo de caja mensual'!67:67,'Flujo de caja mensual'!$2:$2,'Flujo de caja anual'!I$1,'Flujo de caja mensual'!$1:$1,"&lt;="&amp;Resumen!$K$19)</f>
        <v>2492661613.3964381</v>
      </c>
      <c r="J66" s="148">
        <f>SUMIFS('Flujo de caja mensual'!67:67,'Flujo de caja mensual'!$2:$2,'Flujo de caja anual'!J$1,'Flujo de caja mensual'!$1:$1,"&lt;="&amp;Resumen!$K$19)</f>
        <v>2971759370.2980742</v>
      </c>
      <c r="K66" s="148">
        <f>SUMIFS('Flujo de caja mensual'!67:67,'Flujo de caja mensual'!$2:$2,'Flujo de caja anual'!K$1,'Flujo de caja mensual'!$1:$1,"&lt;="&amp;Resumen!$K$19)</f>
        <v>3466416236.380693</v>
      </c>
      <c r="L66" s="148">
        <f>SUMIFS('Flujo de caja mensual'!67:67,'Flujo de caja mensual'!$2:$2,'Flujo de caja anual'!L$1,'Flujo de caja mensual'!$1:$1,"&lt;="&amp;Resumen!$K$19)</f>
        <v>3977119693.6346159</v>
      </c>
      <c r="M66" s="149">
        <f>SUMIFS('Flujo de caja mensual'!67:67,'Flujo de caja mensual'!$2:$2,'Flujo de caja anual'!M$1,'Flujo de caja mensual'!$1:$1,"&lt;="&amp;Resumen!$K$19)</f>
        <v>135331851998.79362</v>
      </c>
    </row>
    <row r="68" spans="1:13" x14ac:dyDescent="0.25">
      <c r="B68" s="153" t="s">
        <v>50</v>
      </c>
      <c r="C68" s="154"/>
      <c r="D68" s="155">
        <f>SUM(D54,D58)/ABS(SUMIF($C$66:C66,"&lt;"&amp;0,$C$66:C66))</f>
        <v>-7.9986149479707308E-2</v>
      </c>
      <c r="E68" s="155">
        <f>SUM(E54,E58)/ABS(SUMIF($C$66:D66,"&lt;"&amp;0,$C$66:D66))</f>
        <v>5.8673805295331248E-2</v>
      </c>
      <c r="F68" s="155">
        <f>SUM(F54,F58)/ABS(SUMIF($C$66:E66,"&lt;"&amp;0,$C$66:E66))</f>
        <v>6.9404016789790579E-2</v>
      </c>
      <c r="G68" s="155">
        <f>SUM(G54,G58)/ABS(SUMIF($C$66:F66,"&lt;"&amp;0,$C$66:F66))</f>
        <v>7.5955979031270021E-2</v>
      </c>
      <c r="H68" s="155">
        <f>SUM(H54,H58)/ABS(SUMIF($C$66:G66,"&lt;"&amp;0,$C$66:G66))</f>
        <v>8.2721402481286246E-2</v>
      </c>
      <c r="I68" s="155">
        <f>SUM(I54,I58)/ABS(SUMIF($C$66:H66,"&lt;"&amp;0,$C$66:H66))</f>
        <v>3.752651614296857E-2</v>
      </c>
      <c r="J68" s="155">
        <f>SUM(J54,J58)/ABS(SUMIF($C$66:I66,"&lt;"&amp;0,$C$66:I66))</f>
        <v>4.473923591680571E-2</v>
      </c>
      <c r="K68" s="155">
        <f>SUM(K54,K58)/ABS(SUMIF($C$66:J66,"&lt;"&amp;0,$C$66:J66))</f>
        <v>5.2186194930623271E-2</v>
      </c>
      <c r="L68" s="155">
        <f>SUM(L54,L58)/ABS(SUMIF($C$66:K66,"&lt;"&amp;0,$C$66:K66))</f>
        <v>5.9874732127132492E-2</v>
      </c>
      <c r="M68" s="155">
        <f>SUM(M54,M58)/ABS(SUMIF($C$66:L66,"&lt;"&amp;0,$C$66:L66))</f>
        <v>6.7812401866512675E-2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Read Me First</vt:lpstr>
      <vt:lpstr>Estructura del Modelo</vt:lpstr>
      <vt:lpstr>Resumen</vt:lpstr>
      <vt:lpstr>Ingresos</vt:lpstr>
      <vt:lpstr>Gastos</vt:lpstr>
      <vt:lpstr>Presupuesto de construccion</vt:lpstr>
      <vt:lpstr>Financiamiento</vt:lpstr>
      <vt:lpstr>Flujo de caja mensual</vt:lpstr>
      <vt:lpstr>Flujo de caja anual</vt:lpstr>
      <vt:lpstr>Validaciones</vt:lpstr>
      <vt:lpstr>'Read Me First'!Área_de_impresión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Kivel</dc:creator>
  <cp:lastModifiedBy>Santiago Isaza Mesa</cp:lastModifiedBy>
  <dcterms:created xsi:type="dcterms:W3CDTF">2020-05-08T16:32:12Z</dcterms:created>
  <dcterms:modified xsi:type="dcterms:W3CDTF">2025-07-09T05:16:29Z</dcterms:modified>
</cp:coreProperties>
</file>