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erahi\Desktop\"/>
    </mc:Choice>
  </mc:AlternateContent>
  <bookViews>
    <workbookView xWindow="0" yWindow="0" windowWidth="20460" windowHeight="7680"/>
  </bookViews>
  <sheets>
    <sheet name="Análisis Financieros " sheetId="1" r:id="rId1"/>
    <sheet name="Indicadores Financieros" sheetId="2" r:id="rId2"/>
    <sheet name="TIR Y VAN" sheetId="5" r:id="rId3"/>
    <sheet name="FCL" sheetId="4" r:id="rId4"/>
  </sheets>
  <externalReferences>
    <externalReference r:id="rId5"/>
    <externalReference r:id="rId6"/>
  </externalReferences>
  <calcPr calcId="162913"/>
</workbook>
</file>

<file path=xl/calcChain.xml><?xml version="1.0" encoding="utf-8"?>
<calcChain xmlns="http://schemas.openxmlformats.org/spreadsheetml/2006/main">
  <c r="J9" i="4" l="1"/>
  <c r="J8" i="4" l="1"/>
  <c r="G10" i="4"/>
  <c r="F8" i="5" l="1"/>
  <c r="E8" i="5"/>
  <c r="D8" i="5"/>
  <c r="D19" i="4"/>
  <c r="D17" i="4"/>
  <c r="C17" i="4"/>
  <c r="H15" i="4"/>
  <c r="E19" i="4" s="1"/>
  <c r="F13" i="4"/>
  <c r="E13" i="4"/>
  <c r="D13" i="4"/>
  <c r="E11" i="4"/>
  <c r="E17" i="4" s="1"/>
  <c r="D10" i="4"/>
  <c r="D12" i="4" s="1"/>
  <c r="D14" i="4" s="1"/>
  <c r="E9" i="4"/>
  <c r="F9" i="4" s="1"/>
  <c r="E8" i="4"/>
  <c r="G8" i="4" s="1"/>
  <c r="F8" i="4" l="1"/>
  <c r="F11" i="4"/>
  <c r="F17" i="4" s="1"/>
  <c r="G13" i="4"/>
  <c r="C10" i="5"/>
  <c r="C9" i="5"/>
  <c r="D18" i="4"/>
  <c r="D21" i="4" s="1"/>
  <c r="D15" i="4"/>
  <c r="D16" i="4" s="1"/>
  <c r="F10" i="4"/>
  <c r="F12" i="4" s="1"/>
  <c r="F14" i="4" s="1"/>
  <c r="G9" i="4"/>
  <c r="E10" i="4"/>
  <c r="G11" i="4"/>
  <c r="I15" i="4"/>
  <c r="F19" i="4" s="1"/>
  <c r="E12" i="4" l="1"/>
  <c r="F18" i="4"/>
  <c r="F21" i="4" s="1"/>
  <c r="F15" i="4"/>
  <c r="F16" i="4" s="1"/>
  <c r="E14" i="4" l="1"/>
  <c r="G12" i="4"/>
  <c r="E18" i="4" l="1"/>
  <c r="E21" i="4" s="1"/>
  <c r="E15" i="4"/>
  <c r="E16" i="4" s="1"/>
  <c r="C7" i="1" l="1"/>
</calcChain>
</file>

<file path=xl/sharedStrings.xml><?xml version="1.0" encoding="utf-8"?>
<sst xmlns="http://schemas.openxmlformats.org/spreadsheetml/2006/main" count="45" uniqueCount="29">
  <si>
    <t>NIT. 9 0 0 6 7 3 3 6 1 - 6</t>
  </si>
  <si>
    <t>CUENTAS</t>
  </si>
  <si>
    <t>INGRESOS OPERACIONALES</t>
  </si>
  <si>
    <t>UTILIDAD ANTES DE IMPUESTO</t>
  </si>
  <si>
    <t>UTILIDAD NETA</t>
  </si>
  <si>
    <t/>
  </si>
  <si>
    <t>EBITDA</t>
  </si>
  <si>
    <t>FCL</t>
  </si>
  <si>
    <t>COSTOS Y GASTOS</t>
  </si>
  <si>
    <t>LABS TRANSPORTE DE CARGA SAS</t>
  </si>
  <si>
    <t>FLUJO DE CAJA LIBRE PROYECTADO</t>
  </si>
  <si>
    <t>VENTAS</t>
  </si>
  <si>
    <t>-</t>
  </si>
  <si>
    <t>COSTOS Y GASTOS EN EFECTIVO</t>
  </si>
  <si>
    <t>=</t>
  </si>
  <si>
    <t>DEPRECIACIONES Y AMORTIZACIONES</t>
  </si>
  <si>
    <t>UTILIDAD OPERATIVA</t>
  </si>
  <si>
    <t>INTERESES</t>
  </si>
  <si>
    <t>IMPUESTOS</t>
  </si>
  <si>
    <t>+</t>
  </si>
  <si>
    <t>FLUJO DE CAJA BRUTO</t>
  </si>
  <si>
    <t>INCREMENTO DEL KTNO</t>
  </si>
  <si>
    <t>INVERSION EN ACTIVOS FIJOS</t>
  </si>
  <si>
    <t>VALOR PRESENTE NETO Y TIR</t>
  </si>
  <si>
    <t>FLUJOS DE CAJA</t>
  </si>
  <si>
    <t>TASA DESCUENTO</t>
  </si>
  <si>
    <t>INVERSION</t>
  </si>
  <si>
    <t>VPN</t>
  </si>
  <si>
    <t>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</si>
</sst>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  <numFmt numFmtId="168" formatCode="_(* #,##0_);_(* \(#,##0\);_(* &quot;-&quot;??_);_(@_)"/>
    <numFmt numFmtId="169" formatCode="_-* #,##0_-;\-* #,##0_-;_-* &quot;-&quot;??_-;_-@_-"/>
    <numFmt numFmtId="170" formatCode="0.0%"/>
    <numFmt numFmtId="171" formatCode="0.00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1"/>
      <color theme="1"/>
      <name val="Times New Roman"/>
      <family val="1"/>
    </font>
    <font>
      <b/>
      <sz val="10"/>
      <color indexed="9"/>
      <name val="Times New Roman"/>
      <family val="1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sz val="12"/>
      <name val="Times New Roman"/>
      <family val="1"/>
    </font>
    <font>
      <sz val="10.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6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>
      <alignment horizontal="right"/>
    </xf>
    <xf numFmtId="0" fontId="1" fillId="0" borderId="0"/>
  </cellStyleXfs>
  <cellXfs count="52">
    <xf numFmtId="0" fontId="0" fillId="0" borderId="0" xfId="0"/>
    <xf numFmtId="0" fontId="3" fillId="0" borderId="0" xfId="0" applyFont="1"/>
    <xf numFmtId="0" fontId="4" fillId="2" borderId="2" xfId="4" applyNumberFormat="1" applyFont="1" applyFill="1" applyBorder="1" applyAlignment="1" applyProtection="1">
      <alignment horizontal="center" vertical="center"/>
    </xf>
    <xf numFmtId="0" fontId="4" fillId="2" borderId="3" xfId="4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right" wrapText="1"/>
    </xf>
    <xf numFmtId="167" fontId="3" fillId="3" borderId="5" xfId="2" applyNumberFormat="1" applyFont="1" applyFill="1" applyBorder="1" applyAlignment="1">
      <alignment horizontal="center" vertical="center"/>
    </xf>
    <xf numFmtId="167" fontId="3" fillId="3" borderId="6" xfId="2" applyNumberFormat="1" applyFont="1" applyFill="1" applyBorder="1" applyAlignment="1">
      <alignment horizontal="center" vertical="center"/>
    </xf>
    <xf numFmtId="167" fontId="3" fillId="4" borderId="0" xfId="2" applyNumberFormat="1" applyFont="1" applyFill="1" applyBorder="1" applyAlignment="1">
      <alignment horizontal="center" vertical="center"/>
    </xf>
    <xf numFmtId="0" fontId="0" fillId="4" borderId="0" xfId="0" applyFill="1"/>
    <xf numFmtId="0" fontId="4" fillId="2" borderId="8" xfId="4" applyNumberFormat="1" applyFont="1" applyFill="1" applyBorder="1" applyAlignment="1" applyProtection="1">
      <alignment horizontal="center" vertical="center"/>
    </xf>
    <xf numFmtId="0" fontId="3" fillId="0" borderId="7" xfId="0" applyFont="1" applyBorder="1" applyAlignment="1">
      <alignment horizontal="center" vertical="center"/>
    </xf>
    <xf numFmtId="167" fontId="3" fillId="3" borderId="9" xfId="2" applyNumberFormat="1" applyFont="1" applyFill="1" applyBorder="1" applyAlignment="1">
      <alignment horizontal="center" vertical="center"/>
    </xf>
    <xf numFmtId="0" fontId="7" fillId="4" borderId="0" xfId="0" applyFont="1" applyFill="1"/>
    <xf numFmtId="0" fontId="8" fillId="4" borderId="0" xfId="0" applyFont="1" applyFill="1"/>
    <xf numFmtId="0" fontId="5" fillId="4" borderId="13" xfId="0" applyFont="1" applyFill="1" applyBorder="1" applyAlignment="1">
      <alignment horizontal="center"/>
    </xf>
    <xf numFmtId="0" fontId="8" fillId="5" borderId="13" xfId="0" applyFont="1" applyFill="1" applyBorder="1"/>
    <xf numFmtId="0" fontId="6" fillId="5" borderId="13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7" fillId="3" borderId="13" xfId="0" applyFont="1" applyFill="1" applyBorder="1"/>
    <xf numFmtId="169" fontId="7" fillId="3" borderId="13" xfId="1" applyNumberFormat="1" applyFont="1" applyFill="1" applyBorder="1"/>
    <xf numFmtId="10" fontId="8" fillId="4" borderId="0" xfId="3" applyNumberFormat="1" applyFont="1" applyFill="1"/>
    <xf numFmtId="0" fontId="7" fillId="4" borderId="13" xfId="0" applyFont="1" applyFill="1" applyBorder="1"/>
    <xf numFmtId="169" fontId="7" fillId="4" borderId="13" xfId="1" applyNumberFormat="1" applyFont="1" applyFill="1" applyBorder="1"/>
    <xf numFmtId="169" fontId="8" fillId="4" borderId="0" xfId="0" applyNumberFormat="1" applyFont="1" applyFill="1"/>
    <xf numFmtId="0" fontId="9" fillId="4" borderId="0" xfId="0" applyFont="1" applyFill="1"/>
    <xf numFmtId="0" fontId="10" fillId="4" borderId="13" xfId="0" applyFont="1" applyFill="1" applyBorder="1"/>
    <xf numFmtId="169" fontId="8" fillId="4" borderId="0" xfId="1" applyNumberFormat="1" applyFont="1" applyFill="1"/>
    <xf numFmtId="169" fontId="7" fillId="4" borderId="0" xfId="1" applyNumberFormat="1" applyFont="1" applyFill="1"/>
    <xf numFmtId="169" fontId="9" fillId="4" borderId="0" xfId="1" applyNumberFormat="1" applyFont="1" applyFill="1"/>
    <xf numFmtId="0" fontId="5" fillId="4" borderId="13" xfId="0" applyFont="1" applyFill="1" applyBorder="1"/>
    <xf numFmtId="168" fontId="0" fillId="0" borderId="0" xfId="1" applyNumberFormat="1" applyFont="1"/>
    <xf numFmtId="0" fontId="6" fillId="5" borderId="13" xfId="0" applyFont="1" applyFill="1" applyBorder="1" applyAlignment="1">
      <alignment horizontal="center" wrapText="1"/>
    </xf>
    <xf numFmtId="0" fontId="6" fillId="5" borderId="13" xfId="0" applyFont="1" applyFill="1" applyBorder="1"/>
    <xf numFmtId="9" fontId="7" fillId="3" borderId="13" xfId="0" applyNumberFormat="1" applyFont="1" applyFill="1" applyBorder="1" applyAlignment="1">
      <alignment horizontal="center"/>
    </xf>
    <xf numFmtId="168" fontId="7" fillId="3" borderId="13" xfId="1" applyNumberFormat="1" applyFont="1" applyFill="1" applyBorder="1"/>
    <xf numFmtId="170" fontId="7" fillId="3" borderId="13" xfId="3" applyNumberFormat="1" applyFont="1" applyFill="1" applyBorder="1"/>
    <xf numFmtId="169" fontId="8" fillId="4" borderId="0" xfId="3" applyNumberFormat="1" applyFont="1" applyFill="1"/>
    <xf numFmtId="167" fontId="3" fillId="3" borderId="4" xfId="2" applyNumberFormat="1" applyFont="1" applyFill="1" applyBorder="1" applyAlignment="1">
      <alignment horizontal="center" vertical="center"/>
    </xf>
    <xf numFmtId="167" fontId="3" fillId="3" borderId="0" xfId="2" applyNumberFormat="1" applyFont="1" applyFill="1" applyBorder="1" applyAlignment="1">
      <alignment horizontal="center" vertical="center"/>
    </xf>
    <xf numFmtId="167" fontId="3" fillId="3" borderId="7" xfId="2" applyNumberFormat="1" applyFont="1" applyFill="1" applyBorder="1" applyAlignment="1">
      <alignment horizontal="center" vertical="center"/>
    </xf>
    <xf numFmtId="171" fontId="8" fillId="4" borderId="0" xfId="3" applyNumberFormat="1" applyFont="1" applyFill="1"/>
    <xf numFmtId="164" fontId="0" fillId="4" borderId="0" xfId="0" applyNumberFormat="1" applyFill="1"/>
    <xf numFmtId="168" fontId="6" fillId="5" borderId="10" xfId="1" applyNumberFormat="1" applyFont="1" applyFill="1" applyBorder="1" applyAlignment="1">
      <alignment horizontal="center" wrapText="1"/>
    </xf>
    <xf numFmtId="168" fontId="6" fillId="5" borderId="11" xfId="1" applyNumberFormat="1" applyFont="1" applyFill="1" applyBorder="1" applyAlignment="1">
      <alignment horizontal="center" wrapText="1"/>
    </xf>
    <xf numFmtId="168" fontId="6" fillId="5" borderId="12" xfId="1" applyNumberFormat="1" applyFont="1" applyFill="1" applyBorder="1" applyAlignment="1">
      <alignment horizontal="center"/>
    </xf>
    <xf numFmtId="168" fontId="6" fillId="5" borderId="0" xfId="1" applyNumberFormat="1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</cellXfs>
  <cellStyles count="6">
    <cellStyle name="fa_column_header_top" xfId="4"/>
    <cellStyle name="Millares" xfId="1" builtinId="3"/>
    <cellStyle name="Moneda" xfId="2" builtinId="4"/>
    <cellStyle name="Normal" xfId="0" builtinId="0"/>
    <cellStyle name="Normal 2" xfId="5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85000"/>
                  <a:lumOff val="1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CO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'Análisis Financieros '!$B$8</c:f>
              <c:strCache>
                <c:ptCount val="1"/>
                <c:pt idx="0">
                  <c:v>COSTOS Y GASTOS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'Análisis Financieros '!$C$6:$E$6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'Análisis Financieros '!$C$8:$E$8</c:f>
              <c:numCache>
                <c:formatCode>"$"\ #,##0_);[Red]\("$"\ #,##0\)</c:formatCode>
                <c:ptCount val="3"/>
                <c:pt idx="0">
                  <c:v>976272000</c:v>
                </c:pt>
                <c:pt idx="1">
                  <c:v>1005560160</c:v>
                </c:pt>
                <c:pt idx="2">
                  <c:v>1035726965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8C-450C-8B79-85D5950EC51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9811336"/>
        <c:axId val="238514976"/>
      </c:lineChart>
      <c:catAx>
        <c:axId val="239811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38514976"/>
        <c:crosses val="autoZero"/>
        <c:auto val="1"/>
        <c:lblAlgn val="ctr"/>
        <c:lblOffset val="100"/>
        <c:noMultiLvlLbl val="0"/>
      </c:catAx>
      <c:valAx>
        <c:axId val="23851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_);[Red]\(&quot;$&quot;\ 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39811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85000"/>
                  <a:lumOff val="1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'Análisis Financieros '!$B$9</c:f>
              <c:strCache>
                <c:ptCount val="1"/>
                <c:pt idx="0">
                  <c:v>UTILIDAD NETA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5"/>
              </a:soli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'Análisis Financieros '!$C$6:$E$6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'Análisis Financieros '!$C$9:$E$9</c:f>
              <c:numCache>
                <c:formatCode>"$"\ #,##0_);[Red]\("$"\ #,##0\)</c:formatCode>
                <c:ptCount val="3"/>
                <c:pt idx="0">
                  <c:v>134653250</c:v>
                </c:pt>
                <c:pt idx="1">
                  <c:v>158232743</c:v>
                </c:pt>
                <c:pt idx="2">
                  <c:v>183670249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96-48DC-9DF7-8AD593E2386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9706848"/>
        <c:axId val="239707232"/>
      </c:lineChart>
      <c:catAx>
        <c:axId val="239706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85000"/>
                    <a:lumOff val="1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39707232"/>
        <c:crosses val="autoZero"/>
        <c:auto val="1"/>
        <c:lblAlgn val="ctr"/>
        <c:lblOffset val="100"/>
        <c:noMultiLvlLbl val="0"/>
      </c:catAx>
      <c:valAx>
        <c:axId val="239707232"/>
        <c:scaling>
          <c:orientation val="minMax"/>
        </c:scaling>
        <c:delete val="0"/>
        <c:axPos val="l"/>
        <c:numFmt formatCode="&quot;$&quot;\ #,##0_);[Red]\(&quot;$&quot;\ 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39706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>
              <a:lumMod val="85000"/>
              <a:lumOff val="15000"/>
            </a:schemeClr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0" baseline="0">
              <a:solidFill>
                <a:schemeClr val="tx1">
                  <a:lumMod val="85000"/>
                  <a:lumOff val="1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5.1905917867263486E-2"/>
          <c:y val="0.1146112999193947"/>
          <c:w val="0.94290349034601018"/>
          <c:h val="0.73120594141040818"/>
        </c:manualLayout>
      </c:layout>
      <c:lineChart>
        <c:grouping val="stacked"/>
        <c:varyColors val="0"/>
        <c:ser>
          <c:idx val="0"/>
          <c:order val="0"/>
          <c:tx>
            <c:strRef>
              <c:f>'Análisis Financieros '!$B$7</c:f>
              <c:strCache>
                <c:ptCount val="1"/>
                <c:pt idx="0">
                  <c:v>INGRESOS OPERACIONALES</c:v>
                </c:pt>
              </c:strCache>
            </c:strRef>
          </c:tx>
          <c:spPr>
            <a:ln w="19050" cap="rnd" cmpd="sng" algn="ctr">
              <a:solidFill>
                <a:schemeClr val="accent6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accent6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'Análisis Financieros '!$C$6:$E$6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'Análisis Financieros '!$C$7:$E$7</c:f>
              <c:numCache>
                <c:formatCode>"$"\ #,##0_);[Red]\("$"\ #,##0\)</c:formatCode>
                <c:ptCount val="3"/>
                <c:pt idx="0">
                  <c:v>1363992000</c:v>
                </c:pt>
                <c:pt idx="1">
                  <c:v>1418551680</c:v>
                </c:pt>
                <c:pt idx="2">
                  <c:v>1475293747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9F-48E5-815C-6F99532420F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0238616"/>
        <c:axId val="240470928"/>
      </c:lineChart>
      <c:catAx>
        <c:axId val="240238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40470928"/>
        <c:crosses val="autoZero"/>
        <c:auto val="1"/>
        <c:lblAlgn val="ctr"/>
        <c:lblOffset val="100"/>
        <c:noMultiLvlLbl val="0"/>
      </c:catAx>
      <c:valAx>
        <c:axId val="240470928"/>
        <c:scaling>
          <c:orientation val="minMax"/>
        </c:scaling>
        <c:delete val="1"/>
        <c:axPos val="l"/>
        <c:numFmt formatCode="&quot;$&quot;\ #,##0_);[Red]\(&quot;$&quot;\ #,##0\)" sourceLinked="1"/>
        <c:majorTickMark val="none"/>
        <c:minorTickMark val="none"/>
        <c:tickLblPos val="nextTo"/>
        <c:crossAx val="240238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sz="1600" b="1">
                <a:solidFill>
                  <a:schemeClr val="tx1"/>
                </a:solidFill>
              </a:rPr>
              <a:t>EBITDA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2030555555555555"/>
          <c:y val="0.17340296004666081"/>
          <c:w val="0.87969444444444445"/>
          <c:h val="0.69960666375036451"/>
        </c:manualLayout>
      </c:layout>
      <c:lineChart>
        <c:grouping val="standard"/>
        <c:varyColors val="0"/>
        <c:ser>
          <c:idx val="0"/>
          <c:order val="0"/>
          <c:tx>
            <c:strRef>
              <c:f>'Indicadores Financieros'!$A$3</c:f>
              <c:strCache>
                <c:ptCount val="1"/>
                <c:pt idx="0">
                  <c:v>EBITDA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'Indicadores Financieros'!$B$1:$D$1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'Indicadores Financieros'!$B$3:$D$3</c:f>
              <c:numCache>
                <c:formatCode>_("$"\ * #,##0_);_("$"\ * \(#,##0\);_("$"\ * "-"??_);_(@_)</c:formatCode>
                <c:ptCount val="3"/>
                <c:pt idx="0">
                  <c:v>387720000</c:v>
                </c:pt>
                <c:pt idx="1">
                  <c:v>412991520</c:v>
                </c:pt>
                <c:pt idx="2">
                  <c:v>1035726965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D6-454C-9E3E-4337AF53B97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40314768"/>
        <c:axId val="240348792"/>
      </c:lineChart>
      <c:catAx>
        <c:axId val="24031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40348792"/>
        <c:crosses val="autoZero"/>
        <c:auto val="1"/>
        <c:lblAlgn val="ctr"/>
        <c:lblOffset val="100"/>
        <c:noMultiLvlLbl val="0"/>
      </c:catAx>
      <c:valAx>
        <c:axId val="240348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\ * #,##0_);_(&quot;$&quot;\ * \(#,##0\);_(&quot;$&quot;\ 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4031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00" normalizeH="0" baseline="0">
              <a:solidFill>
                <a:schemeClr val="tx1">
                  <a:lumMod val="85000"/>
                  <a:lumOff val="1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CO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'Indicadores Financieros'!$A$5</c:f>
              <c:strCache>
                <c:ptCount val="1"/>
                <c:pt idx="0">
                  <c:v>FCL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3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'Indicadores Financieros'!$B$1:$D$1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'Indicadores Financieros'!$B$5:$D$5</c:f>
              <c:numCache>
                <c:formatCode>_("$"\ * #,##0_);_("$"\ * \(#,##0\);_("$"\ * "-"??_);_(@_)</c:formatCode>
                <c:ptCount val="3"/>
                <c:pt idx="0">
                  <c:v>303180000</c:v>
                </c:pt>
                <c:pt idx="1">
                  <c:v>349100643</c:v>
                </c:pt>
                <c:pt idx="2">
                  <c:v>381930268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E6-4B97-B75D-29D6CF768D2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240835288"/>
        <c:axId val="174541568"/>
      </c:lineChart>
      <c:catAx>
        <c:axId val="240835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100" baseline="0">
                <a:solidFill>
                  <a:schemeClr val="tx1">
                    <a:lumMod val="85000"/>
                    <a:lumOff val="1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174541568"/>
        <c:crosses val="autoZero"/>
        <c:auto val="1"/>
        <c:lblAlgn val="ctr"/>
        <c:lblOffset val="100"/>
        <c:noMultiLvlLbl val="0"/>
      </c:catAx>
      <c:valAx>
        <c:axId val="174541568"/>
        <c:scaling>
          <c:orientation val="minMax"/>
        </c:scaling>
        <c:delete val="0"/>
        <c:axPos val="l"/>
        <c:numFmt formatCode="_(&quot;$&quot;\ * #,##0_);_(&quot;$&quot;\ * \(#,##0\);_(&quot;$&quot;\ 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CO"/>
          </a:p>
        </c:txPr>
        <c:crossAx val="240835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accent3">
            <a:lumMod val="40000"/>
            <a:lumOff val="60000"/>
          </a:schemeClr>
        </a:gs>
        <a:gs pos="74000">
          <a:schemeClr val="accent3">
            <a:lumMod val="60000"/>
            <a:lumOff val="40000"/>
          </a:schemeClr>
        </a:gs>
        <a:gs pos="83000">
          <a:schemeClr val="accent3">
            <a:lumMod val="60000"/>
            <a:lumOff val="40000"/>
          </a:schemeClr>
        </a:gs>
        <a:gs pos="100000">
          <a:schemeClr val="accent3">
            <a:lumMod val="60000"/>
            <a:lumOff val="40000"/>
          </a:schemeClr>
        </a:gs>
      </a:gsLst>
      <a:lin ang="5400000" scaled="1"/>
    </a:gradFill>
    <a:ln w="9525" cap="flat" cmpd="sng" algn="ctr">
      <a:gradFill>
        <a:gsLst>
          <a:gs pos="0">
            <a:schemeClr val="accent1">
              <a:lumMod val="5000"/>
              <a:lumOff val="95000"/>
            </a:schemeClr>
          </a:gs>
          <a:gs pos="74000">
            <a:schemeClr val="accent1">
              <a:lumMod val="45000"/>
              <a:lumOff val="55000"/>
            </a:schemeClr>
          </a:gs>
          <a:gs pos="83000">
            <a:schemeClr val="accent1">
              <a:lumMod val="45000"/>
              <a:lumOff val="55000"/>
            </a:schemeClr>
          </a:gs>
          <a:gs pos="100000">
            <a:schemeClr val="accent1">
              <a:lumMod val="30000"/>
              <a:lumOff val="70000"/>
            </a:schemeClr>
          </a:gs>
        </a:gsLst>
        <a:lin ang="5400000" scaled="1"/>
      </a:gradFill>
      <a:round/>
    </a:ln>
    <a:effectLst/>
  </c:spPr>
  <c:txPr>
    <a:bodyPr/>
    <a:lstStyle/>
    <a:p>
      <a:pPr>
        <a:defRPr b="1">
          <a:solidFill>
            <a:schemeClr val="tx1">
              <a:lumMod val="85000"/>
              <a:lumOff val="15000"/>
            </a:schemeClr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[2]FCL!$C$10</c:f>
              <c:strCache>
                <c:ptCount val="1"/>
                <c:pt idx="0">
                  <c:v>EBITDA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[2]FCL!$D$7:$F$7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[2]FCL!$D$10:$F$10</c:f>
              <c:numCache>
                <c:formatCode>General</c:formatCode>
                <c:ptCount val="3"/>
                <c:pt idx="0">
                  <c:v>387720000</c:v>
                </c:pt>
                <c:pt idx="1">
                  <c:v>412991520</c:v>
                </c:pt>
                <c:pt idx="2">
                  <c:v>439566782.39999998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A6-4E3A-B1F6-A03AAA6431B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74542352"/>
        <c:axId val="174542744"/>
        <c:axId val="238993288"/>
      </c:line3DChart>
      <c:catAx>
        <c:axId val="17454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4542744"/>
        <c:crosses val="autoZero"/>
        <c:auto val="1"/>
        <c:lblAlgn val="ctr"/>
        <c:lblOffset val="100"/>
        <c:noMultiLvlLbl val="0"/>
      </c:catAx>
      <c:valAx>
        <c:axId val="17454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4542352"/>
        <c:crosses val="autoZero"/>
        <c:crossBetween val="between"/>
      </c:valAx>
      <c:serAx>
        <c:axId val="238993288"/>
        <c:scaling>
          <c:orientation val="minMax"/>
        </c:scaling>
        <c:delete val="1"/>
        <c:axPos val="b"/>
        <c:majorTickMark val="out"/>
        <c:minorTickMark val="none"/>
        <c:tickLblPos val="nextTo"/>
        <c:crossAx val="174542744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[2]FCL!$C$12</c:f>
              <c:strCache>
                <c:ptCount val="1"/>
                <c:pt idx="0">
                  <c:v>UTILIDAD OPERATIVA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[2]FCL!$D$7:$F$7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[2]FCL!$D$12:$F$12</c:f>
              <c:numCache>
                <c:formatCode>General</c:formatCode>
                <c:ptCount val="3"/>
                <c:pt idx="0">
                  <c:v>267620000</c:v>
                </c:pt>
                <c:pt idx="1">
                  <c:v>292891520</c:v>
                </c:pt>
                <c:pt idx="2">
                  <c:v>319466782.39999998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3F-4BF8-A002-701D71A822E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74541176"/>
        <c:axId val="174540784"/>
        <c:axId val="238994136"/>
      </c:line3DChart>
      <c:catAx>
        <c:axId val="174541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4540784"/>
        <c:crosses val="autoZero"/>
        <c:auto val="1"/>
        <c:lblAlgn val="ctr"/>
        <c:lblOffset val="100"/>
        <c:noMultiLvlLbl val="0"/>
      </c:catAx>
      <c:valAx>
        <c:axId val="17454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4541176"/>
        <c:crosses val="autoZero"/>
        <c:crossBetween val="between"/>
      </c:valAx>
      <c:serAx>
        <c:axId val="238994136"/>
        <c:scaling>
          <c:orientation val="minMax"/>
        </c:scaling>
        <c:delete val="1"/>
        <c:axPos val="b"/>
        <c:majorTickMark val="out"/>
        <c:minorTickMark val="none"/>
        <c:tickLblPos val="nextTo"/>
        <c:crossAx val="174540784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[2]FCL!$C$21</c:f>
              <c:strCache>
                <c:ptCount val="1"/>
                <c:pt idx="0">
                  <c:v>FCL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dLbls>
            <c:dLbl>
              <c:idx val="1"/>
              <c:layout>
                <c:manualLayout>
                  <c:x val="2.5599997419842781E-3"/>
                  <c:y val="-5.11999913994765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DA0-4189-A56F-05A34E28D297}"/>
                </c:ext>
              </c:extLst>
            </c:dLbl>
            <c:dLbl>
              <c:idx val="2"/>
              <c:layout>
                <c:manualLayout>
                  <c:x val="2.0479997935874225E-2"/>
                  <c:y val="-3.83999935496073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DA0-4189-A56F-05A34E28D2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[2]FCL!$D$7:$F$7</c:f>
              <c:numCache>
                <c:formatCode>General</c:formatCode>
                <c:ptCount val="3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</c:numCache>
            </c:numRef>
          </c:cat>
          <c:val>
            <c:numRef>
              <c:f>[2]FCL!$D$21:$F$21</c:f>
              <c:numCache>
                <c:formatCode>General</c:formatCode>
                <c:ptCount val="3"/>
                <c:pt idx="0">
                  <c:v>303180000</c:v>
                </c:pt>
                <c:pt idx="1">
                  <c:v>349100642.92596841</c:v>
                </c:pt>
                <c:pt idx="2">
                  <c:v>381930268.36027265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A0-4189-A56F-05A34E28D29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74540000"/>
        <c:axId val="174543528"/>
        <c:axId val="238994984"/>
      </c:line3DChart>
      <c:catAx>
        <c:axId val="174540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4543528"/>
        <c:crosses val="autoZero"/>
        <c:auto val="1"/>
        <c:lblAlgn val="ctr"/>
        <c:lblOffset val="100"/>
        <c:noMultiLvlLbl val="0"/>
      </c:catAx>
      <c:valAx>
        <c:axId val="17454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4540000"/>
        <c:crosses val="autoZero"/>
        <c:crossBetween val="between"/>
      </c:valAx>
      <c:serAx>
        <c:axId val="238994984"/>
        <c:scaling>
          <c:orientation val="minMax"/>
        </c:scaling>
        <c:delete val="1"/>
        <c:axPos val="b"/>
        <c:majorTickMark val="out"/>
        <c:minorTickMark val="none"/>
        <c:tickLblPos val="nextTo"/>
        <c:crossAx val="174543528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cs:styleClr val="auto"/>
    </cs:fontRef>
    <cs:spPr/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 w="9575">
        <a:solidFill>
          <a:schemeClr val="lt1">
            <a:lumMod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 cmpd="sng" algn="ctr">
        <a:solidFill>
          <a:schemeClr val="phClr">
            <a:shade val="95000"/>
            <a:satMod val="105000"/>
          </a:schemeClr>
        </a:solidFill>
        <a:round/>
      </a:ln>
    </cs:spPr>
  </cs:dataPointLine>
  <cs:dataPointMarker>
    <cs:lnRef idx="0"/>
    <cs:fillRef idx="0"/>
    <cs:effectRef idx="0"/>
    <cs:fontRef idx="minor">
      <a:schemeClr val="dk1"/>
    </cs:fontRef>
    <cs:spPr>
      <a:solidFill>
        <a:schemeClr val="lt1"/>
      </a:solidFill>
    </cs:spPr>
  </cs:dataPointMarker>
  <cs:dataPointMarkerLayout symbol="circle" size="17"/>
  <cs:dataPointWireframe>
    <cs:lnRef idx="0">
      <cs:styleClr val="auto"/>
    </cs:lnRef>
    <cs:fillRef idx="1"/>
    <cs:effectRef idx="0"/>
    <cs:fontRef idx="minor">
      <a:schemeClr val="dk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/>
    </cs:fontRef>
    <cs:defRPr sz="1440" b="0" kern="1200" cap="all" spc="0" baseline="0">
      <a:gradFill>
        <a:gsLst>
          <a:gs pos="0">
            <a:schemeClr val="dk1">
              <a:lumMod val="50000"/>
              <a:lumOff val="50000"/>
            </a:schemeClr>
          </a:gs>
          <a:gs pos="100000">
            <a:schemeClr val="dk1">
              <a:lumMod val="85000"/>
              <a:lumOff val="15000"/>
            </a:schemeClr>
          </a:gs>
        </a:gsLst>
        <a:lin ang="5400000" scaled="0"/>
      </a:gradFill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45244</xdr:colOff>
      <xdr:row>12</xdr:row>
      <xdr:rowOff>95250</xdr:rowOff>
    </xdr:from>
    <xdr:to>
      <xdr:col>14</xdr:col>
      <xdr:colOff>45244</xdr:colOff>
      <xdr:row>26</xdr:row>
      <xdr:rowOff>171450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464344</xdr:colOff>
      <xdr:row>12</xdr:row>
      <xdr:rowOff>63103</xdr:rowOff>
    </xdr:from>
    <xdr:to>
      <xdr:col>3</xdr:col>
      <xdr:colOff>261937</xdr:colOff>
      <xdr:row>26</xdr:row>
      <xdr:rowOff>83344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535779</xdr:colOff>
      <xdr:row>11</xdr:row>
      <xdr:rowOff>182166</xdr:rowOff>
    </xdr:from>
    <xdr:to>
      <xdr:col>7</xdr:col>
      <xdr:colOff>619123</xdr:colOff>
      <xdr:row>27</xdr:row>
      <xdr:rowOff>59532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138112</xdr:rowOff>
    </xdr:from>
    <xdr:to>
      <xdr:col>11</xdr:col>
      <xdr:colOff>28575</xdr:colOff>
      <xdr:row>13</xdr:row>
      <xdr:rowOff>338137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1976437</xdr:colOff>
      <xdr:row>8</xdr:row>
      <xdr:rowOff>42862</xdr:rowOff>
    </xdr:from>
    <xdr:to>
      <xdr:col>4</xdr:col>
      <xdr:colOff>223837</xdr:colOff>
      <xdr:row>20</xdr:row>
      <xdr:rowOff>57150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22</xdr:row>
      <xdr:rowOff>23812</xdr:rowOff>
    </xdr:from>
    <xdr:to>
      <xdr:col>4</xdr:col>
      <xdr:colOff>439738</xdr:colOff>
      <xdr:row>33</xdr:row>
      <xdr:rowOff>161925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571500</xdr:colOff>
      <xdr:row>22</xdr:row>
      <xdr:rowOff>14287</xdr:rowOff>
    </xdr:from>
    <xdr:to>
      <xdr:col>8</xdr:col>
      <xdr:colOff>190500</xdr:colOff>
      <xdr:row>33</xdr:row>
      <xdr:rowOff>174307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1657350</xdr:colOff>
      <xdr:row>34</xdr:row>
      <xdr:rowOff>147636</xdr:rowOff>
    </xdr:from>
    <xdr:to>
      <xdr:col>6</xdr:col>
      <xdr:colOff>322263</xdr:colOff>
      <xdr:row>49</xdr:row>
      <xdr:rowOff>123824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FEXP7v8%20PARTE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exo%203.%20Inductores%20de%20valor%20proyectad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 "/>
      <sheetName val="INDICE"/>
      <sheetName val="AJUSTES1"/>
      <sheetName val="ID"/>
      <sheetName val="1"/>
      <sheetName val="CAnterior"/>
      <sheetName val="DA"/>
      <sheetName val="2"/>
      <sheetName val="2a"/>
      <sheetName val="2b"/>
      <sheetName val="2c"/>
      <sheetName val="Pre"/>
      <sheetName val="Tes"/>
      <sheetName val="Bal"/>
      <sheetName val="AS"/>
      <sheetName val="ARI"/>
      <sheetName val="FCD"/>
      <sheetName val="3"/>
      <sheetName val="3a"/>
      <sheetName val="AJUSTES5"/>
      <sheetName val="3b"/>
      <sheetName val="P"/>
      <sheetName val="T"/>
      <sheetName val="B"/>
      <sheetName val="4"/>
      <sheetName val="T2"/>
      <sheetName val="T3"/>
      <sheetName val="T4"/>
      <sheetName val="T5"/>
      <sheetName val="LINKS"/>
      <sheetName val="7años"/>
      <sheetName val="Amortizaciones"/>
      <sheetName val="CResult"/>
      <sheetName val="SB"/>
      <sheetName val="CTesorería"/>
      <sheetName val="Pagoinversiones"/>
      <sheetName val="presta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2">
          <cell r="F12">
            <v>1363992000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CL"/>
      <sheetName val="TIR Y VAN"/>
      <sheetName val="INDICADORES BASICOS"/>
      <sheetName val="EST. RESUL. HIST."/>
    </sheetNames>
    <sheetDataSet>
      <sheetData sheetId="0">
        <row r="7">
          <cell r="D7">
            <v>2018</v>
          </cell>
          <cell r="E7">
            <v>2019</v>
          </cell>
          <cell r="F7">
            <v>2020</v>
          </cell>
        </row>
        <row r="10">
          <cell r="C10" t="str">
            <v>EBITDA</v>
          </cell>
          <cell r="D10">
            <v>387720000</v>
          </cell>
          <cell r="E10">
            <v>412991520</v>
          </cell>
          <cell r="F10">
            <v>439566782.39999998</v>
          </cell>
        </row>
        <row r="12">
          <cell r="C12" t="str">
            <v>UTILIDAD OPERATIVA</v>
          </cell>
          <cell r="D12">
            <v>267620000</v>
          </cell>
          <cell r="E12">
            <v>292891520</v>
          </cell>
          <cell r="F12">
            <v>319466782.39999998</v>
          </cell>
        </row>
        <row r="21">
          <cell r="C21" t="str">
            <v>FCL</v>
          </cell>
          <cell r="D21">
            <v>303180000</v>
          </cell>
          <cell r="E21">
            <v>349100642.92596841</v>
          </cell>
          <cell r="F21">
            <v>381930268.36027265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zoomScale="80" zoomScaleNormal="80" workbookViewId="0">
      <selection activeCell="F5" sqref="F5"/>
    </sheetView>
  </sheetViews>
  <sheetFormatPr baseColWidth="10" defaultRowHeight="15" x14ac:dyDescent="0.25"/>
  <cols>
    <col min="1" max="1" width="11.42578125" style="11"/>
    <col min="2" max="2" width="45.140625" style="11" customWidth="1"/>
    <col min="3" max="3" width="20.140625" style="11" customWidth="1"/>
    <col min="4" max="4" width="23.7109375" style="11" customWidth="1"/>
    <col min="5" max="5" width="19.140625" style="11" customWidth="1"/>
    <col min="6" max="6" width="17.85546875" style="11" customWidth="1"/>
    <col min="7" max="16384" width="11.42578125" style="11"/>
  </cols>
  <sheetData>
    <row r="2" spans="2:5" x14ac:dyDescent="0.25">
      <c r="B2" s="11" t="s">
        <v>0</v>
      </c>
    </row>
    <row r="6" spans="2:5" x14ac:dyDescent="0.25">
      <c r="B6" s="11" t="s">
        <v>1</v>
      </c>
      <c r="C6" s="11">
        <v>2018</v>
      </c>
      <c r="D6" s="11">
        <v>2019</v>
      </c>
      <c r="E6" s="11">
        <v>2020</v>
      </c>
    </row>
    <row r="7" spans="2:5" x14ac:dyDescent="0.25">
      <c r="B7" s="11" t="s">
        <v>2</v>
      </c>
      <c r="C7" s="44">
        <f>[1]AS!$F$12</f>
        <v>1363992000</v>
      </c>
      <c r="D7" s="44">
        <v>1418551680</v>
      </c>
      <c r="E7" s="44">
        <v>1475293747</v>
      </c>
    </row>
    <row r="8" spans="2:5" x14ac:dyDescent="0.25">
      <c r="B8" s="11" t="s">
        <v>8</v>
      </c>
      <c r="C8" s="44">
        <v>976272000</v>
      </c>
      <c r="D8" s="44">
        <v>1005560160</v>
      </c>
      <c r="E8" s="44">
        <v>1035726965</v>
      </c>
    </row>
    <row r="9" spans="2:5" x14ac:dyDescent="0.25">
      <c r="B9" s="11" t="s">
        <v>4</v>
      </c>
      <c r="C9" s="44">
        <v>134653250</v>
      </c>
      <c r="D9" s="44">
        <v>158232743</v>
      </c>
      <c r="E9" s="44">
        <v>183670249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showGridLines="0" workbookViewId="0">
      <selection activeCell="E13" sqref="E13"/>
    </sheetView>
  </sheetViews>
  <sheetFormatPr baseColWidth="10" defaultRowHeight="15" x14ac:dyDescent="0.25"/>
  <cols>
    <col min="1" max="1" width="44.42578125" customWidth="1"/>
    <col min="2" max="2" width="23.140625" customWidth="1"/>
    <col min="3" max="3" width="19.140625" customWidth="1"/>
    <col min="4" max="4" width="22.140625" customWidth="1"/>
  </cols>
  <sheetData>
    <row r="1" spans="1:4" x14ac:dyDescent="0.25">
      <c r="A1" s="1"/>
      <c r="B1" s="2">
        <v>2018</v>
      </c>
      <c r="C1" s="3">
        <v>2019</v>
      </c>
      <c r="D1" s="12">
        <v>2020</v>
      </c>
    </row>
    <row r="2" spans="1:4" x14ac:dyDescent="0.25">
      <c r="A2" s="1"/>
      <c r="B2" s="5"/>
      <c r="C2" s="6"/>
      <c r="D2" s="13"/>
    </row>
    <row r="3" spans="1:4" ht="15.75" x14ac:dyDescent="0.25">
      <c r="A3" s="4" t="s">
        <v>6</v>
      </c>
      <c r="B3" s="40">
        <v>387720000</v>
      </c>
      <c r="C3" s="41">
        <v>412991520</v>
      </c>
      <c r="D3" s="42">
        <v>1035726965</v>
      </c>
    </row>
    <row r="4" spans="1:4" x14ac:dyDescent="0.25">
      <c r="A4" s="1" t="s">
        <v>5</v>
      </c>
      <c r="B4" s="5"/>
      <c r="C4" s="6"/>
      <c r="D4" s="13"/>
    </row>
    <row r="5" spans="1:4" ht="15.75" x14ac:dyDescent="0.25">
      <c r="A5" s="7" t="s">
        <v>7</v>
      </c>
      <c r="B5" s="40">
        <v>303180000</v>
      </c>
      <c r="C5" s="41">
        <v>349100643</v>
      </c>
      <c r="D5" s="42">
        <v>381930268</v>
      </c>
    </row>
    <row r="6" spans="1:4" ht="15.75" x14ac:dyDescent="0.25">
      <c r="A6" s="4"/>
      <c r="B6" s="5"/>
      <c r="C6" s="6"/>
      <c r="D6" s="13"/>
    </row>
    <row r="7" spans="1:4" ht="16.5" thickBot="1" x14ac:dyDescent="0.3">
      <c r="A7" s="4"/>
      <c r="B7" s="8"/>
      <c r="C7" s="9"/>
      <c r="D7" s="14"/>
    </row>
    <row r="8" spans="1:4" x14ac:dyDescent="0.25">
      <c r="B8" s="10"/>
      <c r="C8" s="10"/>
      <c r="D8" s="10"/>
    </row>
    <row r="9" spans="1:4" x14ac:dyDescent="0.25">
      <c r="A9" s="1" t="s">
        <v>5</v>
      </c>
      <c r="B9" s="10"/>
      <c r="C9" s="10"/>
      <c r="D9" s="10"/>
    </row>
    <row r="10" spans="1:4" ht="15.75" x14ac:dyDescent="0.25">
      <c r="A10" s="4"/>
      <c r="B10" s="10"/>
      <c r="C10" s="10"/>
      <c r="D10" s="10"/>
    </row>
    <row r="11" spans="1:4" ht="15.75" x14ac:dyDescent="0.25">
      <c r="A11" s="4"/>
      <c r="B11" s="10"/>
      <c r="C11" s="10"/>
      <c r="D11" s="10"/>
    </row>
    <row r="12" spans="1:4" ht="15.75" x14ac:dyDescent="0.25">
      <c r="A12" s="4"/>
      <c r="B12" s="10"/>
      <c r="C12" s="10"/>
      <c r="D12" s="10"/>
    </row>
    <row r="13" spans="1:4" ht="15.75" x14ac:dyDescent="0.25">
      <c r="A13" s="4"/>
      <c r="B13" s="10"/>
      <c r="C13" s="10"/>
      <c r="D13" s="10"/>
    </row>
    <row r="14" spans="1:4" ht="15.75" x14ac:dyDescent="0.25">
      <c r="A14" s="4"/>
      <c r="B14" s="10"/>
      <c r="C14" s="10"/>
      <c r="D14" s="10"/>
    </row>
    <row r="15" spans="1:4" ht="15.75" x14ac:dyDescent="0.25">
      <c r="A15" s="4"/>
      <c r="B15" s="10"/>
      <c r="C15" s="10"/>
      <c r="D15" s="10"/>
    </row>
    <row r="16" spans="1:4" ht="15.75" x14ac:dyDescent="0.25">
      <c r="A16" s="4"/>
      <c r="B16" s="10"/>
      <c r="C16" s="10"/>
      <c r="D16" s="10"/>
    </row>
    <row r="17" spans="1:4" ht="15.75" x14ac:dyDescent="0.25">
      <c r="A17" s="4"/>
      <c r="B17" s="10"/>
      <c r="C17" s="10"/>
      <c r="D17" s="10"/>
    </row>
    <row r="18" spans="1:4" ht="15.75" x14ac:dyDescent="0.25">
      <c r="A18" s="4"/>
      <c r="B18" s="10"/>
      <c r="C18" s="10"/>
      <c r="D18" s="10"/>
    </row>
    <row r="19" spans="1:4" ht="15.75" x14ac:dyDescent="0.25">
      <c r="A19" s="4"/>
      <c r="B19" s="10"/>
      <c r="C19" s="10"/>
      <c r="D19" s="10"/>
    </row>
    <row r="20" spans="1:4" ht="15.75" x14ac:dyDescent="0.25">
      <c r="A20" s="4"/>
      <c r="B20" s="10"/>
      <c r="C20" s="10"/>
      <c r="D20" s="10"/>
    </row>
    <row r="21" spans="1:4" ht="15.75" x14ac:dyDescent="0.25">
      <c r="A21" s="4"/>
      <c r="B21" s="10"/>
      <c r="C21" s="10"/>
      <c r="D21" s="10"/>
    </row>
    <row r="22" spans="1:4" ht="15.75" x14ac:dyDescent="0.25">
      <c r="A22" s="4"/>
      <c r="B22" s="10"/>
      <c r="C22" s="10"/>
      <c r="D22" s="10"/>
    </row>
    <row r="23" spans="1:4" ht="15.75" x14ac:dyDescent="0.25">
      <c r="A23" s="4"/>
      <c r="B23" s="11"/>
      <c r="C23" s="11"/>
      <c r="D23" s="11"/>
    </row>
    <row r="24" spans="1:4" ht="15.75" x14ac:dyDescent="0.25">
      <c r="A24" s="4"/>
    </row>
    <row r="25" spans="1:4" ht="15.75" x14ac:dyDescent="0.25">
      <c r="A25" s="4"/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showGridLines="0" zoomScale="115" zoomScaleNormal="115" workbookViewId="0">
      <selection activeCell="A2" sqref="A2"/>
    </sheetView>
  </sheetViews>
  <sheetFormatPr baseColWidth="10" defaultRowHeight="15" x14ac:dyDescent="0.25"/>
  <cols>
    <col min="1" max="1" width="11.42578125" style="33"/>
    <col min="2" max="2" width="16.85546875" style="33" bestFit="1" customWidth="1"/>
    <col min="3" max="5" width="15.140625" style="33" bestFit="1" customWidth="1"/>
    <col min="6" max="6" width="14.28515625" style="33" customWidth="1"/>
    <col min="7" max="16384" width="11.42578125" style="33"/>
  </cols>
  <sheetData>
    <row r="2" spans="2:6" ht="15.75" x14ac:dyDescent="0.25">
      <c r="B2" s="45" t="s">
        <v>9</v>
      </c>
      <c r="C2" s="46"/>
      <c r="D2" s="46"/>
      <c r="E2" s="46"/>
      <c r="F2" s="46"/>
    </row>
    <row r="3" spans="2:6" ht="15.75" x14ac:dyDescent="0.25">
      <c r="B3" s="47" t="s">
        <v>0</v>
      </c>
      <c r="C3" s="48"/>
      <c r="D3" s="48"/>
      <c r="E3" s="48"/>
      <c r="F3" s="48"/>
    </row>
    <row r="4" spans="2:6" ht="15.75" x14ac:dyDescent="0.25">
      <c r="B4" s="15"/>
      <c r="C4" s="15"/>
      <c r="D4" s="15"/>
      <c r="E4" s="15"/>
      <c r="F4" s="15"/>
    </row>
    <row r="5" spans="2:6" ht="15.75" x14ac:dyDescent="0.25">
      <c r="B5" s="49" t="s">
        <v>23</v>
      </c>
      <c r="C5" s="49"/>
      <c r="D5" s="49"/>
      <c r="E5" s="49"/>
      <c r="F5" s="49"/>
    </row>
    <row r="6" spans="2:6" ht="15.75" x14ac:dyDescent="0.25">
      <c r="B6" s="50" t="s">
        <v>24</v>
      </c>
      <c r="C6" s="51"/>
      <c r="D6" s="51"/>
      <c r="E6" s="51"/>
      <c r="F6" s="51"/>
    </row>
    <row r="7" spans="2:6" ht="31.5" x14ac:dyDescent="0.25">
      <c r="B7" s="34" t="s">
        <v>25</v>
      </c>
      <c r="C7" s="35" t="s">
        <v>26</v>
      </c>
      <c r="D7" s="19">
        <v>2018</v>
      </c>
      <c r="E7" s="19">
        <v>2019</v>
      </c>
      <c r="F7" s="19">
        <v>2020</v>
      </c>
    </row>
    <row r="8" spans="2:6" ht="15.75" x14ac:dyDescent="0.25">
      <c r="B8" s="36">
        <v>0.18</v>
      </c>
      <c r="C8" s="37">
        <v>-866100233.04132402</v>
      </c>
      <c r="D8" s="22">
        <f>+[2]FCL!D21</f>
        <v>303180000</v>
      </c>
      <c r="E8" s="22">
        <f>+[2]FCL!E21</f>
        <v>349100642.92596841</v>
      </c>
      <c r="F8" s="22">
        <f>+[2]FCL!F21</f>
        <v>381930268.36027265</v>
      </c>
    </row>
    <row r="9" spans="2:6" ht="15.75" x14ac:dyDescent="0.25">
      <c r="B9" s="37" t="s">
        <v>27</v>
      </c>
      <c r="C9" s="37">
        <f>NPV(B8,D8:F8)+C8</f>
        <v>-125994830.94756353</v>
      </c>
    </row>
    <row r="10" spans="2:6" ht="15.75" x14ac:dyDescent="0.25">
      <c r="B10" s="37" t="s">
        <v>28</v>
      </c>
      <c r="C10" s="38">
        <f>IRR(C8:F8)</f>
        <v>9.0497149402246846E-2</v>
      </c>
    </row>
  </sheetData>
  <mergeCells count="4">
    <mergeCell ref="B2:F2"/>
    <mergeCell ref="B3:F3"/>
    <mergeCell ref="B5:F5"/>
    <mergeCell ref="B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3"/>
  <sheetViews>
    <sheetView workbookViewId="0">
      <selection activeCell="F8" sqref="F8"/>
    </sheetView>
  </sheetViews>
  <sheetFormatPr baseColWidth="10" defaultColWidth="11.42578125" defaultRowHeight="15.75" x14ac:dyDescent="0.25"/>
  <cols>
    <col min="1" max="1" width="3.85546875" style="15" customWidth="1"/>
    <col min="2" max="2" width="2.140625" style="15" customWidth="1"/>
    <col min="3" max="3" width="37" style="15" customWidth="1"/>
    <col min="4" max="4" width="15.5703125" style="15" customWidth="1"/>
    <col min="5" max="5" width="15.85546875" style="15" bestFit="1" customWidth="1"/>
    <col min="6" max="6" width="16" style="15" customWidth="1"/>
    <col min="7" max="7" width="14.85546875" style="15" customWidth="1"/>
    <col min="8" max="8" width="17.28515625" style="15" bestFit="1" customWidth="1"/>
    <col min="9" max="9" width="17.140625" style="15" bestFit="1" customWidth="1"/>
    <col min="10" max="10" width="15.85546875" style="27" bestFit="1" customWidth="1"/>
    <col min="11" max="16384" width="11.42578125" style="15"/>
  </cols>
  <sheetData>
    <row r="2" spans="2:11" ht="15.75" customHeight="1" x14ac:dyDescent="0.25">
      <c r="B2" s="45" t="s">
        <v>9</v>
      </c>
      <c r="C2" s="46"/>
      <c r="D2" s="46"/>
      <c r="E2" s="46"/>
      <c r="F2" s="46"/>
    </row>
    <row r="3" spans="2:11" x14ac:dyDescent="0.25">
      <c r="B3" s="47" t="s">
        <v>0</v>
      </c>
      <c r="C3" s="48"/>
      <c r="D3" s="48"/>
      <c r="E3" s="48"/>
      <c r="F3" s="48"/>
    </row>
    <row r="5" spans="2:11" x14ac:dyDescent="0.25">
      <c r="B5" s="49" t="s">
        <v>10</v>
      </c>
      <c r="C5" s="49"/>
      <c r="D5" s="49"/>
      <c r="E5" s="49"/>
      <c r="F5" s="49"/>
      <c r="G5" s="16"/>
      <c r="H5" s="16"/>
      <c r="I5" s="16"/>
    </row>
    <row r="6" spans="2:11" x14ac:dyDescent="0.25">
      <c r="B6" s="17"/>
      <c r="C6" s="17"/>
      <c r="D6" s="17"/>
      <c r="E6" s="17"/>
      <c r="F6" s="17"/>
      <c r="G6" s="16"/>
      <c r="H6" s="16"/>
      <c r="I6" s="16"/>
      <c r="J6" s="16"/>
    </row>
    <row r="7" spans="2:11" x14ac:dyDescent="0.25">
      <c r="B7" s="18"/>
      <c r="C7" s="18"/>
      <c r="D7" s="19">
        <v>2018</v>
      </c>
      <c r="E7" s="19">
        <v>2019</v>
      </c>
      <c r="F7" s="19">
        <v>2020</v>
      </c>
      <c r="G7" s="20"/>
      <c r="H7" s="16"/>
      <c r="I7" s="16"/>
      <c r="J7" s="16"/>
    </row>
    <row r="8" spans="2:11" x14ac:dyDescent="0.25">
      <c r="B8" s="21"/>
      <c r="C8" s="21" t="s">
        <v>11</v>
      </c>
      <c r="D8" s="22">
        <v>1363992000</v>
      </c>
      <c r="E8" s="22">
        <f>+D8*1.04</f>
        <v>1418551680</v>
      </c>
      <c r="F8" s="22">
        <f>+E8*1.04</f>
        <v>1475293747.2</v>
      </c>
      <c r="G8" s="23">
        <f>+E8/D8-1</f>
        <v>4.0000000000000036E-2</v>
      </c>
      <c r="H8" s="16"/>
      <c r="I8" s="16"/>
      <c r="J8" s="43">
        <f>+J9/D8</f>
        <v>0.80379650320529739</v>
      </c>
    </row>
    <row r="9" spans="2:11" x14ac:dyDescent="0.25">
      <c r="B9" s="24" t="s">
        <v>12</v>
      </c>
      <c r="C9" s="24" t="s">
        <v>13</v>
      </c>
      <c r="D9" s="25">
        <v>976272000</v>
      </c>
      <c r="E9" s="25">
        <f>+D9*1.03</f>
        <v>1005560160</v>
      </c>
      <c r="F9" s="25">
        <f>+E9*1.03</f>
        <v>1035726964.8000001</v>
      </c>
      <c r="G9" s="23">
        <f t="shared" ref="G9:G13" si="0">+E9/D9-1</f>
        <v>3.0000000000000027E-2</v>
      </c>
      <c r="H9" s="26"/>
      <c r="I9" s="16"/>
      <c r="J9" s="26">
        <f>+D9+D11</f>
        <v>1096372000</v>
      </c>
      <c r="K9" s="27"/>
    </row>
    <row r="10" spans="2:11" x14ac:dyDescent="0.25">
      <c r="B10" s="21" t="s">
        <v>14</v>
      </c>
      <c r="C10" s="21" t="s">
        <v>6</v>
      </c>
      <c r="D10" s="22">
        <f>+D8-D9</f>
        <v>387720000</v>
      </c>
      <c r="E10" s="22">
        <f t="shared" ref="E10:F10" si="1">+E8-E9</f>
        <v>412991520</v>
      </c>
      <c r="F10" s="22">
        <f t="shared" si="1"/>
        <v>439566782.39999998</v>
      </c>
      <c r="G10" s="39">
        <f>+D9+D11</f>
        <v>1096372000</v>
      </c>
      <c r="H10" s="16"/>
      <c r="I10" s="16"/>
      <c r="K10" s="27"/>
    </row>
    <row r="11" spans="2:11" x14ac:dyDescent="0.25">
      <c r="B11" s="24" t="s">
        <v>12</v>
      </c>
      <c r="C11" s="28" t="s">
        <v>15</v>
      </c>
      <c r="D11" s="25">
        <v>120100000</v>
      </c>
      <c r="E11" s="25">
        <f>+D11</f>
        <v>120100000</v>
      </c>
      <c r="F11" s="25">
        <f>+E11</f>
        <v>120100000</v>
      </c>
      <c r="G11" s="23">
        <f t="shared" si="0"/>
        <v>0</v>
      </c>
      <c r="H11" s="16"/>
      <c r="I11" s="16"/>
      <c r="K11" s="27"/>
    </row>
    <row r="12" spans="2:11" x14ac:dyDescent="0.25">
      <c r="B12" s="21" t="s">
        <v>14</v>
      </c>
      <c r="C12" s="21" t="s">
        <v>16</v>
      </c>
      <c r="D12" s="22">
        <f>+D10-D11</f>
        <v>267620000</v>
      </c>
      <c r="E12" s="22">
        <f>+E10-E11</f>
        <v>292891520</v>
      </c>
      <c r="F12" s="22">
        <f>+F10-F11</f>
        <v>319466782.39999998</v>
      </c>
      <c r="G12" s="23">
        <f t="shared" si="0"/>
        <v>9.4430610567222129E-2</v>
      </c>
      <c r="H12" s="16"/>
      <c r="I12" s="16"/>
      <c r="K12" s="27"/>
    </row>
    <row r="13" spans="2:11" x14ac:dyDescent="0.25">
      <c r="B13" s="24"/>
      <c r="C13" s="24" t="s">
        <v>17</v>
      </c>
      <c r="D13" s="25">
        <f>+G17</f>
        <v>66645000.000000007</v>
      </c>
      <c r="E13" s="25">
        <f>+G18</f>
        <v>56723247.074031614</v>
      </c>
      <c r="F13" s="25">
        <f>+G19</f>
        <v>45332082.539727308</v>
      </c>
      <c r="G13" s="23">
        <f t="shared" si="0"/>
        <v>-0.14887467815992783</v>
      </c>
      <c r="H13" s="16"/>
      <c r="I13" s="16"/>
      <c r="K13" s="27"/>
    </row>
    <row r="14" spans="2:11" x14ac:dyDescent="0.25">
      <c r="B14" s="21" t="s">
        <v>14</v>
      </c>
      <c r="C14" s="21" t="s">
        <v>3</v>
      </c>
      <c r="D14" s="22">
        <f>+D12-D13</f>
        <v>200975000</v>
      </c>
      <c r="E14" s="22">
        <f t="shared" ref="E14:F14" si="2">+E12-E13</f>
        <v>236168272.92596838</v>
      </c>
      <c r="F14" s="22">
        <f t="shared" si="2"/>
        <v>274134699.86027265</v>
      </c>
      <c r="G14" s="29">
        <v>221026000</v>
      </c>
      <c r="H14" s="16"/>
      <c r="I14" s="16"/>
      <c r="K14" s="27"/>
    </row>
    <row r="15" spans="2:11" x14ac:dyDescent="0.25">
      <c r="B15" s="24" t="s">
        <v>12</v>
      </c>
      <c r="C15" s="24" t="s">
        <v>18</v>
      </c>
      <c r="D15" s="30">
        <f>+D14*33%</f>
        <v>66321750</v>
      </c>
      <c r="E15" s="30">
        <f t="shared" ref="E15:F15" si="3">+E14*33%</f>
        <v>77935530.065569565</v>
      </c>
      <c r="F15" s="30">
        <f t="shared" si="3"/>
        <v>90464450.953889981</v>
      </c>
      <c r="G15" s="29">
        <v>238921000</v>
      </c>
      <c r="H15" s="29">
        <f>+G15*1.03</f>
        <v>246088630</v>
      </c>
      <c r="I15" s="29">
        <f>+H15*1.05</f>
        <v>258393061.5</v>
      </c>
      <c r="K15" s="27"/>
    </row>
    <row r="16" spans="2:11" x14ac:dyDescent="0.25">
      <c r="B16" s="21" t="s">
        <v>14</v>
      </c>
      <c r="C16" s="21" t="s">
        <v>4</v>
      </c>
      <c r="D16" s="22">
        <f>+D14-D15</f>
        <v>134653250</v>
      </c>
      <c r="E16" s="22">
        <f t="shared" ref="E16:F16" si="4">+E14-E15</f>
        <v>158232742.86039883</v>
      </c>
      <c r="F16" s="22">
        <f t="shared" si="4"/>
        <v>183670248.90638268</v>
      </c>
      <c r="G16" s="29"/>
      <c r="H16" s="16"/>
      <c r="I16" s="16"/>
      <c r="K16" s="27"/>
    </row>
    <row r="17" spans="2:11" x14ac:dyDescent="0.25">
      <c r="B17" s="24" t="s">
        <v>19</v>
      </c>
      <c r="C17" s="28" t="str">
        <f>+C11</f>
        <v>DEPRECIACIONES Y AMORTIZACIONES</v>
      </c>
      <c r="D17" s="25">
        <f>+D11</f>
        <v>120100000</v>
      </c>
      <c r="E17" s="25">
        <f t="shared" ref="E17:F17" si="5">+E11</f>
        <v>120100000</v>
      </c>
      <c r="F17" s="25">
        <f t="shared" si="5"/>
        <v>120100000</v>
      </c>
      <c r="G17" s="29">
        <v>66645000.000000007</v>
      </c>
      <c r="H17" s="16"/>
      <c r="I17" s="16"/>
      <c r="K17" s="27"/>
    </row>
    <row r="18" spans="2:11" x14ac:dyDescent="0.25">
      <c r="B18" s="21" t="s">
        <v>14</v>
      </c>
      <c r="C18" s="21" t="s">
        <v>20</v>
      </c>
      <c r="D18" s="22">
        <f>+D14+D17</f>
        <v>321075000</v>
      </c>
      <c r="E18" s="22">
        <f>+E14+E17</f>
        <v>356268272.92596841</v>
      </c>
      <c r="F18" s="22">
        <f>+F14+F17</f>
        <v>394234699.86027265</v>
      </c>
      <c r="G18" s="29">
        <v>56723247.074031614</v>
      </c>
      <c r="H18" s="16"/>
      <c r="I18" s="16"/>
      <c r="K18" s="27"/>
    </row>
    <row r="19" spans="2:11" x14ac:dyDescent="0.25">
      <c r="B19" s="24" t="s">
        <v>12</v>
      </c>
      <c r="C19" s="24" t="s">
        <v>21</v>
      </c>
      <c r="D19" s="25">
        <f>+G15-G14</f>
        <v>17895000</v>
      </c>
      <c r="E19" s="25">
        <f>+H15-G15</f>
        <v>7167630</v>
      </c>
      <c r="F19" s="25">
        <f>+I15-H15</f>
        <v>12304431.5</v>
      </c>
      <c r="G19" s="29">
        <v>45332082.539727308</v>
      </c>
      <c r="H19" s="16"/>
      <c r="I19" s="16"/>
      <c r="K19" s="27"/>
    </row>
    <row r="20" spans="2:11" x14ac:dyDescent="0.25">
      <c r="B20" s="21" t="s">
        <v>12</v>
      </c>
      <c r="C20" s="21" t="s">
        <v>22</v>
      </c>
      <c r="D20" s="22">
        <v>0</v>
      </c>
      <c r="E20" s="22">
        <v>0</v>
      </c>
      <c r="F20" s="22">
        <v>0</v>
      </c>
      <c r="G20" s="31"/>
      <c r="H20" s="27"/>
      <c r="I20" s="27"/>
      <c r="K20" s="27"/>
    </row>
    <row r="21" spans="2:11" x14ac:dyDescent="0.25">
      <c r="B21" s="24" t="s">
        <v>14</v>
      </c>
      <c r="C21" s="32" t="s">
        <v>7</v>
      </c>
      <c r="D21" s="25">
        <f>+D18-D19</f>
        <v>303180000</v>
      </c>
      <c r="E21" s="25">
        <f t="shared" ref="E21:F21" si="6">+E18-E19-E20</f>
        <v>349100642.92596841</v>
      </c>
      <c r="F21" s="25">
        <f t="shared" si="6"/>
        <v>381930268.36027265</v>
      </c>
      <c r="G21" s="31"/>
      <c r="H21" s="27"/>
      <c r="I21" s="27"/>
      <c r="K21" s="27"/>
    </row>
    <row r="22" spans="2:11" x14ac:dyDescent="0.25">
      <c r="D22" s="30"/>
      <c r="E22" s="30"/>
      <c r="F22" s="30"/>
      <c r="G22" s="31"/>
      <c r="H22" s="27"/>
      <c r="I22" s="27"/>
      <c r="K22" s="27"/>
    </row>
    <row r="23" spans="2:11" x14ac:dyDescent="0.25">
      <c r="G23" s="27"/>
      <c r="H23" s="27"/>
      <c r="I23" s="27"/>
      <c r="K23" s="27"/>
    </row>
  </sheetData>
  <mergeCells count="3">
    <mergeCell ref="B2:F2"/>
    <mergeCell ref="B3:F3"/>
    <mergeCell ref="B5:F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Análisis Financieros </vt:lpstr>
      <vt:lpstr>Indicadores Financieros</vt:lpstr>
      <vt:lpstr>TIR Y VAN</vt:lpstr>
      <vt:lpstr>FCL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portatil7</dc:creator>
  <cp:lastModifiedBy>Emilse Vera Hincapie</cp:lastModifiedBy>
  <dcterms:created xsi:type="dcterms:W3CDTF">2018-04-22T20:30:40Z</dcterms:created>
  <dcterms:modified xsi:type="dcterms:W3CDTF">2018-11-07T21:42:41Z</dcterms:modified>
</cp:coreProperties>
</file>